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Atividades Trimestrais/Guia de Modelagem/2021/2T21/"/>
    </mc:Choice>
  </mc:AlternateContent>
  <xr:revisionPtr revIDLastSave="94" documentId="8_{C7157697-FE01-4C7B-BB51-2D4071C5EBDF}" xr6:coauthVersionLast="45" xr6:coauthVersionMax="45" xr10:uidLastSave="{4D8D757A-3B7F-4621-A25B-C7BA6E635C70}"/>
  <bookViews>
    <workbookView xWindow="-110" yWindow="-110" windowWidth="19420" windowHeight="10420" tabRatio="929" firstSheet="2" activeTab="8" xr2:uid="{00000000-000D-0000-FFFF-FFFF00000000}"/>
  </bookViews>
  <sheets>
    <sheet name="Cover" sheetId="1" r:id="rId1"/>
    <sheet name="1 - Assumptions" sheetId="15" r:id="rId2"/>
    <sheet name="2 - Steel Production Process" sheetId="23" r:id="rId3"/>
    <sheet name="3 - Production Capacity" sheetId="28" r:id="rId4"/>
    <sheet name="4 - Production " sheetId="5" r:id="rId5"/>
    <sheet name="5 - Shipments " sheetId="7" r:id="rId6"/>
    <sheet name="6 - Investments" sheetId="10" r:id="rId7"/>
    <sheet name="7 - Indebtedness " sheetId="12" r:id="rId8"/>
    <sheet name="8 - Financial Statements" sheetId="20" r:id="rId9"/>
    <sheet name="9 - B. Division Results " sheetId="18" r:id="rId10"/>
    <sheet name="10 - Costs " sheetId="21" r:id="rId11"/>
    <sheet name="11 - Pro forma Results " sheetId="26" r:id="rId12"/>
    <sheet name="12 - Lab Capacity" sheetId="27" r:id="rId13"/>
    <sheet name="12 - Frequent Questions" sheetId="24" state="hidden" r:id="rId14"/>
  </sheets>
  <externalReferences>
    <externalReference r:id="rId15"/>
    <externalReference r:id="rId16"/>
    <externalReference r:id="rId17"/>
  </externalReferences>
  <definedNames>
    <definedName name="_xlnm.Print_Area" localSheetId="1">'1 - Assumptions'!$A$1:$R$32</definedName>
    <definedName name="_xlnm.Print_Area" localSheetId="10">'10 - Costs '!$A$1:$B$53,'10 - Costs '!$AM$1:$AQ$53</definedName>
    <definedName name="_xlnm.Print_Area" localSheetId="13">'12 - Frequent Questions'!$A$1:$C$14</definedName>
    <definedName name="_xlnm.Print_Area" localSheetId="2">'2 - Steel Production Process'!$B$1:$N$59</definedName>
    <definedName name="_xlnm.Print_Area" localSheetId="3">'3 - Production Capacity'!$A$1:$R$27</definedName>
    <definedName name="_xlnm.Print_Area" localSheetId="4">'4 - Production '!$B$1:$B$20,'4 - Production '!$AP$2:$AU$20</definedName>
    <definedName name="_xlnm.Print_Area" localSheetId="5">'5 - Shipments '!$A$1:$B$16,'5 - Shipments '!$AS$1:$AV$16</definedName>
    <definedName name="_xlnm.Print_Area" localSheetId="6">'6 - Investments'!$A$1:$C$21,'6 - Investments'!$AS$1:$AW$21</definedName>
    <definedName name="_xlnm.Print_Area" localSheetId="7">'7 - Indebtedness '!$A$1:$C$31,'7 - Indebtedness '!$AR$3:$AU$31</definedName>
    <definedName name="_xlnm.Print_Area" localSheetId="8">'8 - Financial Statements'!$B$1:$F$78,'8 - Financial Statements'!$AU$1:$AX$78</definedName>
    <definedName name="_xlnm.Print_Area" localSheetId="9">'9 - B. Division Results '!$B$1:$B$50,'9 - B. Division Results '!$AT$1:$AW$50</definedName>
    <definedName name="_xlnm.Print_Area" localSheetId="0">Cover!$A$1:$M$45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I17" i="10" l="1"/>
  <c r="BJ69" i="20"/>
  <c r="BJ64" i="20"/>
  <c r="BJ60" i="20"/>
  <c r="BJ73" i="20" s="1"/>
  <c r="BJ50" i="20"/>
  <c r="BJ57" i="20" s="1"/>
  <c r="BJ45" i="20"/>
  <c r="BJ11" i="20"/>
  <c r="BG21" i="12"/>
  <c r="BH10" i="7"/>
  <c r="BH9" i="7" s="1"/>
  <c r="BF16" i="5"/>
  <c r="BF8" i="5"/>
  <c r="O21" i="28"/>
  <c r="O7" i="28"/>
  <c r="P21" i="28"/>
  <c r="P20" i="28"/>
  <c r="P7" i="28"/>
  <c r="BB31" i="21"/>
  <c r="BB30" i="21"/>
  <c r="BB29" i="21"/>
  <c r="BB28" i="21"/>
  <c r="BB27" i="21"/>
  <c r="BB26" i="21"/>
  <c r="BB39" i="21"/>
  <c r="BB38" i="21"/>
  <c r="BB37" i="21"/>
  <c r="BB36" i="21"/>
  <c r="BB35" i="21"/>
  <c r="BB34" i="21"/>
  <c r="BB47" i="21"/>
  <c r="BB46" i="21"/>
  <c r="BB45" i="21"/>
  <c r="BB44" i="21"/>
  <c r="BB43" i="21"/>
  <c r="BB42" i="21"/>
  <c r="BB23" i="21"/>
  <c r="BB22" i="21"/>
  <c r="BB21" i="21"/>
  <c r="BB20" i="21"/>
  <c r="BB19" i="21"/>
  <c r="BB18" i="21"/>
  <c r="BB15" i="21"/>
  <c r="BB14" i="21"/>
  <c r="BB13" i="21"/>
  <c r="BB12" i="21"/>
  <c r="BB11" i="21"/>
  <c r="BB10" i="21"/>
  <c r="BH50" i="18"/>
  <c r="BH47" i="18"/>
  <c r="BH45" i="18"/>
  <c r="BH44" i="18"/>
  <c r="BH43" i="18"/>
  <c r="BH42" i="18"/>
  <c r="BH39" i="18"/>
  <c r="BH37" i="18"/>
  <c r="BH36" i="18"/>
  <c r="BH35" i="18"/>
  <c r="BH34" i="18"/>
  <c r="BH31" i="18"/>
  <c r="BH29" i="18"/>
  <c r="BH28" i="18"/>
  <c r="BH27" i="18"/>
  <c r="BH26" i="18"/>
  <c r="BH23" i="18"/>
  <c r="BH21" i="18"/>
  <c r="BH20" i="18"/>
  <c r="BH19" i="18"/>
  <c r="BH18" i="18"/>
  <c r="BH17" i="18"/>
  <c r="BH16" i="18"/>
  <c r="BH13" i="18"/>
  <c r="BH11" i="18"/>
  <c r="BH10" i="18"/>
  <c r="BH9" i="18"/>
  <c r="BH8" i="18"/>
  <c r="BI77" i="20"/>
  <c r="BI76" i="20"/>
  <c r="BI73" i="20"/>
  <c r="BI72" i="20"/>
  <c r="BI71" i="20"/>
  <c r="BI70" i="20"/>
  <c r="BI69" i="20"/>
  <c r="BI68" i="20"/>
  <c r="BI67" i="20"/>
  <c r="BI66" i="20"/>
  <c r="BI65" i="20"/>
  <c r="BI64" i="20"/>
  <c r="BI63" i="20"/>
  <c r="BI62" i="20"/>
  <c r="BI61" i="20"/>
  <c r="BI60" i="20"/>
  <c r="BI57" i="20"/>
  <c r="BI56" i="20"/>
  <c r="BI55" i="20"/>
  <c r="BI54" i="20"/>
  <c r="BI53" i="20"/>
  <c r="BI52" i="20"/>
  <c r="BI51" i="20"/>
  <c r="BI50" i="20"/>
  <c r="BI49" i="20"/>
  <c r="BI48" i="20"/>
  <c r="BI47" i="20"/>
  <c r="BI46" i="20"/>
  <c r="BI45" i="20"/>
  <c r="BI36" i="20"/>
  <c r="BI35" i="20"/>
  <c r="BI34" i="20"/>
  <c r="BI33" i="20"/>
  <c r="BI32" i="20"/>
  <c r="BI29" i="20"/>
  <c r="BI28" i="20"/>
  <c r="BI23" i="20"/>
  <c r="BI22" i="20"/>
  <c r="BI21" i="20"/>
  <c r="BI20" i="20"/>
  <c r="BI19" i="20"/>
  <c r="BI18" i="20"/>
  <c r="BI17" i="20"/>
  <c r="BI14" i="20"/>
  <c r="BI12" i="20"/>
  <c r="BI11" i="20"/>
  <c r="BI10" i="20"/>
  <c r="BI9" i="20"/>
  <c r="BI8" i="20"/>
  <c r="BF30" i="12"/>
  <c r="BF29" i="12"/>
  <c r="BF28" i="12"/>
  <c r="BF25" i="12"/>
  <c r="BF23" i="12"/>
  <c r="BF22" i="12"/>
  <c r="BF21" i="12"/>
  <c r="BF17" i="12"/>
  <c r="BF13" i="12"/>
  <c r="BF8" i="12"/>
  <c r="BH21" i="10"/>
  <c r="BH20" i="10"/>
  <c r="BH19" i="10"/>
  <c r="BH18" i="10"/>
  <c r="BH17" i="10"/>
  <c r="BG16" i="7"/>
  <c r="BG15" i="7"/>
  <c r="BG14" i="7"/>
  <c r="BG13" i="7"/>
  <c r="BG12" i="7"/>
  <c r="BG11" i="7"/>
  <c r="BG10" i="7"/>
  <c r="BG9" i="7"/>
  <c r="BE20" i="5"/>
  <c r="BE19" i="5"/>
  <c r="BE18" i="5"/>
  <c r="BE17" i="5"/>
  <c r="BE16" i="5"/>
  <c r="BE12" i="5"/>
  <c r="BE11" i="5"/>
  <c r="BE10" i="5"/>
  <c r="BE9" i="5"/>
  <c r="BE8" i="5"/>
  <c r="BG17" i="10"/>
  <c r="BF9" i="7"/>
  <c r="BD16" i="5"/>
  <c r="BD8" i="5"/>
  <c r="N21" i="28"/>
  <c r="N7" i="28"/>
  <c r="N20" i="28"/>
  <c r="M20" i="28"/>
  <c r="L20" i="28"/>
  <c r="K20" i="28"/>
  <c r="J20" i="28"/>
  <c r="I20" i="28"/>
  <c r="H20" i="28"/>
  <c r="G20" i="28"/>
  <c r="F20" i="28"/>
  <c r="E20" i="28"/>
  <c r="D20" i="28"/>
  <c r="BE17" i="10"/>
  <c r="BC30" i="12"/>
  <c r="BC29" i="12"/>
  <c r="BC28" i="12"/>
  <c r="BD30" i="12"/>
  <c r="BD29" i="12"/>
  <c r="BD28" i="12"/>
  <c r="BD25" i="12"/>
  <c r="BD21" i="12"/>
  <c r="BD17" i="12"/>
  <c r="BD13" i="12"/>
  <c r="BD8" i="12"/>
  <c r="M21" i="28"/>
  <c r="I21" i="28"/>
  <c r="H21" i="28"/>
  <c r="I13" i="28"/>
  <c r="H13" i="28"/>
  <c r="H7" i="28" s="1"/>
  <c r="G13" i="28"/>
  <c r="I8" i="28"/>
  <c r="I7" i="28" s="1"/>
  <c r="M7" i="28"/>
  <c r="BG70" i="20"/>
  <c r="BG69" i="20" s="1"/>
  <c r="BG64" i="20"/>
  <c r="BG60" i="20"/>
  <c r="BG50" i="20"/>
  <c r="BG45" i="20"/>
  <c r="BG57" i="20" s="1"/>
  <c r="BG40" i="20"/>
  <c r="BG39" i="20"/>
  <c r="BG38" i="20"/>
  <c r="BG36" i="20"/>
  <c r="BG35" i="20"/>
  <c r="BG34" i="20"/>
  <c r="BG33" i="20"/>
  <c r="BG32" i="20"/>
  <c r="BG29" i="20"/>
  <c r="BG28" i="20"/>
  <c r="BG23" i="20"/>
  <c r="BG22" i="20"/>
  <c r="BG21" i="20"/>
  <c r="BG20" i="20"/>
  <c r="BG19" i="20"/>
  <c r="BG18" i="20"/>
  <c r="BG12" i="20"/>
  <c r="BG10" i="20"/>
  <c r="BG9" i="20"/>
  <c r="BG8" i="20"/>
  <c r="BF39" i="18"/>
  <c r="BF23" i="18"/>
  <c r="BF21" i="10"/>
  <c r="BF20" i="10"/>
  <c r="BF19" i="10"/>
  <c r="BE9" i="7"/>
  <c r="BC16" i="5"/>
  <c r="BC8" i="5"/>
  <c r="BF70" i="20"/>
  <c r="BF69" i="20"/>
  <c r="BF68" i="20"/>
  <c r="BF64" i="20" s="1"/>
  <c r="BF50" i="20"/>
  <c r="BF57" i="20" s="1"/>
  <c r="BF11" i="20"/>
  <c r="BC17" i="12"/>
  <c r="BC25" i="12" s="1"/>
  <c r="BD9" i="7"/>
  <c r="BB16" i="5"/>
  <c r="BB8" i="5"/>
  <c r="AX14" i="21"/>
  <c r="BD50" i="18"/>
  <c r="BE77" i="20"/>
  <c r="BE76" i="20"/>
  <c r="BE72" i="20"/>
  <c r="BE70" i="20"/>
  <c r="BE69" i="20" s="1"/>
  <c r="BE68" i="20"/>
  <c r="BE64" i="20" s="1"/>
  <c r="BE60" i="20"/>
  <c r="BE56" i="20"/>
  <c r="BE50" i="20"/>
  <c r="BE49" i="20"/>
  <c r="BE45" i="20" s="1"/>
  <c r="BE46" i="20"/>
  <c r="BE31" i="20"/>
  <c r="BE14" i="20"/>
  <c r="BE11" i="20"/>
  <c r="BB23" i="12"/>
  <c r="BB22" i="12" s="1"/>
  <c r="BD19" i="10"/>
  <c r="BD18" i="10"/>
  <c r="BD17" i="10" s="1"/>
  <c r="BB12" i="20"/>
  <c r="BD34" i="20"/>
  <c r="BD11" i="20"/>
  <c r="BD69" i="20"/>
  <c r="BD64" i="20"/>
  <c r="BD60" i="20"/>
  <c r="BD50" i="20"/>
  <c r="BD57" i="20" s="1"/>
  <c r="BD45" i="20"/>
  <c r="BA23" i="12"/>
  <c r="BA22" i="12"/>
  <c r="BC73" i="20"/>
  <c r="BC71" i="20"/>
  <c r="BC57" i="20"/>
  <c r="BC11" i="20"/>
  <c r="AZ23" i="12"/>
  <c r="AZ22" i="12" s="1"/>
  <c r="AY16" i="5"/>
  <c r="AY8" i="5"/>
  <c r="G8" i="26"/>
  <c r="G9" i="26"/>
  <c r="G11" i="26"/>
  <c r="C12" i="26"/>
  <c r="D12" i="26"/>
  <c r="E12" i="26"/>
  <c r="F12" i="26"/>
  <c r="B13" i="26"/>
  <c r="B14" i="26"/>
  <c r="G13" i="26"/>
  <c r="G14" i="26" s="1"/>
  <c r="C14" i="26"/>
  <c r="D14" i="26"/>
  <c r="E14" i="26"/>
  <c r="F14" i="26"/>
  <c r="G15" i="26"/>
  <c r="G16" i="26"/>
  <c r="B16" i="26"/>
  <c r="C16" i="26"/>
  <c r="D16" i="26"/>
  <c r="E16" i="26"/>
  <c r="F16" i="26"/>
  <c r="G21" i="26"/>
  <c r="G22" i="26"/>
  <c r="G24" i="26"/>
  <c r="G29" i="26" s="1"/>
  <c r="G25" i="26"/>
  <c r="B26" i="26"/>
  <c r="B27" i="26" s="1"/>
  <c r="C26" i="26"/>
  <c r="D26" i="26"/>
  <c r="D27" i="26" s="1"/>
  <c r="E26" i="26"/>
  <c r="E27" i="26" s="1"/>
  <c r="F26" i="26"/>
  <c r="F27" i="26" s="1"/>
  <c r="G28" i="26"/>
  <c r="B29" i="26"/>
  <c r="C29" i="26"/>
  <c r="D29" i="26"/>
  <c r="E29" i="26"/>
  <c r="F29" i="26"/>
  <c r="G34" i="26"/>
  <c r="G35" i="26"/>
  <c r="G37" i="26"/>
  <c r="G38" i="26"/>
  <c r="B39" i="26"/>
  <c r="B40" i="26" s="1"/>
  <c r="C39" i="26"/>
  <c r="C40" i="26" s="1"/>
  <c r="D39" i="26"/>
  <c r="D40" i="26" s="1"/>
  <c r="E39" i="26"/>
  <c r="E40" i="26"/>
  <c r="F39" i="26"/>
  <c r="F40" i="26"/>
  <c r="G41" i="26"/>
  <c r="G42" i="26" s="1"/>
  <c r="B42" i="26"/>
  <c r="C42" i="26"/>
  <c r="D42" i="26"/>
  <c r="E42" i="26"/>
  <c r="F42" i="26"/>
  <c r="G47" i="26"/>
  <c r="G48" i="26"/>
  <c r="G50" i="26"/>
  <c r="G51" i="26"/>
  <c r="B52" i="26"/>
  <c r="B53" i="26"/>
  <c r="C52" i="26"/>
  <c r="C53" i="26"/>
  <c r="D52" i="26"/>
  <c r="D53" i="26"/>
  <c r="E52" i="26"/>
  <c r="E53" i="26" s="1"/>
  <c r="F52" i="26"/>
  <c r="F53" i="26"/>
  <c r="G54" i="26"/>
  <c r="G55" i="26"/>
  <c r="B55" i="26"/>
  <c r="C55" i="26"/>
  <c r="D55" i="26"/>
  <c r="E55" i="26"/>
  <c r="F55" i="26"/>
  <c r="C59" i="26"/>
  <c r="D59" i="26"/>
  <c r="E59" i="26"/>
  <c r="F59" i="26"/>
  <c r="C60" i="26"/>
  <c r="D60" i="26"/>
  <c r="E60" i="26"/>
  <c r="F60" i="26"/>
  <c r="C62" i="26"/>
  <c r="D62" i="26"/>
  <c r="E62" i="26"/>
  <c r="F62" i="26"/>
  <c r="C63" i="26"/>
  <c r="D63" i="26"/>
  <c r="E63" i="26"/>
  <c r="F63" i="26"/>
  <c r="B64" i="26"/>
  <c r="B65" i="26" s="1"/>
  <c r="C66" i="26"/>
  <c r="D66" i="26"/>
  <c r="D67" i="26" s="1"/>
  <c r="E66" i="26"/>
  <c r="F66" i="26"/>
  <c r="F67" i="26" s="1"/>
  <c r="B67" i="26"/>
  <c r="C71" i="26"/>
  <c r="D71" i="26"/>
  <c r="E71" i="26"/>
  <c r="F71" i="26"/>
  <c r="C72" i="26"/>
  <c r="D72" i="26"/>
  <c r="E72" i="26"/>
  <c r="F72" i="26"/>
  <c r="C74" i="26"/>
  <c r="D74" i="26"/>
  <c r="E74" i="26"/>
  <c r="F74" i="26"/>
  <c r="C75" i="26"/>
  <c r="D75" i="26"/>
  <c r="E75" i="26"/>
  <c r="F75" i="26"/>
  <c r="B76" i="26"/>
  <c r="B77" i="26" s="1"/>
  <c r="C78" i="26"/>
  <c r="D78" i="26"/>
  <c r="E78" i="26"/>
  <c r="F78" i="26"/>
  <c r="B79" i="26"/>
  <c r="C83" i="26"/>
  <c r="D83" i="26"/>
  <c r="E83" i="26"/>
  <c r="F83" i="26"/>
  <c r="C84" i="26"/>
  <c r="D84" i="26"/>
  <c r="E84" i="26"/>
  <c r="F84" i="26"/>
  <c r="C86" i="26"/>
  <c r="C88" i="26" s="1"/>
  <c r="D86" i="26"/>
  <c r="E86" i="26"/>
  <c r="E91" i="26" s="1"/>
  <c r="F86" i="26"/>
  <c r="C87" i="26"/>
  <c r="D87" i="26"/>
  <c r="E87" i="26"/>
  <c r="F87" i="26"/>
  <c r="B88" i="26"/>
  <c r="B89" i="26"/>
  <c r="C90" i="26"/>
  <c r="D90" i="26"/>
  <c r="D91" i="26" s="1"/>
  <c r="E90" i="26"/>
  <c r="F90" i="26"/>
  <c r="B91" i="26"/>
  <c r="BB64" i="20"/>
  <c r="BB73" i="20" s="1"/>
  <c r="BB50" i="20"/>
  <c r="BB45" i="20"/>
  <c r="BB57" i="20" s="1"/>
  <c r="AY17" i="12"/>
  <c r="AY25" i="12" s="1"/>
  <c r="AX16" i="5"/>
  <c r="AX8" i="5"/>
  <c r="AY19" i="20"/>
  <c r="AY21" i="20" s="1"/>
  <c r="AY23" i="20" s="1"/>
  <c r="AY36" i="20"/>
  <c r="AY49" i="20"/>
  <c r="AY56" i="20"/>
  <c r="AY57" i="20"/>
  <c r="AY63" i="20"/>
  <c r="AY68" i="20"/>
  <c r="AY71" i="20"/>
  <c r="AY73" i="20"/>
  <c r="AU14" i="5"/>
  <c r="AX73" i="20"/>
  <c r="AX71" i="20"/>
  <c r="AX68" i="20"/>
  <c r="AX63" i="20"/>
  <c r="AX57" i="20"/>
  <c r="AX56" i="20"/>
  <c r="AX46" i="20"/>
  <c r="AX49" i="20" s="1"/>
  <c r="AX36" i="20"/>
  <c r="AX14" i="20"/>
  <c r="AX19" i="20"/>
  <c r="AX21" i="20" s="1"/>
  <c r="AX23" i="20" s="1"/>
  <c r="AT14" i="5"/>
  <c r="AW36" i="20"/>
  <c r="AS14" i="5"/>
  <c r="AV42" i="20"/>
  <c r="AV63" i="20"/>
  <c r="AV10" i="20"/>
  <c r="AU15" i="10"/>
  <c r="AR14" i="5"/>
  <c r="AU42" i="20"/>
  <c r="AU63" i="20"/>
  <c r="AU10" i="20"/>
  <c r="AT15" i="10"/>
  <c r="AQ14" i="5"/>
  <c r="AT68" i="20"/>
  <c r="AT63" i="20"/>
  <c r="AT56" i="20"/>
  <c r="AT49" i="20"/>
  <c r="AT10" i="20"/>
  <c r="AR56" i="20"/>
  <c r="AR42" i="20"/>
  <c r="AQ49" i="20"/>
  <c r="AQ56" i="20"/>
  <c r="V28" i="12"/>
  <c r="AI25" i="12"/>
  <c r="AH25" i="12"/>
  <c r="AG25" i="12"/>
  <c r="AF25" i="12"/>
  <c r="AE25" i="12"/>
  <c r="AD25" i="12"/>
  <c r="AC25" i="12"/>
  <c r="AF11" i="20"/>
  <c r="AE9" i="7"/>
  <c r="AD16" i="5"/>
  <c r="AA25" i="12"/>
  <c r="Z25" i="12"/>
  <c r="Y25" i="12"/>
  <c r="X25" i="12"/>
  <c r="W25" i="12"/>
  <c r="V25" i="12"/>
  <c r="U25" i="12"/>
  <c r="T25" i="12"/>
  <c r="S25" i="12"/>
  <c r="R25" i="12"/>
  <c r="Q25" i="12"/>
  <c r="P25" i="12"/>
  <c r="O25" i="12"/>
  <c r="N25" i="12"/>
  <c r="M25" i="12"/>
  <c r="L25" i="12"/>
  <c r="K25" i="12"/>
  <c r="J25" i="12"/>
  <c r="I25" i="12"/>
  <c r="H25" i="12"/>
  <c r="G25" i="12"/>
  <c r="F25" i="12"/>
  <c r="E25" i="12"/>
  <c r="D25" i="12"/>
  <c r="AD11" i="20"/>
  <c r="AC11" i="20"/>
  <c r="AB40" i="20"/>
  <c r="AB42" i="20"/>
  <c r="Y19" i="12"/>
  <c r="X19" i="12"/>
  <c r="W19" i="12"/>
  <c r="V19" i="12"/>
  <c r="U19" i="12"/>
  <c r="U18" i="10"/>
  <c r="U17" i="10"/>
  <c r="AA15" i="10"/>
  <c r="Y14" i="5"/>
  <c r="AA69" i="20"/>
  <c r="AA64" i="20"/>
  <c r="AA60" i="20"/>
  <c r="AA45" i="20"/>
  <c r="AA57" i="20" s="1"/>
  <c r="AA11" i="20"/>
  <c r="Z15" i="10"/>
  <c r="Z42" i="20"/>
  <c r="Y42" i="20"/>
  <c r="X15" i="10"/>
  <c r="W15" i="10"/>
  <c r="V14" i="5"/>
  <c r="U14" i="5"/>
  <c r="V15" i="10"/>
  <c r="T14" i="5"/>
  <c r="S9" i="7"/>
  <c r="T9" i="7"/>
  <c r="W42" i="20"/>
  <c r="U15" i="10"/>
  <c r="S14" i="5"/>
  <c r="S8" i="5"/>
  <c r="S16" i="5"/>
  <c r="V42" i="20"/>
  <c r="T15" i="10"/>
  <c r="R16" i="5"/>
  <c r="R8" i="5"/>
  <c r="R14" i="5"/>
  <c r="T42" i="20"/>
  <c r="U42" i="20"/>
  <c r="S42" i="20"/>
  <c r="R15" i="10"/>
  <c r="S15" i="10"/>
  <c r="Q15" i="10"/>
  <c r="P14" i="5"/>
  <c r="Q14" i="5"/>
  <c r="O14" i="5"/>
  <c r="N10" i="7"/>
  <c r="N9" i="7"/>
  <c r="N8" i="5"/>
  <c r="N16" i="5"/>
  <c r="Q11" i="20"/>
  <c r="M10" i="7"/>
  <c r="M9" i="7" s="1"/>
  <c r="M16" i="5"/>
  <c r="BD23" i="12"/>
  <c r="BD22" i="12"/>
  <c r="F76" i="26" l="1"/>
  <c r="E64" i="26"/>
  <c r="E65" i="26" s="1"/>
  <c r="F91" i="26"/>
  <c r="G62" i="26"/>
  <c r="G26" i="26"/>
  <c r="G27" i="26" s="1"/>
  <c r="G12" i="26"/>
  <c r="BF73" i="20"/>
  <c r="G83" i="26"/>
  <c r="E76" i="26"/>
  <c r="BD73" i="20"/>
  <c r="BE57" i="20"/>
  <c r="G52" i="26"/>
  <c r="G53" i="26" s="1"/>
  <c r="D88" i="26"/>
  <c r="D89" i="26" s="1"/>
  <c r="E67" i="26"/>
  <c r="BG11" i="20"/>
  <c r="BG73" i="20"/>
  <c r="BF17" i="10"/>
  <c r="G60" i="26"/>
  <c r="G63" i="26"/>
  <c r="G84" i="26"/>
  <c r="G87" i="26"/>
  <c r="F64" i="26"/>
  <c r="F65" i="26" s="1"/>
  <c r="G75" i="26"/>
  <c r="F88" i="26"/>
  <c r="F89" i="26" s="1"/>
  <c r="G78" i="26"/>
  <c r="G72" i="26"/>
  <c r="C64" i="26"/>
  <c r="C65" i="26" s="1"/>
  <c r="G90" i="26"/>
  <c r="E88" i="26"/>
  <c r="E89" i="26" s="1"/>
  <c r="D76" i="26"/>
  <c r="G66" i="26"/>
  <c r="G67" i="26" s="1"/>
  <c r="C76" i="26"/>
  <c r="G71" i="26"/>
  <c r="G59" i="26"/>
  <c r="BE73" i="20"/>
  <c r="C89" i="26"/>
  <c r="C91" i="26"/>
  <c r="G39" i="26"/>
  <c r="G40" i="26" s="1"/>
  <c r="C27" i="26"/>
  <c r="D64" i="26"/>
  <c r="D65" i="26" s="1"/>
  <c r="G86" i="26"/>
  <c r="G91" i="26" s="1"/>
  <c r="G74" i="26"/>
  <c r="C67" i="26"/>
  <c r="G64" i="26" l="1"/>
  <c r="G65" i="26" s="1"/>
  <c r="G76" i="26"/>
  <c r="G88" i="26"/>
  <c r="G89" i="26" s="1"/>
</calcChain>
</file>

<file path=xl/sharedStrings.xml><?xml version="1.0" encoding="utf-8"?>
<sst xmlns="http://schemas.openxmlformats.org/spreadsheetml/2006/main" count="1589" uniqueCount="380">
  <si>
    <t>EBITDA</t>
  </si>
  <si>
    <t>Total</t>
  </si>
  <si>
    <t>CAPEX</t>
  </si>
  <si>
    <t>%</t>
  </si>
  <si>
    <t xml:space="preserve">INCOME STATEMENT </t>
  </si>
  <si>
    <t>BALANCE SHEET</t>
  </si>
  <si>
    <t>4Q08</t>
  </si>
  <si>
    <t xml:space="preserve">1Q09 </t>
  </si>
  <si>
    <t xml:space="preserve">2Q09 </t>
  </si>
  <si>
    <t>Electric furnaces</t>
  </si>
  <si>
    <t>Integrated</t>
  </si>
  <si>
    <t>0.9 tonnes</t>
  </si>
  <si>
    <t xml:space="preserve">       -  </t>
  </si>
  <si>
    <t>Iron ore</t>
  </si>
  <si>
    <t xml:space="preserve">          -  </t>
  </si>
  <si>
    <t>1.6 tonnes</t>
  </si>
  <si>
    <t>Power Supply</t>
  </si>
  <si>
    <t>Production Processes – Flowchart:</t>
  </si>
  <si>
    <t>CRUDE STEEL</t>
  </si>
  <si>
    <t>ROLLED PRODUCTS</t>
  </si>
  <si>
    <t>1Q08</t>
  </si>
  <si>
    <t>2Q08</t>
  </si>
  <si>
    <t>3Q08</t>
  </si>
  <si>
    <t>1Q09</t>
  </si>
  <si>
    <t>2Q09</t>
  </si>
  <si>
    <t xml:space="preserve">      Domestic</t>
  </si>
  <si>
    <t xml:space="preserve">      Export</t>
  </si>
  <si>
    <t>Construction</t>
  </si>
  <si>
    <t>Industrial</t>
  </si>
  <si>
    <t xml:space="preserve">R$ million </t>
  </si>
  <si>
    <t xml:space="preserve">    Domestic</t>
  </si>
  <si>
    <t xml:space="preserve">    Export</t>
  </si>
  <si>
    <t>US$ million</t>
  </si>
  <si>
    <t>ACQUISITIONS*</t>
  </si>
  <si>
    <t>* Includes debt of companies acquired in the period</t>
  </si>
  <si>
    <t>SHORT TERM</t>
  </si>
  <si>
    <t>Local currency</t>
  </si>
  <si>
    <t>Foreign currency</t>
  </si>
  <si>
    <t>Companies abroad</t>
  </si>
  <si>
    <t>LONG TERM</t>
  </si>
  <si>
    <t>Brazilian real</t>
  </si>
  <si>
    <t>U.S. dollar</t>
  </si>
  <si>
    <t>Other currencies</t>
  </si>
  <si>
    <t>Capital stock</t>
  </si>
  <si>
    <t>Reserves and other</t>
  </si>
  <si>
    <t>Minority interest</t>
  </si>
  <si>
    <t>GERDAU CONSOLIDATED</t>
  </si>
  <si>
    <t xml:space="preserve">Personnel </t>
  </si>
  <si>
    <t>Maintenance</t>
  </si>
  <si>
    <t>Depreciation</t>
  </si>
  <si>
    <t>Metallic Inputs</t>
  </si>
  <si>
    <t>Energy and Reducing Agents</t>
  </si>
  <si>
    <t>Specific Materials</t>
  </si>
  <si>
    <t>Personnel</t>
  </si>
  <si>
    <t>GLOSSARY</t>
  </si>
  <si>
    <t>Costs with personnel and consulting.</t>
  </si>
  <si>
    <t>Metallic charge</t>
  </si>
  <si>
    <t>Refractories, electrodes, rolling cylinders, rollers, guides, carburants and lime.</t>
  </si>
  <si>
    <t>Net sales revenue</t>
  </si>
  <si>
    <t>Cost of goods sold</t>
  </si>
  <si>
    <t>Gross income</t>
  </si>
  <si>
    <t>GROSS MARGIN</t>
  </si>
  <si>
    <t>Selling, general and administrative expenses</t>
  </si>
  <si>
    <t>Other operating revenue (expenses)</t>
  </si>
  <si>
    <t>Equity income</t>
  </si>
  <si>
    <t>Income before financial income (expenses) and taxes</t>
  </si>
  <si>
    <t>Net financial income (expenses)</t>
  </si>
  <si>
    <t>Income before taxes</t>
  </si>
  <si>
    <t>Provision for income tax and social contribution</t>
  </si>
  <si>
    <t>Parent company interest</t>
  </si>
  <si>
    <t xml:space="preserve">Depreciation </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</si>
  <si>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</si>
  <si>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</si>
  <si>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</si>
  <si>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</si>
  <si>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</si>
  <si>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</si>
  <si>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</si>
  <si>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</si>
  <si>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</si>
  <si>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</si>
  <si>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</si>
  <si>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</si>
  <si>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</si>
  <si>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Suppliers</t>
  </si>
  <si>
    <t>Financing</t>
  </si>
  <si>
    <t>NON CURRENT LIABILITIES</t>
  </si>
  <si>
    <t>Employee benefits</t>
  </si>
  <si>
    <t>SHAREHOLDERS’ EQUITY</t>
  </si>
  <si>
    <t>Data since 1st quarter 2008</t>
  </si>
  <si>
    <t>% of costs</t>
  </si>
  <si>
    <t>3Q09</t>
  </si>
  <si>
    <t>This Valuation Guide is based on the following assumptions:</t>
  </si>
  <si>
    <t>Coke</t>
  </si>
  <si>
    <t>0.6 tonnes</t>
  </si>
  <si>
    <t>Brazil BO</t>
  </si>
  <si>
    <t>North America BO</t>
  </si>
  <si>
    <t>EXCHANGE RATE</t>
  </si>
  <si>
    <t>Average Exchange Rate</t>
  </si>
  <si>
    <t>400 kWh/tonne</t>
  </si>
  <si>
    <t>R$ million</t>
  </si>
  <si>
    <t>End of Period Exchange Rate</t>
  </si>
  <si>
    <t>4Q09</t>
  </si>
  <si>
    <t>1Q10</t>
  </si>
  <si>
    <t>0.8 tonnes</t>
  </si>
  <si>
    <t>2Q10</t>
  </si>
  <si>
    <t>3Q10</t>
  </si>
  <si>
    <t xml:space="preserve">      Mini-mill</t>
  </si>
  <si>
    <t xml:space="preserve">      Integrated mill</t>
  </si>
  <si>
    <t xml:space="preserve">      EUA</t>
  </si>
  <si>
    <t xml:space="preserve">      Brazil</t>
  </si>
  <si>
    <t xml:space="preserve">The main Products </t>
  </si>
  <si>
    <t>4Q10</t>
  </si>
  <si>
    <t>1Q11</t>
  </si>
  <si>
    <t>2Q11</t>
  </si>
  <si>
    <t xml:space="preserve">More details </t>
  </si>
  <si>
    <t>Where to find information on the Gerdau website</t>
  </si>
  <si>
    <t>Website Gerdau¹ - Investors - Financial Information - Quarterly Results</t>
  </si>
  <si>
    <t>3Q11</t>
  </si>
  <si>
    <t>4Q11</t>
  </si>
  <si>
    <t>1Q12</t>
  </si>
  <si>
    <t>Eliminations</t>
  </si>
  <si>
    <t>Special Steel BO</t>
  </si>
  <si>
    <t>-</t>
  </si>
  <si>
    <t>2Q12</t>
  </si>
  <si>
    <t>&gt; Debt Details</t>
  </si>
  <si>
    <t>&gt; Plant Capacity</t>
  </si>
  <si>
    <t>3Q12</t>
  </si>
  <si>
    <t>&gt; Quarterly Results</t>
  </si>
  <si>
    <t>4Q12</t>
  </si>
  <si>
    <t>1Q13</t>
  </si>
  <si>
    <t>1T13</t>
  </si>
  <si>
    <t>2Q13</t>
  </si>
  <si>
    <t>Interest on the debt</t>
  </si>
  <si>
    <t>GROSS DEBT (principal)</t>
  </si>
  <si>
    <t>CASH AND CASH EQUIVALENTS</t>
  </si>
  <si>
    <t>COST OF DEBT</t>
  </si>
  <si>
    <t>3Q13</t>
  </si>
  <si>
    <t>4Q13</t>
  </si>
  <si>
    <t>1Q14</t>
  </si>
  <si>
    <t>Net Sales</t>
  </si>
  <si>
    <t>Gross Profit</t>
  </si>
  <si>
    <t>2Q14</t>
  </si>
  <si>
    <t>Automotive (light vehicle)</t>
  </si>
  <si>
    <t>Automotive (heavy vehicle)</t>
  </si>
  <si>
    <t>Industrial (oil, gas, energy)</t>
  </si>
  <si>
    <t>40</t>
  </si>
  <si>
    <t>20</t>
  </si>
  <si>
    <t>3Q14</t>
  </si>
  <si>
    <t>Website Gerdau¹ - Investors - Financial Information - SEC Files - Form 20F (NOTE - LOANS AND FINANCING)</t>
  </si>
  <si>
    <t>Website Gerdau¹ - Investors - Financial Information - SEC Files - Form 20F (20-F in the item 4.D - PROPERTY, PLANT AND EQUIPMENT)</t>
  </si>
  <si>
    <t>4Q14</t>
  </si>
  <si>
    <t>Scrap, pig iron, iron ore and metallic alloys.</t>
  </si>
  <si>
    <t>Coal, coke, electricity, oxygen, natural gas and fuel oil.</t>
  </si>
  <si>
    <t>Losses from impairment of assets</t>
  </si>
  <si>
    <t>Gains in joint-ventures operations</t>
  </si>
  <si>
    <t>1Q15</t>
  </si>
  <si>
    <t>2Q15</t>
  </si>
  <si>
    <t xml:space="preserve">GROSS DEBT </t>
  </si>
  <si>
    <t>NET DEBT</t>
  </si>
  <si>
    <t>GROSS DEBT BY CURRENCY</t>
  </si>
  <si>
    <t>3Q15</t>
  </si>
  <si>
    <t>South America BO</t>
  </si>
  <si>
    <t>EBITDA Adjusted</t>
  </si>
  <si>
    <t>(+) Losses from impairment of assets</t>
  </si>
  <si>
    <t>(+) Reversal of the writeoff of fiscal assets diferred</t>
  </si>
  <si>
    <t>4Q15</t>
  </si>
  <si>
    <t>NET INCOME (LOSS) ADJUSTED IN THE PERIOD</t>
  </si>
  <si>
    <t>NET INCOME (LOSS) IN THE PERIOD</t>
  </si>
  <si>
    <t>Note: Market references considering approximate amounts for steel plants in general, with actual amounts varying in accordance with product quality and raw materials specifications. The references don't apply directly at Gerdau's mills.</t>
  </si>
  <si>
    <t>0.2 tonnes</t>
  </si>
  <si>
    <t>13 kg/t</t>
  </si>
  <si>
    <t>5 a 30kg/t</t>
  </si>
  <si>
    <t>4 Kg/t</t>
  </si>
  <si>
    <t>Alloys</t>
  </si>
  <si>
    <t>Electrodes</t>
  </si>
  <si>
    <t>1 Combined products to form a total mettalic input of 1,1 tonne. This mix can be adjusted due to availability and economical reasons, up to a maximum utilization of 40% of pig iron in the mix.</t>
  </si>
  <si>
    <t>2 Reference ratio.  The metallurgical coal will be used to produce coke in the process.</t>
  </si>
  <si>
    <t>Consolidated</t>
  </si>
  <si>
    <t>¹Website Gerdau - www.gerdau.com.br</t>
  </si>
  <si>
    <t>1Q16</t>
  </si>
  <si>
    <t>2Q16</t>
  </si>
  <si>
    <t>Declaration:</t>
  </si>
  <si>
    <r>
      <rPr>
        <b/>
        <sz val="12"/>
        <color indexed="23"/>
        <rFont val="Calibri"/>
        <family val="2"/>
      </rPr>
      <t>Updating:</t>
    </r>
    <r>
      <rPr>
        <b/>
        <sz val="12"/>
        <color indexed="18"/>
        <rFont val="Calibri"/>
        <family val="2"/>
      </rPr>
      <t xml:space="preserve"> </t>
    </r>
    <r>
      <rPr>
        <sz val="12"/>
        <color indexed="18"/>
        <rFont val="Calibri"/>
        <family val="2"/>
      </rPr>
      <t>quarterly</t>
    </r>
  </si>
  <si>
    <r>
      <rPr>
        <b/>
        <sz val="12"/>
        <color indexed="23"/>
        <rFont val="Calibri"/>
        <family val="2"/>
      </rPr>
      <t>Accounting standard:</t>
    </r>
    <r>
      <rPr>
        <b/>
        <sz val="12"/>
        <color indexed="18"/>
        <rFont val="Calibri"/>
        <family val="2"/>
      </rPr>
      <t xml:space="preserve"> </t>
    </r>
    <r>
      <rPr>
        <sz val="12"/>
        <color indexed="18"/>
        <rFont val="Calibri"/>
        <family val="2"/>
      </rPr>
      <t>IFRS</t>
    </r>
  </si>
  <si>
    <r>
      <rPr>
        <b/>
        <sz val="12"/>
        <color indexed="23"/>
        <rFont val="Calibri"/>
        <family val="2"/>
      </rPr>
      <t xml:space="preserve">Cost accounting standard: </t>
    </r>
    <r>
      <rPr>
        <sz val="12"/>
        <color indexed="18"/>
        <rFont val="Calibri"/>
        <family val="2"/>
      </rPr>
      <t>average cost</t>
    </r>
  </si>
  <si>
    <r>
      <rPr>
        <b/>
        <sz val="12"/>
        <color indexed="23"/>
        <rFont val="Calibri"/>
        <family val="2"/>
      </rPr>
      <t xml:space="preserve">Debt information: </t>
    </r>
    <r>
      <rPr>
        <sz val="12"/>
        <color indexed="18"/>
        <rFont val="Calibri"/>
        <family val="2"/>
      </rPr>
      <t>includes debentures</t>
    </r>
  </si>
  <si>
    <r>
      <rPr>
        <b/>
        <sz val="12"/>
        <color indexed="23"/>
        <rFont val="Calibri"/>
        <family val="2"/>
      </rPr>
      <t>Functional currency:</t>
    </r>
    <r>
      <rPr>
        <sz val="12"/>
        <color indexed="18"/>
        <rFont val="Calibri"/>
        <family val="2"/>
      </rPr>
      <t xml:space="preserve"> Brazilian real - R$ (For overseas companies, Income Statement accounts are converted based on the average exchange rate in the quarter, while Balance Sheet accounts are converted based on the exchange rate at the end of the quarter).</t>
    </r>
  </si>
  <si>
    <r>
      <t xml:space="preserve">Main inputs for the production of </t>
    </r>
    <r>
      <rPr>
        <b/>
        <sz val="12"/>
        <color indexed="18"/>
        <rFont val="Verdana"/>
        <family val="2"/>
      </rPr>
      <t xml:space="preserve">one tonne of steel </t>
    </r>
  </si>
  <si>
    <r>
      <t>Scrap</t>
    </r>
    <r>
      <rPr>
        <vertAlign val="superscript"/>
        <sz val="12"/>
        <color indexed="62"/>
        <rFont val="Calibri"/>
        <family val="2"/>
      </rPr>
      <t>1</t>
    </r>
  </si>
  <si>
    <r>
      <t>Solid pig iron</t>
    </r>
    <r>
      <rPr>
        <vertAlign val="superscript"/>
        <sz val="12"/>
        <color indexed="62"/>
        <rFont val="Calibri"/>
        <family val="2"/>
      </rPr>
      <t>1</t>
    </r>
  </si>
  <si>
    <r>
      <t>Coal</t>
    </r>
    <r>
      <rPr>
        <vertAlign val="superscript"/>
        <sz val="12"/>
        <color indexed="62"/>
        <rFont val="Calibri"/>
        <family val="2"/>
      </rPr>
      <t xml:space="preserve">2 </t>
    </r>
  </si>
  <si>
    <t>3Q16</t>
  </si>
  <si>
    <t>3T16</t>
  </si>
  <si>
    <t>4T16</t>
  </si>
  <si>
    <t>4Q16</t>
  </si>
  <si>
    <t>Adjusted EBITDA MARGIN</t>
  </si>
  <si>
    <t xml:space="preserve">(-) Results in subsidiaries and associate operations </t>
  </si>
  <si>
    <t>1Q17</t>
  </si>
  <si>
    <t>Reversal of contingent liabilities, net</t>
  </si>
  <si>
    <t>(-) Reversal of contingent liabilities, net</t>
  </si>
  <si>
    <t>(-)Reversal of monetary update of contingent liabilities, net</t>
  </si>
  <si>
    <t>2Q17</t>
  </si>
  <si>
    <t>3Q17</t>
  </si>
  <si>
    <t>4Q17</t>
  </si>
  <si>
    <t>1Q18</t>
  </si>
  <si>
    <t>2Q18</t>
  </si>
  <si>
    <t>3Q18</t>
  </si>
  <si>
    <r>
      <rPr>
        <b/>
        <sz val="10"/>
        <color indexed="23"/>
        <rFont val="Barlow"/>
      </rPr>
      <t>Semi-integrated (mini-mill):</t>
    </r>
    <r>
      <rPr>
        <sz val="10"/>
        <color indexed="18"/>
        <rFont val="Barlow"/>
      </rPr>
      <t xml:space="preserve"> represents approximately 75% of the business</t>
    </r>
  </si>
  <si>
    <r>
      <rPr>
        <b/>
        <sz val="10"/>
        <color indexed="23"/>
        <rFont val="Barlow"/>
      </rPr>
      <t>Integrated (blast furnace):</t>
    </r>
    <r>
      <rPr>
        <b/>
        <sz val="10"/>
        <color indexed="18"/>
        <rFont val="Barlow"/>
      </rPr>
      <t xml:space="preserve"> </t>
    </r>
    <r>
      <rPr>
        <sz val="10"/>
        <color indexed="18"/>
        <rFont val="Barlow"/>
      </rPr>
      <t>represents approximately 25% of the business</t>
    </r>
  </si>
  <si>
    <t>To know more about the production process watch the video:</t>
  </si>
  <si>
    <t>Click here</t>
  </si>
  <si>
    <t>4Q18</t>
  </si>
  <si>
    <r>
      <t>Brazil BD</t>
    </r>
    <r>
      <rPr>
        <sz val="11"/>
        <color indexed="18"/>
        <rFont val="Barlow"/>
      </rPr>
      <t>: rebar, bar, wire rod, beam, drawn product, billet, bloom, slab and structural beam.</t>
    </r>
  </si>
  <si>
    <r>
      <t xml:space="preserve">South America BD: </t>
    </r>
    <r>
      <rPr>
        <sz val="11"/>
        <color indexed="18"/>
        <rFont val="Barlow"/>
      </rPr>
      <t>rebar, bar and drawn product.</t>
    </r>
  </si>
  <si>
    <t>Brazil BD</t>
  </si>
  <si>
    <t>North America BD</t>
  </si>
  <si>
    <t>South America BD</t>
  </si>
  <si>
    <t>Special Steel BD</t>
  </si>
  <si>
    <t>Business Division (BD):</t>
  </si>
  <si>
    <t>‘000  metric tonnes</t>
  </si>
  <si>
    <t>(-) Bonds repurchase expenses</t>
  </si>
  <si>
    <t>Brazil BD ¹</t>
  </si>
  <si>
    <t>North America BD ²</t>
  </si>
  <si>
    <t>30</t>
  </si>
  <si>
    <t>Distribution (50% Construction - 50% Industrial)</t>
  </si>
  <si>
    <r>
      <rPr>
        <b/>
        <sz val="11"/>
        <color indexed="18"/>
        <rFont val="Barlow"/>
      </rPr>
      <t>Specialty Steel BD</t>
    </r>
    <r>
      <rPr>
        <sz val="11"/>
        <color indexed="18"/>
        <rFont val="Barlow"/>
      </rPr>
      <t>: stainless steel, round, square and flat bar, wire rod.</t>
    </r>
  </si>
  <si>
    <r>
      <rPr>
        <b/>
        <sz val="11"/>
        <color indexed="18"/>
        <rFont val="Barlow"/>
      </rPr>
      <t>North America BD</t>
    </r>
    <r>
      <rPr>
        <sz val="11"/>
        <color indexed="18"/>
        <rFont val="Barlow"/>
      </rPr>
      <t>: rebar, bar, light and heavy structural beam.</t>
    </r>
  </si>
  <si>
    <t>1Q19</t>
  </si>
  <si>
    <t>1T19</t>
  </si>
  <si>
    <t xml:space="preserve">               </t>
  </si>
  <si>
    <t>Brazil BD - Pro forma</t>
  </si>
  <si>
    <t>North America BD - Pro forma</t>
  </si>
  <si>
    <t>Special Steel BD - Pro forma</t>
  </si>
  <si>
    <t>South America BD - Pro forma</t>
  </si>
  <si>
    <t>Consolidated - Pro forma</t>
  </si>
  <si>
    <t>Divestments</t>
  </si>
  <si>
    <t>Volumes (1,000 tonnes)</t>
  </si>
  <si>
    <t>Production of crude steel</t>
  </si>
  <si>
    <t xml:space="preserve">Shipments of steel </t>
  </si>
  <si>
    <t>Results (R$ million)</t>
  </si>
  <si>
    <t xml:space="preserve">Net Sales </t>
  </si>
  <si>
    <t>Cost of Goods Sold</t>
  </si>
  <si>
    <t>Gross profit</t>
  </si>
  <si>
    <t>Gross margin (%)</t>
  </si>
  <si>
    <t>Adjusted EBITDA</t>
  </si>
  <si>
    <t>Adjusted EBITDA Margin</t>
  </si>
  <si>
    <t>2Q19</t>
  </si>
  <si>
    <t>EBITDA/tonne - R$/t</t>
  </si>
  <si>
    <t>3Q19</t>
  </si>
  <si>
    <t/>
  </si>
  <si>
    <t xml:space="preserve">(-) Tax reversals/provisions </t>
  </si>
  <si>
    <t>(-/+) Income and social contribution taxes - non-recurring items</t>
  </si>
  <si>
    <t>(+) Income tax on reversal of contingent liabilities and restatement of these</t>
  </si>
  <si>
    <t>4Q19</t>
  </si>
  <si>
    <t>Impairment loss on trade receivables</t>
  </si>
  <si>
    <t>(+) Impacts from of Blast Furnace 1 at the Ouro Branco Mill and mini-mills</t>
  </si>
  <si>
    <t xml:space="preserve"> </t>
  </si>
  <si>
    <t>1Q20</t>
  </si>
  <si>
    <t>In other currencies</t>
  </si>
  <si>
    <t>2Q20</t>
  </si>
  <si>
    <t>‘1000  metric tonnes</t>
  </si>
  <si>
    <t>local</t>
  </si>
  <si>
    <t>pais</t>
  </si>
  <si>
    <t>tipo</t>
  </si>
  <si>
    <t>on</t>
  </si>
  <si>
    <t>lat</t>
  </si>
  <si>
    <t>lng</t>
  </si>
  <si>
    <t>ACOMINAS</t>
  </si>
  <si>
    <t>Brazil</t>
  </si>
  <si>
    <t>BF</t>
  </si>
  <si>
    <t>ON BRASIL</t>
  </si>
  <si>
    <t>ARACARIGUAMA</t>
  </si>
  <si>
    <t>EAF</t>
  </si>
  <si>
    <t>COSIGUA</t>
  </si>
  <si>
    <t>DIVINOPOLIS</t>
  </si>
  <si>
    <t>RIOGRANDENSE</t>
  </si>
  <si>
    <t>BARAO COCAIS</t>
  </si>
  <si>
    <t>ACONORTE</t>
  </si>
  <si>
    <t>CEARENSE</t>
  </si>
  <si>
    <t>GUAIRA</t>
  </si>
  <si>
    <t>USIBA</t>
  </si>
  <si>
    <t>PINDA</t>
  </si>
  <si>
    <t>ON ESPECIAIS</t>
  </si>
  <si>
    <t>CHARQUEADAS</t>
  </si>
  <si>
    <t>MONROE</t>
  </si>
  <si>
    <t>United States of America</t>
  </si>
  <si>
    <t>FORTH SMITH</t>
  </si>
  <si>
    <t>MOGI</t>
  </si>
  <si>
    <t>JACKSONMI</t>
  </si>
  <si>
    <t>BASAURI</t>
  </si>
  <si>
    <t>Spain</t>
  </si>
  <si>
    <t>REINOSA</t>
  </si>
  <si>
    <t>GSB ACERO</t>
  </si>
  <si>
    <t>INDIA</t>
  </si>
  <si>
    <t>India</t>
  </si>
  <si>
    <t>PERU</t>
  </si>
  <si>
    <t>Peru</t>
  </si>
  <si>
    <t>ON AM. SUL</t>
  </si>
  <si>
    <t>ARGENTINA</t>
  </si>
  <si>
    <t>Argentina</t>
  </si>
  <si>
    <t>VENEZUELA</t>
  </si>
  <si>
    <t>Venezuela</t>
  </si>
  <si>
    <t>URUGUAI</t>
  </si>
  <si>
    <t>Uruguay</t>
  </si>
  <si>
    <t>CHILE</t>
  </si>
  <si>
    <t>Chile</t>
  </si>
  <si>
    <t>COLOMBIA</t>
  </si>
  <si>
    <t>Colombia</t>
  </si>
  <si>
    <t>MEXICO</t>
  </si>
  <si>
    <t>Mexico</t>
  </si>
  <si>
    <t>ON AM. NORTE</t>
  </si>
  <si>
    <t>MIDLOTHIAN</t>
  </si>
  <si>
    <t>PETERSBURG</t>
  </si>
  <si>
    <t>WHITBY</t>
  </si>
  <si>
    <t>Canada</t>
  </si>
  <si>
    <t>CARTESVILLE</t>
  </si>
  <si>
    <t>JACKSON</t>
  </si>
  <si>
    <t>ST PAUL</t>
  </si>
  <si>
    <t>CHARLOTTE</t>
  </si>
  <si>
    <t>MANITOBA</t>
  </si>
  <si>
    <t>WILTON</t>
  </si>
  <si>
    <t>SAYREVILLE</t>
  </si>
  <si>
    <t>SAND SPRINGS</t>
  </si>
  <si>
    <t>PERTH AMBOY</t>
  </si>
  <si>
    <t>KNOXVILLE</t>
  </si>
  <si>
    <t>JACKSONVILLE</t>
  </si>
  <si>
    <t>CUCAMONGA</t>
  </si>
  <si>
    <t>CAMBRIDGE</t>
  </si>
  <si>
    <t>BEAUMONT</t>
  </si>
  <si>
    <t>AGUAFUNDA</t>
  </si>
  <si>
    <t>SOROCABA</t>
  </si>
  <si>
    <t>AZKOITIA</t>
  </si>
  <si>
    <t>VITORIA</t>
  </si>
  <si>
    <t>CALVERT CITY</t>
  </si>
  <si>
    <t>JOLIET</t>
  </si>
  <si>
    <t>ROLLING MILL CAPACITY - 2O-F SOURCE</t>
  </si>
  <si>
    <t xml:space="preserve">      India</t>
  </si>
  <si>
    <t>3Q20</t>
  </si>
  <si>
    <t>TOTAL LIABILITIES AND EQUITY</t>
  </si>
  <si>
    <t xml:space="preserve">1.  Assumptions </t>
  </si>
  <si>
    <t>2.  Production Process (metallic charge)</t>
  </si>
  <si>
    <t>3.  Production Capacity</t>
  </si>
  <si>
    <t>4.  Production</t>
  </si>
  <si>
    <t>5.  Shipments</t>
  </si>
  <si>
    <t>6.  Investments</t>
  </si>
  <si>
    <t>7.  Indebtedness</t>
  </si>
  <si>
    <t>8.  Financial Statements</t>
  </si>
  <si>
    <t>10.  Costs</t>
  </si>
  <si>
    <t>11.  Pro forma Results</t>
  </si>
  <si>
    <t>12.  Lab Data Science Capacity</t>
  </si>
  <si>
    <r>
      <rPr>
        <b/>
        <sz val="12"/>
        <color indexed="23"/>
        <rFont val="Barlow"/>
      </rPr>
      <t>Volume unit:</t>
    </r>
    <r>
      <rPr>
        <b/>
        <sz val="12"/>
        <color indexed="18"/>
        <rFont val="Barlow"/>
      </rPr>
      <t xml:space="preserve"> </t>
    </r>
    <r>
      <rPr>
        <sz val="12"/>
        <color indexed="18"/>
        <rFont val="Barlow"/>
      </rPr>
      <t>Metric Ton (1 metric ton = 1,1 short ton)</t>
    </r>
  </si>
  <si>
    <t>‘000 metric tonnes</t>
  </si>
  <si>
    <t>9.  Business Division Results</t>
  </si>
  <si>
    <t>Mar/18</t>
  </si>
  <si>
    <t>Jun/18</t>
  </si>
  <si>
    <t>Sep/18</t>
  </si>
  <si>
    <t>Dec/18</t>
  </si>
  <si>
    <t>Mar/19</t>
  </si>
  <si>
    <t>Jun/19</t>
  </si>
  <si>
    <t>Sep/19</t>
  </si>
  <si>
    <t>Dec/19</t>
  </si>
  <si>
    <t>Mar/20</t>
  </si>
  <si>
    <t>Jun/20</t>
  </si>
  <si>
    <t>Sep/20</t>
  </si>
  <si>
    <t>Dec/20</t>
  </si>
  <si>
    <t>4Q20</t>
  </si>
  <si>
    <t>Note: the capacities of the plants temporarily shut down are not considered.</t>
  </si>
  <si>
    <t>Flat industry</t>
  </si>
  <si>
    <t>Long industry</t>
  </si>
  <si>
    <t>Long construction</t>
  </si>
  <si>
    <t>GROSS DEBT: MATURITY</t>
  </si>
  <si>
    <t>Mar/21</t>
  </si>
  <si>
    <t>1Q21</t>
  </si>
  <si>
    <t>Others</t>
  </si>
  <si>
    <t>SILAT</t>
  </si>
  <si>
    <t>CRUDE STEEL CAPACITY - 20-F SOURCE (2020  CORPORATE GOVERNANCE REFERENCE)</t>
  </si>
  <si>
    <t>Jun/21</t>
  </si>
  <si>
    <t>2Q21</t>
  </si>
  <si>
    <t>2028 and beyond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</si>
</sst>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_);_(* \(#,##0.0\);_(* &quot;-&quot;??_);_(@_)"/>
    <numFmt numFmtId="166" formatCode="0.0%"/>
    <numFmt numFmtId="167" formatCode="[$-416]mmmm\-yy;@"/>
    <numFmt numFmtId="168" formatCode="_-* #,##0_-;\-* #,##0_-;_-* &quot;-&quot;??_-;_-@_-"/>
    <numFmt numFmtId="169" formatCode="_-* #,##0.00\ _€_-;\-* #,##0.00\ _€_-;_-* &quot;-&quot;??\ _€_-;_-@_-"/>
  </numFmts>
  <fonts count="123">
    <font>
      <sz val="10"/>
      <name val="Arial"/>
    </font>
    <font>
      <sz val="10"/>
      <name val="Arial"/>
    </font>
    <font>
      <sz val="8"/>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color indexed="18"/>
      <name val="Verdana"/>
      <family val="2"/>
    </font>
    <font>
      <b/>
      <sz val="10"/>
      <name val="Verdana"/>
      <family val="2"/>
    </font>
    <font>
      <sz val="10"/>
      <color indexed="18"/>
      <name val="Verdana"/>
      <family val="2"/>
    </font>
    <font>
      <i/>
      <sz val="10"/>
      <name val="Verdana"/>
      <family val="2"/>
    </font>
    <font>
      <b/>
      <sz val="11"/>
      <color indexed="18"/>
      <name val="Verdana"/>
      <family val="2"/>
    </font>
    <font>
      <sz val="8"/>
      <color indexed="18"/>
      <name val="Verdana"/>
      <family val="2"/>
    </font>
    <font>
      <b/>
      <sz val="12"/>
      <color indexed="18"/>
      <name val="Verdana"/>
      <family val="2"/>
    </font>
    <font>
      <b/>
      <sz val="14"/>
      <color indexed="18"/>
      <name val="Verdana"/>
      <family val="2"/>
    </font>
    <font>
      <b/>
      <sz val="10"/>
      <color indexed="10"/>
      <name val="Verdana"/>
      <family val="2"/>
    </font>
    <font>
      <sz val="8"/>
      <name val="Arial"/>
      <family val="2"/>
    </font>
    <font>
      <sz val="12"/>
      <color indexed="18"/>
      <name val="Calibri"/>
      <family val="2"/>
    </font>
    <font>
      <b/>
      <sz val="12"/>
      <color indexed="18"/>
      <name val="Calibri"/>
      <family val="2"/>
    </font>
    <font>
      <b/>
      <sz val="12"/>
      <color indexed="23"/>
      <name val="Calibri"/>
      <family val="2"/>
    </font>
    <font>
      <vertAlign val="superscript"/>
      <sz val="12"/>
      <color indexed="62"/>
      <name val="Calibri"/>
      <family val="2"/>
    </font>
    <font>
      <sz val="10"/>
      <name val="Barlow"/>
    </font>
    <font>
      <b/>
      <sz val="10"/>
      <color indexed="18"/>
      <name val="Barlow"/>
    </font>
    <font>
      <b/>
      <i/>
      <sz val="10"/>
      <color indexed="18"/>
      <name val="Barlow"/>
    </font>
    <font>
      <u/>
      <sz val="10"/>
      <color indexed="12"/>
      <name val="Barlow"/>
    </font>
    <font>
      <b/>
      <sz val="10"/>
      <name val="Barlow"/>
    </font>
    <font>
      <sz val="12"/>
      <name val="Barlow"/>
    </font>
    <font>
      <sz val="12"/>
      <color indexed="18"/>
      <name val="Barlow"/>
    </font>
    <font>
      <b/>
      <sz val="12"/>
      <color indexed="18"/>
      <name val="Barlow"/>
    </font>
    <font>
      <sz val="9"/>
      <color indexed="18"/>
      <name val="Barlow"/>
    </font>
    <font>
      <sz val="9"/>
      <name val="Barlow"/>
    </font>
    <font>
      <sz val="10"/>
      <color indexed="18"/>
      <name val="Barlow"/>
    </font>
    <font>
      <sz val="11"/>
      <color indexed="18"/>
      <name val="Barlow"/>
    </font>
    <font>
      <b/>
      <sz val="11"/>
      <color indexed="18"/>
      <name val="Barlow"/>
    </font>
    <font>
      <b/>
      <sz val="10"/>
      <color indexed="23"/>
      <name val="Barlow"/>
    </font>
    <font>
      <b/>
      <u/>
      <sz val="12"/>
      <color indexed="52"/>
      <name val="Barlow"/>
    </font>
    <font>
      <b/>
      <sz val="11"/>
      <color indexed="18"/>
      <name val="Baarlow"/>
    </font>
    <font>
      <b/>
      <sz val="11"/>
      <color indexed="12"/>
      <name val="Barlow"/>
    </font>
    <font>
      <sz val="11"/>
      <name val="Barlow"/>
    </font>
    <font>
      <sz val="11"/>
      <color indexed="10"/>
      <name val="Barlow"/>
    </font>
    <font>
      <b/>
      <sz val="11"/>
      <color indexed="44"/>
      <name val="Barlow"/>
    </font>
    <font>
      <b/>
      <sz val="11"/>
      <name val="Barlow"/>
    </font>
    <font>
      <sz val="11"/>
      <color indexed="62"/>
      <name val="Barlow"/>
    </font>
    <font>
      <b/>
      <sz val="11"/>
      <color indexed="62"/>
      <name val="Barlow"/>
    </font>
    <font>
      <sz val="8"/>
      <color indexed="18"/>
      <name val="Barlow"/>
    </font>
    <font>
      <b/>
      <sz val="8"/>
      <color indexed="18"/>
      <name val="Barlow"/>
    </font>
    <font>
      <b/>
      <sz val="11"/>
      <color indexed="10"/>
      <name val="Barlow"/>
    </font>
    <font>
      <sz val="11"/>
      <name val="Barlow "/>
    </font>
    <font>
      <b/>
      <sz val="11"/>
      <color indexed="18"/>
      <name val="Barlow "/>
    </font>
    <font>
      <sz val="11"/>
      <color indexed="18"/>
      <name val="Barlow "/>
    </font>
    <font>
      <i/>
      <sz val="11"/>
      <name val="Barlow "/>
    </font>
    <font>
      <b/>
      <i/>
      <sz val="11"/>
      <name val="Barlow "/>
    </font>
    <font>
      <b/>
      <sz val="10"/>
      <color indexed="44"/>
      <name val="Barlow"/>
    </font>
    <font>
      <sz val="10"/>
      <name val="Arial"/>
      <family val="2"/>
    </font>
    <font>
      <sz val="10"/>
      <name val="Arial"/>
      <family val="2"/>
    </font>
    <font>
      <b/>
      <sz val="11"/>
      <color indexed="9"/>
      <name val="Barlow"/>
    </font>
    <font>
      <b/>
      <i/>
      <sz val="11"/>
      <color indexed="18"/>
      <name val="Barlow "/>
    </font>
    <font>
      <b/>
      <sz val="16"/>
      <name val="Barlow"/>
    </font>
    <font>
      <sz val="10"/>
      <name val="Arial"/>
    </font>
    <font>
      <i/>
      <sz val="10"/>
      <name val="Barlow"/>
    </font>
    <font>
      <sz val="10"/>
      <color indexed="10"/>
      <name val="Barlow"/>
    </font>
    <font>
      <sz val="11"/>
      <name val="Arial"/>
      <family val="2"/>
    </font>
    <font>
      <b/>
      <sz val="12"/>
      <color indexed="23"/>
      <name val="Barlow"/>
    </font>
    <font>
      <sz val="10"/>
      <name val="MS Sans Serif"/>
      <family val="2"/>
    </font>
    <font>
      <sz val="11"/>
      <color theme="1"/>
      <name val="Calibri"/>
      <family val="2"/>
      <scheme val="minor"/>
    </font>
    <font>
      <sz val="10"/>
      <color rgb="FF000080"/>
      <name val="Verdana"/>
      <family val="2"/>
    </font>
    <font>
      <sz val="10"/>
      <color rgb="FF000080"/>
      <name val="Arial"/>
      <family val="2"/>
    </font>
    <font>
      <sz val="9"/>
      <color theme="3"/>
      <name val="Arial"/>
      <family val="2"/>
    </font>
    <font>
      <sz val="10"/>
      <color rgb="FF002060"/>
      <name val="Verdana"/>
      <family val="2"/>
    </font>
    <font>
      <sz val="11"/>
      <name val="Calibri"/>
      <family val="2"/>
      <scheme val="minor"/>
    </font>
    <font>
      <b/>
      <sz val="11"/>
      <name val="Calibri"/>
      <family val="2"/>
      <scheme val="minor"/>
    </font>
    <font>
      <sz val="11"/>
      <color indexed="10"/>
      <name val="Calibri"/>
      <family val="2"/>
      <scheme val="minor"/>
    </font>
    <font>
      <sz val="11"/>
      <color indexed="18"/>
      <name val="Calibri"/>
      <family val="2"/>
      <scheme val="minor"/>
    </font>
    <font>
      <b/>
      <sz val="11"/>
      <color indexed="12"/>
      <name val="Calibri"/>
      <family val="2"/>
      <scheme val="minor"/>
    </font>
    <font>
      <b/>
      <sz val="11"/>
      <color rgb="FF000066"/>
      <name val="Calibri"/>
      <family val="2"/>
      <scheme val="minor"/>
    </font>
    <font>
      <i/>
      <sz val="11"/>
      <name val="Calibri"/>
      <family val="2"/>
      <scheme val="minor"/>
    </font>
    <font>
      <b/>
      <sz val="11"/>
      <color indexed="18"/>
      <name val="Calibri"/>
      <family val="2"/>
      <scheme val="minor"/>
    </font>
    <font>
      <sz val="11"/>
      <color rgb="FF000066"/>
      <name val="Calibri"/>
      <family val="2"/>
      <scheme val="minor"/>
    </font>
    <font>
      <sz val="11"/>
      <color indexed="62"/>
      <name val="Calibri"/>
      <family val="2"/>
      <scheme val="minor"/>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b/>
      <sz val="11"/>
      <color rgb="FF002060"/>
      <name val="Barlow"/>
    </font>
    <font>
      <b/>
      <sz val="10"/>
      <color rgb="FF002060"/>
      <name val="Verdana"/>
      <family val="2"/>
    </font>
    <font>
      <i/>
      <sz val="10"/>
      <color rgb="FF002060"/>
      <name val="Verdana"/>
      <family val="2"/>
    </font>
    <font>
      <i/>
      <sz val="10"/>
      <color rgb="FF002060"/>
      <name val="Barlow"/>
    </font>
    <font>
      <sz val="8"/>
      <color rgb="FF002060"/>
      <name val="Barlow"/>
    </font>
    <font>
      <sz val="11"/>
      <color rgb="FF002060"/>
      <name val="Barlow "/>
    </font>
    <font>
      <b/>
      <sz val="11"/>
      <color rgb="FF002060"/>
      <name val="Barlow "/>
    </font>
    <font>
      <sz val="11"/>
      <color theme="0"/>
      <name val="Barlow"/>
    </font>
    <font>
      <b/>
      <sz val="11"/>
      <color theme="0"/>
      <name val="Barlow"/>
    </font>
    <font>
      <b/>
      <sz val="11"/>
      <color theme="3"/>
      <name val="Barlow"/>
    </font>
    <font>
      <sz val="11"/>
      <color theme="3"/>
      <name val="Barlow"/>
    </font>
    <font>
      <sz val="11"/>
      <color theme="1" tint="0.499984740745262"/>
      <name val="Barlow"/>
    </font>
    <font>
      <u/>
      <sz val="10"/>
      <color rgb="FF008080"/>
      <name val="Barlow"/>
    </font>
    <font>
      <u/>
      <sz val="12"/>
      <color rgb="FF008080"/>
      <name val="Barlow"/>
    </font>
    <font>
      <b/>
      <sz val="10"/>
      <color rgb="FF000080"/>
      <name val="Barlow"/>
    </font>
    <font>
      <b/>
      <sz val="11"/>
      <color rgb="FF000080"/>
      <name val="Barlow"/>
    </font>
    <font>
      <sz val="11"/>
      <color rgb="FF000080"/>
      <name val="Barlow"/>
    </font>
    <font>
      <b/>
      <i/>
      <sz val="11"/>
      <color rgb="FF000080"/>
      <name val="Barlow"/>
    </font>
    <font>
      <sz val="11"/>
      <color rgb="FF000080"/>
      <name val="Calibri"/>
      <family val="2"/>
    </font>
    <font>
      <b/>
      <sz val="11"/>
      <color theme="1" tint="0.499984740745262"/>
      <name val="Barlow"/>
    </font>
    <font>
      <sz val="8"/>
      <color theme="0" tint="-0.499984740745262"/>
      <name val="Verdana"/>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rgb="FFFF0000"/>
        <bgColor indexed="64"/>
      </patternFill>
    </fill>
    <fill>
      <patternFill patternType="solid">
        <fgColor rgb="FFFFFF00"/>
        <bgColor indexed="64"/>
      </patternFill>
    </fill>
    <fill>
      <patternFill patternType="solid">
        <fgColor rgb="FFD9D9D9"/>
        <bgColor rgb="FF000000"/>
      </patternFill>
    </fill>
    <fill>
      <patternFill patternType="solid">
        <fgColor rgb="FFF2F2F2"/>
        <bgColor rgb="FF000000"/>
      </patternFill>
    </fill>
    <fill>
      <patternFill patternType="solid">
        <fgColor rgb="FFFFFFFF"/>
        <bgColor rgb="FF000000"/>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tted">
        <color indexed="23"/>
      </left>
      <right/>
      <top/>
      <bottom/>
      <diagonal/>
    </border>
    <border>
      <left/>
      <right/>
      <top/>
      <bottom style="thick">
        <color indexed="23"/>
      </bottom>
      <diagonal/>
    </border>
    <border>
      <left/>
      <right/>
      <top/>
      <bottom style="thick">
        <color indexed="55"/>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right/>
      <top/>
      <bottom style="thin">
        <color indexed="64"/>
      </bottom>
      <diagonal/>
    </border>
    <border>
      <left/>
      <right style="dotted">
        <color indexed="23"/>
      </right>
      <top style="mediumDashed">
        <color theme="4" tint="-0.249977111117893"/>
      </top>
      <bottom/>
      <diagonal/>
    </border>
    <border>
      <left style="dotted">
        <color indexed="23"/>
      </left>
      <right/>
      <top style="mediumDashed">
        <color theme="4" tint="-0.249977111117893"/>
      </top>
      <bottom/>
      <diagonal/>
    </border>
    <border>
      <left/>
      <right style="dotted">
        <color indexed="23"/>
      </right>
      <top/>
      <bottom style="mediumDashed">
        <color theme="4" tint="-0.249977111117893"/>
      </bottom>
      <diagonal/>
    </border>
    <border>
      <left style="dotted">
        <color indexed="23"/>
      </left>
      <right/>
      <top/>
      <bottom style="mediumDashed">
        <color theme="4" tint="-0.249977111117893"/>
      </bottom>
      <diagonal/>
    </border>
    <border>
      <left style="mediumDashed">
        <color theme="0"/>
      </left>
      <right style="mediumDashed">
        <color theme="0"/>
      </right>
      <top/>
      <bottom/>
      <diagonal/>
    </border>
    <border>
      <left/>
      <right/>
      <top/>
      <bottom style="thick">
        <color theme="0" tint="-0.499984740745262"/>
      </bottom>
      <diagonal/>
    </border>
    <border>
      <left/>
      <right/>
      <top/>
      <bottom style="medium">
        <color theme="0" tint="-0.499984740745262"/>
      </bottom>
      <diagonal/>
    </border>
    <border>
      <left/>
      <right/>
      <top/>
      <bottom style="mediumDashed">
        <color theme="4" tint="-0.249977111117893"/>
      </bottom>
      <diagonal/>
    </border>
    <border>
      <left/>
      <right/>
      <top/>
      <bottom style="mediumDashed">
        <color rgb="FF002060"/>
      </bottom>
      <diagonal/>
    </border>
    <border>
      <left/>
      <right/>
      <top/>
      <bottom style="thick">
        <color rgb="FF808080"/>
      </bottom>
      <diagonal/>
    </border>
    <border>
      <left/>
      <right/>
      <top style="mediumDashed">
        <color theme="4" tint="-0.249977111117893"/>
      </top>
      <bottom/>
      <diagonal/>
    </border>
    <border>
      <left/>
      <right/>
      <top/>
      <bottom style="medium">
        <color rgb="FF969696"/>
      </bottom>
      <diagonal/>
    </border>
    <border>
      <left/>
      <right/>
      <top/>
      <bottom style="medium">
        <color theme="0"/>
      </bottom>
      <diagonal/>
    </border>
  </borders>
  <cellStyleXfs count="63">
    <xf numFmtId="0" fontId="0" fillId="0" borderId="0"/>
    <xf numFmtId="0" fontId="67" fillId="0" borderId="0"/>
    <xf numFmtId="0" fontId="66" fillId="0" borderId="0"/>
    <xf numFmtId="0" fontId="67" fillId="0" borderId="0"/>
    <xf numFmtId="0" fontId="66"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9" fillId="0" borderId="3"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76" fillId="0" borderId="0"/>
    <xf numFmtId="0" fontId="77" fillId="0" borderId="0"/>
    <xf numFmtId="0" fontId="1" fillId="22" borderId="4" applyNumberFormat="0" applyFont="0" applyAlignment="0" applyProtection="0"/>
    <xf numFmtId="0" fontId="66" fillId="22" borderId="4" applyNumberFormat="0" applyFont="0" applyAlignment="0" applyProtection="0"/>
    <xf numFmtId="9" fontId="1" fillId="0" borderId="0" applyFont="0" applyFill="0" applyBorder="0" applyAlignment="0" applyProtection="0"/>
    <xf numFmtId="9" fontId="67" fillId="0" borderId="0" applyFont="0" applyFill="0" applyBorder="0" applyAlignment="0" applyProtection="0"/>
    <xf numFmtId="9" fontId="66" fillId="0" borderId="0" applyFont="0" applyFill="0" applyBorder="0" applyAlignment="0" applyProtection="0"/>
    <xf numFmtId="0" fontId="11" fillId="16" borderId="5" applyNumberFormat="0" applyAlignment="0" applyProtection="0"/>
    <xf numFmtId="169" fontId="67" fillId="0" borderId="0" applyFont="0" applyFill="0" applyBorder="0" applyAlignment="0" applyProtection="0"/>
    <xf numFmtId="169" fontId="67"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9" applyNumberFormat="0" applyFill="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1" fillId="0" borderId="0" applyFont="0" applyFill="0" applyBorder="0" applyAlignment="0" applyProtection="0"/>
    <xf numFmtId="43" fontId="66" fillId="0" borderId="0" applyFont="0" applyFill="0" applyBorder="0" applyAlignment="0" applyProtection="0"/>
  </cellStyleXfs>
  <cellXfs count="633">
    <xf numFmtId="0" fontId="0" fillId="0" borderId="0" xfId="0"/>
    <xf numFmtId="0" fontId="19" fillId="23" borderId="0" xfId="0" applyFont="1" applyFill="1"/>
    <xf numFmtId="0" fontId="19" fillId="0" borderId="0" xfId="0" applyFont="1"/>
    <xf numFmtId="0" fontId="20" fillId="23" borderId="0" xfId="0" applyFont="1" applyFill="1"/>
    <xf numFmtId="0" fontId="22" fillId="23" borderId="0" xfId="0" applyFont="1" applyFill="1"/>
    <xf numFmtId="164" fontId="21" fillId="23" borderId="0" xfId="56" applyNumberFormat="1" applyFont="1" applyFill="1"/>
    <xf numFmtId="164" fontId="19" fillId="23" borderId="0" xfId="0" applyNumberFormat="1" applyFont="1" applyFill="1"/>
    <xf numFmtId="164" fontId="20" fillId="23" borderId="0" xfId="56" applyNumberFormat="1" applyFont="1" applyFill="1"/>
    <xf numFmtId="0" fontId="23" fillId="23" borderId="0" xfId="0" applyFont="1" applyFill="1"/>
    <xf numFmtId="164" fontId="22" fillId="0" borderId="0" xfId="56" applyNumberFormat="1" applyFont="1"/>
    <xf numFmtId="0" fontId="20" fillId="0" borderId="0" xfId="0" applyFont="1" applyAlignment="1">
      <alignment horizontal="center" vertical="center" wrapText="1"/>
    </xf>
    <xf numFmtId="0" fontId="20" fillId="0" borderId="0" xfId="0" applyFont="1"/>
    <xf numFmtId="164" fontId="20" fillId="0" borderId="0" xfId="56" applyNumberFormat="1" applyFont="1"/>
    <xf numFmtId="164" fontId="22" fillId="0" borderId="0" xfId="56" applyNumberFormat="1" applyFont="1" applyAlignment="1">
      <alignment horizontal="center"/>
    </xf>
    <xf numFmtId="0" fontId="19" fillId="23" borderId="0" xfId="0" applyFont="1" applyFill="1" applyAlignment="1">
      <alignment vertical="center"/>
    </xf>
    <xf numFmtId="0" fontId="22" fillId="0" borderId="0" xfId="0" applyFont="1"/>
    <xf numFmtId="0" fontId="21" fillId="23" borderId="0" xfId="0" applyFont="1" applyFill="1" applyAlignment="1">
      <alignment vertical="center"/>
    </xf>
    <xf numFmtId="0" fontId="20" fillId="0" borderId="0" xfId="0" applyFont="1" applyAlignment="1">
      <alignment vertical="center" wrapText="1"/>
    </xf>
    <xf numFmtId="0" fontId="27" fillId="0" borderId="0" xfId="0" applyFont="1" applyAlignment="1">
      <alignment vertical="center"/>
    </xf>
    <xf numFmtId="0" fontId="26" fillId="0" borderId="0" xfId="0" applyFont="1" applyAlignment="1">
      <alignment vertical="center"/>
    </xf>
    <xf numFmtId="0" fontId="22" fillId="23" borderId="0" xfId="0" applyFont="1" applyFill="1" applyAlignment="1">
      <alignment vertical="center"/>
    </xf>
    <xf numFmtId="0" fontId="28" fillId="23" borderId="0" xfId="0" applyFont="1" applyFill="1" applyAlignment="1">
      <alignment vertical="center"/>
    </xf>
    <xf numFmtId="0" fontId="21" fillId="0" borderId="0" xfId="0" applyFont="1"/>
    <xf numFmtId="0" fontId="0" fillId="23" borderId="0" xfId="0" applyFill="1"/>
    <xf numFmtId="0" fontId="22" fillId="23" borderId="0" xfId="0" applyFont="1" applyFill="1" applyAlignment="1">
      <alignment vertical="center" wrapText="1"/>
    </xf>
    <xf numFmtId="0" fontId="19" fillId="26" borderId="0" xfId="0" applyFont="1" applyFill="1"/>
    <xf numFmtId="0" fontId="19" fillId="26" borderId="0" xfId="0" applyFont="1" applyFill="1"/>
    <xf numFmtId="0" fontId="19" fillId="27" borderId="0" xfId="0" applyFont="1" applyFill="1"/>
    <xf numFmtId="0" fontId="78" fillId="25" borderId="0" xfId="34" applyFont="1" applyFill="1" applyAlignment="1" applyProtection="1">
      <alignment vertical="center" wrapText="1"/>
    </xf>
    <xf numFmtId="0" fontId="78" fillId="25" borderId="10" xfId="34" applyFont="1" applyFill="1" applyBorder="1" applyAlignment="1" applyProtection="1">
      <alignment vertical="center" wrapText="1"/>
    </xf>
    <xf numFmtId="0" fontId="78" fillId="23" borderId="0" xfId="0" applyFont="1" applyFill="1"/>
    <xf numFmtId="0" fontId="79" fillId="23" borderId="0" xfId="0" applyFont="1" applyFill="1"/>
    <xf numFmtId="0" fontId="19" fillId="0" borderId="0" xfId="0" applyFont="1" applyAlignment="1">
      <alignment vertical="center"/>
    </xf>
    <xf numFmtId="0" fontId="20" fillId="25" borderId="0" xfId="0" applyFont="1" applyFill="1" applyAlignment="1">
      <alignment horizontal="left" vertical="center"/>
    </xf>
    <xf numFmtId="0" fontId="78" fillId="0" borderId="0" xfId="0" applyFont="1"/>
    <xf numFmtId="0" fontId="80" fillId="0" borderId="0" xfId="0" applyFont="1"/>
    <xf numFmtId="0" fontId="24" fillId="0" borderId="0" xfId="0" applyFont="1"/>
    <xf numFmtId="0" fontId="81" fillId="23" borderId="17" xfId="0" applyFont="1" applyFill="1" applyBorder="1"/>
    <xf numFmtId="0" fontId="20" fillId="25" borderId="10" xfId="0" applyFont="1" applyFill="1" applyBorder="1" applyAlignment="1">
      <alignment horizontal="left" vertical="center"/>
    </xf>
    <xf numFmtId="0" fontId="81" fillId="23" borderId="18" xfId="0" applyFont="1" applyFill="1" applyBorder="1"/>
    <xf numFmtId="0" fontId="79" fillId="23" borderId="0" xfId="0" applyFont="1" applyFill="1"/>
    <xf numFmtId="0" fontId="78" fillId="25" borderId="19" xfId="34" applyFont="1" applyFill="1" applyBorder="1" applyAlignment="1" applyProtection="1">
      <alignment vertical="center" wrapText="1"/>
    </xf>
    <xf numFmtId="0" fontId="78" fillId="25" borderId="20" xfId="34" applyFont="1" applyFill="1" applyBorder="1" applyAlignment="1" applyProtection="1">
      <alignment vertical="center" wrapText="1"/>
    </xf>
    <xf numFmtId="0" fontId="82" fillId="23" borderId="0" xfId="0" applyFont="1" applyFill="1"/>
    <xf numFmtId="164" fontId="83" fillId="23" borderId="0" xfId="56" applyNumberFormat="1" applyFont="1" applyFill="1"/>
    <xf numFmtId="0" fontId="84" fillId="23" borderId="0" xfId="0" applyFont="1" applyFill="1" applyAlignment="1">
      <alignment horizontal="right"/>
    </xf>
    <xf numFmtId="164" fontId="82" fillId="23" borderId="0" xfId="0" applyNumberFormat="1" applyFont="1" applyFill="1"/>
    <xf numFmtId="0" fontId="82" fillId="23" borderId="0" xfId="0" applyFont="1" applyFill="1"/>
    <xf numFmtId="0" fontId="85" fillId="23" borderId="0" xfId="0" applyFont="1" applyFill="1"/>
    <xf numFmtId="0" fontId="86" fillId="23" borderId="0" xfId="0" applyFont="1" applyFill="1"/>
    <xf numFmtId="164" fontId="82" fillId="23" borderId="0" xfId="56" applyNumberFormat="1" applyFont="1" applyFill="1"/>
    <xf numFmtId="0" fontId="87" fillId="23" borderId="0" xfId="0" applyFont="1" applyFill="1"/>
    <xf numFmtId="0" fontId="88" fillId="23" borderId="0" xfId="0" applyFont="1" applyFill="1"/>
    <xf numFmtId="0" fontId="89" fillId="23" borderId="0" xfId="0" applyFont="1" applyFill="1" applyAlignment="1">
      <alignment horizontal="center" vertical="center" wrapText="1"/>
    </xf>
    <xf numFmtId="0" fontId="90" fillId="0" borderId="0" xfId="0" applyFont="1" applyAlignment="1">
      <alignment vertical="top"/>
    </xf>
    <xf numFmtId="0" fontId="91" fillId="0" borderId="0" xfId="0" applyFont="1" applyAlignment="1">
      <alignment vertical="top"/>
    </xf>
    <xf numFmtId="164" fontId="82" fillId="23" borderId="0" xfId="0" applyNumberFormat="1" applyFont="1" applyFill="1"/>
    <xf numFmtId="164" fontId="90" fillId="23" borderId="0" xfId="0" applyNumberFormat="1" applyFont="1" applyFill="1"/>
    <xf numFmtId="0" fontId="87" fillId="23" borderId="0" xfId="0" applyFont="1" applyFill="1" applyAlignment="1">
      <alignment horizontal="center"/>
    </xf>
    <xf numFmtId="164" fontId="87" fillId="0" borderId="0" xfId="56" applyNumberFormat="1" applyFont="1"/>
    <xf numFmtId="49" fontId="89" fillId="23" borderId="0" xfId="0" applyNumberFormat="1" applyFont="1" applyFill="1" applyAlignment="1">
      <alignment horizontal="center"/>
    </xf>
    <xf numFmtId="0" fontId="82" fillId="23" borderId="0" xfId="0" applyFont="1" applyFill="1" applyAlignment="1">
      <alignment vertical="center"/>
    </xf>
    <xf numFmtId="0" fontId="82" fillId="26" borderId="0" xfId="0" applyFont="1" applyFill="1"/>
    <xf numFmtId="0" fontId="89" fillId="26" borderId="0" xfId="0" applyFont="1" applyFill="1" applyAlignment="1">
      <alignment horizontal="center" vertical="center" wrapText="1"/>
    </xf>
    <xf numFmtId="0" fontId="82" fillId="23" borderId="0" xfId="0" applyFont="1" applyFill="1"/>
    <xf numFmtId="0" fontId="89" fillId="23" borderId="0" xfId="0" applyFont="1" applyFill="1" applyAlignment="1">
      <alignment horizontal="left" vertical="center"/>
    </xf>
    <xf numFmtId="0" fontId="34" fillId="23" borderId="0" xfId="0" applyFont="1" applyFill="1"/>
    <xf numFmtId="0" fontId="35" fillId="23" borderId="0" xfId="0" applyFont="1" applyFill="1"/>
    <xf numFmtId="0" fontId="35" fillId="0" borderId="0" xfId="0" applyFont="1"/>
    <xf numFmtId="167" fontId="36" fillId="23" borderId="0" xfId="0" applyNumberFormat="1" applyFont="1" applyFill="1" applyAlignment="1">
      <alignment horizontal="right"/>
    </xf>
    <xf numFmtId="0" fontId="35" fillId="23" borderId="0" xfId="0" applyFont="1" applyFill="1" applyAlignment="1">
      <alignment horizontal="center"/>
    </xf>
    <xf numFmtId="0" fontId="37" fillId="23" borderId="0" xfId="34" applyFont="1" applyFill="1" applyAlignment="1" applyProtection="1"/>
    <xf numFmtId="0" fontId="92" fillId="23" borderId="0" xfId="0" applyFont="1" applyFill="1" applyAlignment="1">
      <alignment horizontal="center"/>
    </xf>
    <xf numFmtId="0" fontId="93" fillId="23" borderId="0" xfId="0" applyFont="1" applyFill="1"/>
    <xf numFmtId="0" fontId="94" fillId="23" borderId="0" xfId="0" applyFont="1" applyFill="1"/>
    <xf numFmtId="0" fontId="38" fillId="23" borderId="0" xfId="0" applyFont="1" applyFill="1"/>
    <xf numFmtId="0" fontId="34" fillId="26" borderId="0" xfId="0" applyFont="1" applyFill="1"/>
    <xf numFmtId="0" fontId="94" fillId="26" borderId="0" xfId="0" applyFont="1" applyFill="1"/>
    <xf numFmtId="0" fontId="34" fillId="0" borderId="0" xfId="0" applyFont="1"/>
    <xf numFmtId="0" fontId="94" fillId="0" borderId="0" xfId="0" applyFont="1"/>
    <xf numFmtId="0" fontId="93" fillId="23" borderId="0" xfId="0" applyFont="1" applyFill="1" applyAlignment="1">
      <alignment vertical="center"/>
    </xf>
    <xf numFmtId="0" fontId="93" fillId="26" borderId="0" xfId="0" applyFont="1" applyFill="1"/>
    <xf numFmtId="0" fontId="93" fillId="0" borderId="0" xfId="0" applyFont="1"/>
    <xf numFmtId="0" fontId="95" fillId="23" borderId="0" xfId="34" applyFont="1" applyFill="1" applyAlignment="1" applyProtection="1">
      <alignment vertical="center"/>
    </xf>
    <xf numFmtId="0" fontId="93" fillId="0" borderId="21" xfId="0" applyFont="1" applyBorder="1"/>
    <xf numFmtId="0" fontId="96" fillId="0" borderId="0" xfId="0" applyFont="1" applyAlignment="1">
      <alignment horizontal="left"/>
    </xf>
    <xf numFmtId="0" fontId="39" fillId="0" borderId="0" xfId="0" applyFont="1"/>
    <xf numFmtId="0" fontId="40" fillId="0" borderId="0" xfId="0" applyFont="1"/>
    <xf numFmtId="0" fontId="41" fillId="0" borderId="0" xfId="0" applyFont="1"/>
    <xf numFmtId="14" fontId="39" fillId="0" borderId="0" xfId="0" applyNumberFormat="1" applyFont="1"/>
    <xf numFmtId="0" fontId="42" fillId="0" borderId="0" xfId="0" applyFont="1"/>
    <xf numFmtId="0" fontId="43" fillId="0" borderId="0" xfId="0" applyFont="1"/>
    <xf numFmtId="164" fontId="42" fillId="0" borderId="0" xfId="0" applyNumberFormat="1" applyFont="1"/>
    <xf numFmtId="0" fontId="44" fillId="0" borderId="0" xfId="0" applyFont="1"/>
    <xf numFmtId="0" fontId="42" fillId="0" borderId="0" xfId="0" applyFont="1" applyAlignment="1">
      <alignment horizontal="left"/>
    </xf>
    <xf numFmtId="0" fontId="44" fillId="0" borderId="0" xfId="0" applyFont="1" applyAlignment="1">
      <alignment vertical="center"/>
    </xf>
    <xf numFmtId="164" fontId="42" fillId="0" borderId="0" xfId="0" applyNumberFormat="1" applyFont="1" applyAlignment="1">
      <alignment vertical="center"/>
    </xf>
    <xf numFmtId="164" fontId="44" fillId="23" borderId="0" xfId="0" applyNumberFormat="1" applyFont="1" applyFill="1"/>
    <xf numFmtId="0" fontId="44" fillId="26" borderId="0" xfId="0" applyFont="1" applyFill="1"/>
    <xf numFmtId="0" fontId="34" fillId="0" borderId="0" xfId="0" applyFont="1" applyAlignment="1">
      <alignment wrapText="1"/>
    </xf>
    <xf numFmtId="0" fontId="46" fillId="23" borderId="0" xfId="0" applyFont="1" applyFill="1" applyAlignment="1">
      <alignment horizontal="left" vertical="center"/>
    </xf>
    <xf numFmtId="0" fontId="94" fillId="23" borderId="0" xfId="0" applyFont="1" applyFill="1" applyAlignment="1">
      <alignment vertical="center"/>
    </xf>
    <xf numFmtId="0" fontId="46" fillId="0" borderId="0" xfId="0" applyFont="1"/>
    <xf numFmtId="0" fontId="48" fillId="0" borderId="0" xfId="34" applyFont="1" applyAlignment="1" applyProtection="1"/>
    <xf numFmtId="0" fontId="97" fillId="28" borderId="0" xfId="0" applyFont="1" applyFill="1" applyAlignment="1">
      <alignment horizontal="center" vertical="center"/>
    </xf>
    <xf numFmtId="0" fontId="98" fillId="28" borderId="0" xfId="0" applyFont="1" applyFill="1" applyAlignment="1">
      <alignment horizontal="center" vertical="center" wrapText="1"/>
    </xf>
    <xf numFmtId="0" fontId="99" fillId="28" borderId="0" xfId="0" applyFont="1" applyFill="1" applyAlignment="1">
      <alignment horizontal="center" vertical="center"/>
    </xf>
    <xf numFmtId="0" fontId="98" fillId="28" borderId="0" xfId="0" applyFont="1" applyFill="1" applyAlignment="1">
      <alignment horizontal="center" vertical="center"/>
    </xf>
    <xf numFmtId="0" fontId="100" fillId="27" borderId="0" xfId="0" applyFont="1" applyFill="1"/>
    <xf numFmtId="0" fontId="101" fillId="27" borderId="0" xfId="0" applyFont="1" applyFill="1" applyAlignment="1">
      <alignment horizontal="center" vertical="center"/>
    </xf>
    <xf numFmtId="0" fontId="101" fillId="27" borderId="0" xfId="0" applyFont="1" applyFill="1"/>
    <xf numFmtId="43" fontId="101" fillId="27" borderId="0" xfId="56" applyFont="1" applyFill="1" applyAlignment="1">
      <alignment horizontal="center" vertical="center"/>
    </xf>
    <xf numFmtId="0" fontId="100" fillId="28" borderId="0" xfId="0" applyFont="1" applyFill="1"/>
    <xf numFmtId="0" fontId="101" fillId="28" borderId="0" xfId="0" applyFont="1" applyFill="1" applyAlignment="1">
      <alignment horizontal="center" vertical="center"/>
    </xf>
    <xf numFmtId="0" fontId="101" fillId="28" borderId="0" xfId="0" applyFont="1" applyFill="1"/>
    <xf numFmtId="43" fontId="101" fillId="28" borderId="0" xfId="56" applyFont="1" applyFill="1" applyAlignment="1">
      <alignment horizontal="center" vertical="center"/>
    </xf>
    <xf numFmtId="0" fontId="102" fillId="27" borderId="0" xfId="0" applyFont="1" applyFill="1"/>
    <xf numFmtId="164" fontId="102" fillId="27" borderId="0" xfId="56" applyNumberFormat="1" applyFont="1" applyFill="1"/>
    <xf numFmtId="0" fontId="102" fillId="28" borderId="0" xfId="0" applyFont="1" applyFill="1"/>
    <xf numFmtId="164" fontId="102" fillId="28" borderId="0" xfId="56" applyNumberFormat="1" applyFont="1" applyFill="1"/>
    <xf numFmtId="0" fontId="95" fillId="27" borderId="0" xfId="0" applyFont="1" applyFill="1"/>
    <xf numFmtId="0" fontId="95" fillId="28" borderId="0" xfId="0" applyFont="1" applyFill="1"/>
    <xf numFmtId="3" fontId="102" fillId="28" borderId="0" xfId="0" applyNumberFormat="1" applyFont="1" applyFill="1"/>
    <xf numFmtId="0" fontId="95" fillId="24" borderId="0" xfId="0" applyFont="1" applyFill="1"/>
    <xf numFmtId="3" fontId="95" fillId="24" borderId="0" xfId="0" applyNumberFormat="1" applyFont="1" applyFill="1"/>
    <xf numFmtId="3" fontId="95" fillId="28" borderId="0" xfId="0" applyNumberFormat="1" applyFont="1" applyFill="1"/>
    <xf numFmtId="0" fontId="49" fillId="23" borderId="0" xfId="0" applyFont="1" applyFill="1"/>
    <xf numFmtId="0" fontId="46" fillId="23" borderId="0" xfId="0" applyFont="1" applyFill="1"/>
    <xf numFmtId="0" fontId="46" fillId="28" borderId="11" xfId="0" applyFont="1" applyFill="1" applyBorder="1" applyAlignment="1">
      <alignment horizontal="left" vertical="center"/>
    </xf>
    <xf numFmtId="0" fontId="46" fillId="28" borderId="11" xfId="0" applyFont="1" applyFill="1" applyBorder="1" applyAlignment="1">
      <alignment horizontal="center" vertical="center" wrapText="1"/>
    </xf>
    <xf numFmtId="0" fontId="46" fillId="28" borderId="0" xfId="0" applyFont="1" applyFill="1" applyAlignment="1">
      <alignment horizontal="center" vertical="center" wrapText="1"/>
    </xf>
    <xf numFmtId="0" fontId="46" fillId="27" borderId="0" xfId="0" applyFont="1" applyFill="1"/>
    <xf numFmtId="164" fontId="46" fillId="27" borderId="0" xfId="56" applyNumberFormat="1" applyFont="1" applyFill="1"/>
    <xf numFmtId="0" fontId="46" fillId="28" borderId="0" xfId="0" applyFont="1" applyFill="1"/>
    <xf numFmtId="164" fontId="45" fillId="28" borderId="0" xfId="56" applyNumberFormat="1" applyFont="1" applyFill="1"/>
    <xf numFmtId="164" fontId="45" fillId="27" borderId="0" xfId="56" applyNumberFormat="1" applyFont="1" applyFill="1"/>
    <xf numFmtId="37" fontId="45" fillId="27" borderId="0" xfId="0" applyNumberFormat="1" applyFont="1" applyFill="1"/>
    <xf numFmtId="0" fontId="50" fillId="23" borderId="0" xfId="0" applyFont="1" applyFill="1"/>
    <xf numFmtId="164" fontId="51" fillId="23" borderId="0" xfId="56" applyNumberFormat="1" applyFont="1" applyFill="1"/>
    <xf numFmtId="0" fontId="51" fillId="23" borderId="0" xfId="0" applyFont="1" applyFill="1"/>
    <xf numFmtId="0" fontId="52" fillId="23" borderId="0" xfId="0" applyFont="1" applyFill="1" applyAlignment="1">
      <alignment horizontal="right"/>
    </xf>
    <xf numFmtId="0" fontId="52" fillId="26" borderId="0" xfId="0" applyFont="1" applyFill="1" applyAlignment="1">
      <alignment horizontal="right"/>
    </xf>
    <xf numFmtId="0" fontId="45" fillId="23" borderId="0" xfId="0" applyFont="1" applyFill="1"/>
    <xf numFmtId="0" fontId="45" fillId="26" borderId="0" xfId="0" applyFont="1" applyFill="1"/>
    <xf numFmtId="0" fontId="53" fillId="23" borderId="0" xfId="0" applyFont="1" applyFill="1"/>
    <xf numFmtId="37" fontId="46" fillId="23" borderId="0" xfId="0" applyNumberFormat="1" applyFont="1" applyFill="1" applyAlignment="1">
      <alignment horizontal="right"/>
    </xf>
    <xf numFmtId="0" fontId="51" fillId="26" borderId="0" xfId="0" applyFont="1" applyFill="1"/>
    <xf numFmtId="37" fontId="45" fillId="23" borderId="0" xfId="0" applyNumberFormat="1" applyFont="1" applyFill="1" applyAlignment="1">
      <alignment horizontal="center"/>
    </xf>
    <xf numFmtId="164" fontId="51" fillId="23" borderId="0" xfId="0" applyNumberFormat="1" applyFont="1" applyFill="1"/>
    <xf numFmtId="49" fontId="51" fillId="23" borderId="0" xfId="0" applyNumberFormat="1" applyFont="1" applyFill="1" applyAlignment="1">
      <alignment wrapText="1"/>
    </xf>
    <xf numFmtId="164" fontId="34" fillId="23" borderId="0" xfId="0" applyNumberFormat="1" applyFont="1" applyFill="1"/>
    <xf numFmtId="0" fontId="82" fillId="0" borderId="0" xfId="0" applyFont="1"/>
    <xf numFmtId="0" fontId="45" fillId="27" borderId="0" xfId="0" applyFont="1" applyFill="1" applyAlignment="1">
      <alignment horizontal="left" indent="2"/>
    </xf>
    <xf numFmtId="0" fontId="45" fillId="28" borderId="0" xfId="0" applyFont="1" applyFill="1" applyAlignment="1">
      <alignment horizontal="left" indent="2"/>
    </xf>
    <xf numFmtId="0" fontId="51" fillId="28" borderId="0" xfId="0" applyFont="1" applyFill="1"/>
    <xf numFmtId="0" fontId="19" fillId="28" borderId="0" xfId="0" applyFont="1" applyFill="1"/>
    <xf numFmtId="0" fontId="51" fillId="27" borderId="0" xfId="0" applyFont="1" applyFill="1"/>
    <xf numFmtId="0" fontId="46" fillId="28" borderId="11" xfId="0" applyFont="1" applyFill="1" applyBorder="1" applyAlignment="1">
      <alignment horizontal="center" vertical="center"/>
    </xf>
    <xf numFmtId="0" fontId="46" fillId="23" borderId="0" xfId="0" applyFont="1" applyFill="1" applyAlignment="1">
      <alignment horizontal="center" vertical="center" wrapText="1"/>
    </xf>
    <xf numFmtId="164" fontId="38" fillId="23" borderId="0" xfId="56" applyNumberFormat="1" applyFont="1" applyFill="1"/>
    <xf numFmtId="0" fontId="34" fillId="23" borderId="0" xfId="0" applyFont="1" applyFill="1" applyAlignment="1">
      <alignment horizontal="right"/>
    </xf>
    <xf numFmtId="0" fontId="57" fillId="0" borderId="0" xfId="0" applyFont="1"/>
    <xf numFmtId="0" fontId="58" fillId="23" borderId="0" xfId="0" applyFont="1" applyFill="1"/>
    <xf numFmtId="0" fontId="92" fillId="28" borderId="11" xfId="0" applyFont="1" applyFill="1" applyBorder="1" applyAlignment="1">
      <alignment horizontal="center" vertical="center" wrapText="1"/>
    </xf>
    <xf numFmtId="0" fontId="92" fillId="28" borderId="0" xfId="0" applyFont="1" applyFill="1" applyAlignment="1">
      <alignment horizontal="center" vertical="center" wrapText="1"/>
    </xf>
    <xf numFmtId="0" fontId="94" fillId="28" borderId="0" xfId="0" applyFont="1" applyFill="1"/>
    <xf numFmtId="0" fontId="102" fillId="28" borderId="11" xfId="0" applyFont="1" applyFill="1" applyBorder="1" applyAlignment="1">
      <alignment horizontal="center" vertical="center" wrapText="1"/>
    </xf>
    <xf numFmtId="0" fontId="95" fillId="23" borderId="0" xfId="0" applyFont="1" applyFill="1" applyAlignment="1">
      <alignment horizontal="left" vertical="center"/>
    </xf>
    <xf numFmtId="164" fontId="89" fillId="28" borderId="0" xfId="56" applyNumberFormat="1" applyFont="1" applyFill="1"/>
    <xf numFmtId="164" fontId="89" fillId="28" borderId="0" xfId="56" applyNumberFormat="1" applyFont="1" applyFill="1" applyAlignment="1">
      <alignment horizontal="center"/>
    </xf>
    <xf numFmtId="0" fontId="82" fillId="28" borderId="0" xfId="0" applyFont="1" applyFill="1"/>
    <xf numFmtId="164" fontId="89" fillId="27" borderId="0" xfId="56" applyNumberFormat="1" applyFont="1" applyFill="1"/>
    <xf numFmtId="164" fontId="85" fillId="27" borderId="0" xfId="56" applyNumberFormat="1" applyFont="1" applyFill="1"/>
    <xf numFmtId="164" fontId="85" fillId="27" borderId="0" xfId="56" applyNumberFormat="1" applyFont="1" applyFill="1" applyAlignment="1">
      <alignment horizontal="center"/>
    </xf>
    <xf numFmtId="0" fontId="82" fillId="27" borderId="0" xfId="0" applyFont="1" applyFill="1"/>
    <xf numFmtId="164" fontId="85" fillId="28" borderId="0" xfId="56" applyNumberFormat="1" applyFont="1" applyFill="1"/>
    <xf numFmtId="164" fontId="85" fillId="28" borderId="0" xfId="56" applyNumberFormat="1" applyFont="1" applyFill="1" applyAlignment="1">
      <alignment horizontal="center"/>
    </xf>
    <xf numFmtId="0" fontId="34" fillId="23" borderId="0" xfId="0" applyFont="1" applyFill="1" applyAlignment="1">
      <alignment vertical="center"/>
    </xf>
    <xf numFmtId="0" fontId="51" fillId="28" borderId="0" xfId="0" applyFont="1" applyFill="1" applyAlignment="1">
      <alignment vertical="center"/>
    </xf>
    <xf numFmtId="0" fontId="46" fillId="28" borderId="0" xfId="0" applyFont="1" applyFill="1" applyAlignment="1">
      <alignment vertical="center"/>
    </xf>
    <xf numFmtId="164" fontId="46" fillId="28" borderId="0" xfId="56" applyNumberFormat="1" applyFont="1" applyFill="1" applyAlignment="1">
      <alignment vertical="center"/>
    </xf>
    <xf numFmtId="0" fontId="54" fillId="28" borderId="0" xfId="0" applyFont="1" applyFill="1" applyAlignment="1">
      <alignment vertical="center"/>
    </xf>
    <xf numFmtId="0" fontId="46" fillId="27" borderId="0" xfId="0" applyFont="1" applyFill="1" applyAlignment="1">
      <alignment vertical="center"/>
    </xf>
    <xf numFmtId="164" fontId="46" fillId="27" borderId="0" xfId="56" applyNumberFormat="1" applyFont="1" applyFill="1" applyAlignment="1">
      <alignment vertical="center"/>
    </xf>
    <xf numFmtId="0" fontId="51" fillId="27" borderId="0" xfId="0" applyFont="1" applyFill="1" applyAlignment="1">
      <alignment vertical="center"/>
    </xf>
    <xf numFmtId="0" fontId="45" fillId="27" borderId="0" xfId="0" applyFont="1" applyFill="1" applyAlignment="1">
      <alignment vertical="center"/>
    </xf>
    <xf numFmtId="164" fontId="45" fillId="27" borderId="0" xfId="56" applyNumberFormat="1" applyFont="1" applyFill="1" applyAlignment="1">
      <alignment vertical="center"/>
    </xf>
    <xf numFmtId="0" fontId="46" fillId="28" borderId="12" xfId="0" applyFont="1" applyFill="1" applyBorder="1" applyAlignment="1">
      <alignment vertical="center"/>
    </xf>
    <xf numFmtId="164" fontId="46" fillId="28" borderId="12" xfId="56" applyNumberFormat="1" applyFont="1" applyFill="1" applyBorder="1" applyAlignment="1">
      <alignment vertical="center"/>
    </xf>
    <xf numFmtId="164" fontId="45" fillId="28" borderId="0" xfId="56" applyNumberFormat="1" applyFont="1" applyFill="1" applyAlignment="1">
      <alignment vertical="center"/>
    </xf>
    <xf numFmtId="3" fontId="45" fillId="28" borderId="0" xfId="0" applyNumberFormat="1" applyFont="1" applyFill="1" applyAlignment="1">
      <alignment vertical="center"/>
    </xf>
    <xf numFmtId="0" fontId="46" fillId="27" borderId="12" xfId="0" applyFont="1" applyFill="1" applyBorder="1" applyAlignment="1">
      <alignment vertical="center"/>
    </xf>
    <xf numFmtId="164" fontId="46" fillId="27" borderId="12" xfId="56" applyNumberFormat="1" applyFont="1" applyFill="1" applyBorder="1" applyAlignment="1">
      <alignment vertical="center"/>
    </xf>
    <xf numFmtId="164" fontId="45" fillId="27" borderId="12" xfId="56" applyNumberFormat="1" applyFont="1" applyFill="1" applyBorder="1" applyAlignment="1">
      <alignment vertical="center"/>
    </xf>
    <xf numFmtId="164" fontId="45" fillId="27" borderId="22" xfId="56" applyNumberFormat="1" applyFont="1" applyFill="1" applyBorder="1" applyAlignment="1">
      <alignment vertical="center"/>
    </xf>
    <xf numFmtId="0" fontId="51" fillId="23" borderId="0" xfId="0" applyFont="1" applyFill="1" applyAlignment="1">
      <alignment vertical="center"/>
    </xf>
    <xf numFmtId="0" fontId="45" fillId="0" borderId="0" xfId="0" applyFont="1" applyAlignment="1">
      <alignment vertical="center"/>
    </xf>
    <xf numFmtId="164" fontId="46" fillId="0" borderId="0" xfId="56" applyNumberFormat="1" applyFont="1" applyAlignment="1">
      <alignment vertical="center"/>
    </xf>
    <xf numFmtId="164" fontId="55" fillId="0" borderId="0" xfId="56" applyNumberFormat="1" applyFont="1" applyAlignment="1">
      <alignment vertical="center"/>
    </xf>
    <xf numFmtId="164" fontId="45" fillId="0" borderId="0" xfId="56" applyNumberFormat="1" applyFont="1" applyAlignment="1">
      <alignment vertical="center"/>
    </xf>
    <xf numFmtId="0" fontId="51" fillId="0" borderId="0" xfId="0" applyFont="1" applyAlignment="1">
      <alignment vertical="center"/>
    </xf>
    <xf numFmtId="164" fontId="44" fillId="0" borderId="0" xfId="56" applyNumberFormat="1" applyFont="1" applyAlignment="1">
      <alignment vertical="center"/>
    </xf>
    <xf numFmtId="0" fontId="46" fillId="0" borderId="0" xfId="0" applyFont="1" applyAlignment="1">
      <alignment vertical="center"/>
    </xf>
    <xf numFmtId="0" fontId="46" fillId="25" borderId="0" xfId="0" applyFont="1" applyFill="1" applyAlignment="1">
      <alignment vertical="center"/>
    </xf>
    <xf numFmtId="164" fontId="46" fillId="25" borderId="0" xfId="56" applyNumberFormat="1" applyFont="1" applyFill="1" applyAlignment="1">
      <alignment vertical="center"/>
    </xf>
    <xf numFmtId="164" fontId="55" fillId="25" borderId="0" xfId="56" applyNumberFormat="1" applyFont="1" applyFill="1" applyAlignment="1">
      <alignment vertical="center"/>
    </xf>
    <xf numFmtId="164" fontId="45" fillId="25" borderId="0" xfId="56" applyNumberFormat="1" applyFont="1" applyFill="1" applyAlignment="1">
      <alignment vertical="center"/>
    </xf>
    <xf numFmtId="0" fontId="46" fillId="23" borderId="0" xfId="0" applyFont="1" applyFill="1" applyAlignment="1">
      <alignment vertical="center"/>
    </xf>
    <xf numFmtId="164" fontId="46" fillId="23" borderId="0" xfId="56" applyNumberFormat="1" applyFont="1" applyFill="1" applyAlignment="1">
      <alignment vertical="center"/>
    </xf>
    <xf numFmtId="164" fontId="56" fillId="23" borderId="0" xfId="56" applyNumberFormat="1" applyFont="1" applyFill="1" applyAlignment="1">
      <alignment vertical="center"/>
    </xf>
    <xf numFmtId="164" fontId="59" fillId="23" borderId="0" xfId="56" applyNumberFormat="1" applyFont="1" applyFill="1" applyAlignment="1">
      <alignment vertical="center"/>
    </xf>
    <xf numFmtId="0" fontId="52" fillId="23" borderId="0" xfId="0" applyFont="1" applyFill="1" applyAlignment="1">
      <alignment vertical="center"/>
    </xf>
    <xf numFmtId="164" fontId="45" fillId="26" borderId="0" xfId="56" applyNumberFormat="1" applyFont="1" applyFill="1" applyAlignment="1">
      <alignment vertical="center"/>
    </xf>
    <xf numFmtId="0" fontId="52" fillId="28" borderId="0" xfId="0" applyFont="1" applyFill="1" applyAlignment="1">
      <alignment vertical="center"/>
    </xf>
    <xf numFmtId="0" fontId="34" fillId="28" borderId="0" xfId="0" applyFont="1" applyFill="1" applyAlignment="1">
      <alignment vertical="center"/>
    </xf>
    <xf numFmtId="0" fontId="46" fillId="27" borderId="0" xfId="0" applyFont="1" applyFill="1" applyAlignment="1">
      <alignment horizontal="left" vertical="center"/>
    </xf>
    <xf numFmtId="0" fontId="34" fillId="27" borderId="0" xfId="0" applyFont="1" applyFill="1" applyAlignment="1">
      <alignment vertical="center"/>
    </xf>
    <xf numFmtId="168" fontId="45" fillId="27" borderId="0" xfId="56" applyNumberFormat="1" applyFont="1" applyFill="1" applyAlignment="1">
      <alignment horizontal="left" vertical="center"/>
    </xf>
    <xf numFmtId="0" fontId="46" fillId="28" borderId="0" xfId="0" applyFont="1" applyFill="1" applyAlignment="1">
      <alignment horizontal="left" vertical="center"/>
    </xf>
    <xf numFmtId="168" fontId="45" fillId="28" borderId="0" xfId="56" applyNumberFormat="1" applyFont="1" applyFill="1" applyAlignment="1">
      <alignment horizontal="left" vertical="center"/>
    </xf>
    <xf numFmtId="0" fontId="45" fillId="23" borderId="0" xfId="0" applyFont="1" applyFill="1" applyAlignment="1">
      <alignment vertical="center"/>
    </xf>
    <xf numFmtId="43" fontId="45" fillId="23" borderId="0" xfId="56" applyFont="1" applyFill="1" applyAlignment="1">
      <alignment horizontal="right" vertical="center"/>
    </xf>
    <xf numFmtId="43" fontId="44" fillId="23" borderId="0" xfId="56" applyFont="1" applyFill="1" applyAlignment="1">
      <alignment horizontal="right" vertical="center"/>
    </xf>
    <xf numFmtId="0" fontId="81" fillId="23" borderId="0" xfId="0" applyFont="1" applyFill="1" applyAlignment="1">
      <alignment vertical="center"/>
    </xf>
    <xf numFmtId="0" fontId="92" fillId="28" borderId="11" xfId="0" applyFont="1" applyFill="1" applyBorder="1"/>
    <xf numFmtId="0" fontId="92" fillId="28" borderId="11" xfId="0" applyFont="1" applyFill="1" applyBorder="1" applyAlignment="1">
      <alignment vertical="center"/>
    </xf>
    <xf numFmtId="0" fontId="92" fillId="28" borderId="11" xfId="0" applyFont="1" applyFill="1" applyBorder="1" applyAlignment="1">
      <alignment horizontal="right" vertical="center"/>
    </xf>
    <xf numFmtId="0" fontId="94" fillId="28" borderId="0" xfId="0" applyFont="1" applyFill="1" applyAlignment="1">
      <alignment vertical="center"/>
    </xf>
    <xf numFmtId="0" fontId="92" fillId="28" borderId="0" xfId="0" applyFont="1" applyFill="1" applyAlignment="1">
      <alignment horizontal="right"/>
    </xf>
    <xf numFmtId="0" fontId="92" fillId="28" borderId="11" xfId="0" applyFont="1" applyFill="1" applyBorder="1" applyAlignment="1">
      <alignment horizontal="right"/>
    </xf>
    <xf numFmtId="0" fontId="92" fillId="23" borderId="0" xfId="0" applyFont="1" applyFill="1" applyAlignment="1">
      <alignment vertical="center"/>
    </xf>
    <xf numFmtId="0" fontId="94" fillId="26" borderId="0" xfId="0" applyFont="1" applyFill="1" applyAlignment="1">
      <alignment vertical="center"/>
    </xf>
    <xf numFmtId="0" fontId="103" fillId="23" borderId="0" xfId="0" applyFont="1" applyFill="1" applyAlignment="1">
      <alignment vertical="center"/>
    </xf>
    <xf numFmtId="0" fontId="92" fillId="28" borderId="0" xfId="0" applyFont="1" applyFill="1" applyAlignment="1">
      <alignment vertical="center"/>
    </xf>
    <xf numFmtId="164" fontId="92" fillId="28" borderId="0" xfId="56" applyNumberFormat="1" applyFont="1" applyFill="1" applyAlignment="1">
      <alignment vertical="center"/>
    </xf>
    <xf numFmtId="0" fontId="94" fillId="27" borderId="0" xfId="0" applyFont="1" applyFill="1" applyAlignment="1">
      <alignment horizontal="left" vertical="center"/>
    </xf>
    <xf numFmtId="0" fontId="94" fillId="27" borderId="0" xfId="0" applyFont="1" applyFill="1" applyAlignment="1">
      <alignment vertical="center"/>
    </xf>
    <xf numFmtId="164" fontId="94" fillId="27" borderId="0" xfId="56" applyNumberFormat="1" applyFont="1" applyFill="1" applyAlignment="1">
      <alignment vertical="center"/>
    </xf>
    <xf numFmtId="164" fontId="92" fillId="28" borderId="0" xfId="56" applyNumberFormat="1" applyFont="1" applyFill="1" applyAlignment="1">
      <alignment horizontal="right" vertical="center"/>
    </xf>
    <xf numFmtId="0" fontId="104" fillId="23" borderId="0" xfId="0" applyFont="1" applyFill="1" applyAlignment="1">
      <alignment vertical="center"/>
    </xf>
    <xf numFmtId="0" fontId="105" fillId="27" borderId="0" xfId="0" applyFont="1" applyFill="1" applyAlignment="1">
      <alignment horizontal="left" vertical="center"/>
    </xf>
    <xf numFmtId="0" fontId="105" fillId="27" borderId="0" xfId="0" applyFont="1" applyFill="1" applyAlignment="1">
      <alignment vertical="center"/>
    </xf>
    <xf numFmtId="9" fontId="105" fillId="27" borderId="0" xfId="40" applyFont="1" applyFill="1" applyAlignment="1">
      <alignment vertical="center"/>
    </xf>
    <xf numFmtId="164" fontId="94" fillId="28" borderId="0" xfId="56" applyNumberFormat="1" applyFont="1" applyFill="1" applyAlignment="1">
      <alignment vertical="center"/>
    </xf>
    <xf numFmtId="164" fontId="94" fillId="27" borderId="0" xfId="56" applyNumberFormat="1" applyFont="1" applyFill="1" applyAlignment="1">
      <alignment horizontal="center" vertical="center"/>
    </xf>
    <xf numFmtId="0" fontId="94" fillId="28" borderId="0" xfId="0" applyFont="1" applyFill="1" applyAlignment="1">
      <alignment horizontal="left" vertical="center"/>
    </xf>
    <xf numFmtId="164" fontId="94" fillId="28" borderId="0" xfId="56" applyNumberFormat="1" applyFont="1" applyFill="1" applyAlignment="1">
      <alignment horizontal="center" vertical="center"/>
    </xf>
    <xf numFmtId="164" fontId="94" fillId="23" borderId="0" xfId="56" applyNumberFormat="1" applyFont="1" applyFill="1" applyAlignment="1">
      <alignment vertical="center"/>
    </xf>
    <xf numFmtId="164" fontId="94" fillId="23" borderId="0" xfId="56" applyNumberFormat="1" applyFont="1" applyFill="1" applyAlignment="1">
      <alignment horizontal="center" vertical="center"/>
    </xf>
    <xf numFmtId="164" fontId="94" fillId="26" borderId="0" xfId="56" applyNumberFormat="1" applyFont="1" applyFill="1" applyAlignment="1">
      <alignment horizontal="center" vertical="center"/>
    </xf>
    <xf numFmtId="164" fontId="94" fillId="26" borderId="0" xfId="56" applyNumberFormat="1" applyFont="1" applyFill="1" applyAlignment="1">
      <alignment vertical="center"/>
    </xf>
    <xf numFmtId="0" fontId="92" fillId="23" borderId="0" xfId="0" applyFont="1" applyFill="1" applyAlignment="1">
      <alignment horizontal="center" vertical="center"/>
    </xf>
    <xf numFmtId="0" fontId="92" fillId="26" borderId="0" xfId="0" applyFont="1" applyFill="1" applyAlignment="1">
      <alignment horizontal="center" vertical="center"/>
    </xf>
    <xf numFmtId="0" fontId="92" fillId="23" borderId="0" xfId="0" applyFont="1" applyFill="1" applyAlignment="1">
      <alignment horizontal="left" vertical="center"/>
    </xf>
    <xf numFmtId="0" fontId="92" fillId="27" borderId="0" xfId="0" applyFont="1" applyFill="1" applyAlignment="1">
      <alignment horizontal="left" vertical="center"/>
    </xf>
    <xf numFmtId="0" fontId="92" fillId="27" borderId="0" xfId="56" applyNumberFormat="1" applyFont="1" applyFill="1" applyAlignment="1">
      <alignment vertical="center"/>
    </xf>
    <xf numFmtId="3" fontId="92" fillId="27" borderId="0" xfId="56" applyNumberFormat="1" applyFont="1" applyFill="1" applyAlignment="1">
      <alignment vertical="center"/>
    </xf>
    <xf numFmtId="3" fontId="92" fillId="27" borderId="0" xfId="0" applyNumberFormat="1" applyFont="1" applyFill="1" applyAlignment="1">
      <alignment horizontal="right" vertical="center"/>
    </xf>
    <xf numFmtId="3" fontId="94" fillId="28" borderId="0" xfId="0" applyNumberFormat="1" applyFont="1" applyFill="1" applyAlignment="1">
      <alignment vertical="center"/>
    </xf>
    <xf numFmtId="3" fontId="94" fillId="27" borderId="0" xfId="0" applyNumberFormat="1" applyFont="1" applyFill="1" applyAlignment="1">
      <alignment vertical="center"/>
    </xf>
    <xf numFmtId="0" fontId="92" fillId="28" borderId="0" xfId="56" applyNumberFormat="1" applyFont="1" applyFill="1" applyAlignment="1">
      <alignment vertical="center"/>
    </xf>
    <xf numFmtId="3" fontId="92" fillId="28" borderId="0" xfId="56" applyNumberFormat="1" applyFont="1" applyFill="1" applyAlignment="1">
      <alignment vertical="center"/>
    </xf>
    <xf numFmtId="3" fontId="92" fillId="28" borderId="0" xfId="0" applyNumberFormat="1" applyFont="1" applyFill="1" applyAlignment="1">
      <alignment horizontal="right" vertical="center"/>
    </xf>
    <xf numFmtId="0" fontId="92" fillId="27" borderId="0" xfId="0" applyFont="1" applyFill="1" applyAlignment="1">
      <alignment vertical="center"/>
    </xf>
    <xf numFmtId="164" fontId="92" fillId="26" borderId="0" xfId="56" applyNumberFormat="1" applyFont="1" applyFill="1" applyAlignment="1">
      <alignment vertical="center"/>
    </xf>
    <xf numFmtId="0" fontId="92" fillId="28" borderId="0" xfId="0" applyFont="1" applyFill="1" applyAlignment="1">
      <alignment horizontal="left" vertical="center"/>
    </xf>
    <xf numFmtId="43" fontId="94" fillId="27" borderId="0" xfId="56" applyFont="1" applyFill="1" applyAlignment="1">
      <alignment vertical="center"/>
    </xf>
    <xf numFmtId="9" fontId="103" fillId="23" borderId="0" xfId="40" applyFont="1" applyFill="1" applyAlignment="1">
      <alignment vertical="center"/>
    </xf>
    <xf numFmtId="9" fontId="92" fillId="28" borderId="0" xfId="40" applyFont="1" applyFill="1" applyAlignment="1">
      <alignment vertical="center"/>
    </xf>
    <xf numFmtId="9" fontId="92" fillId="28" borderId="0" xfId="40" applyFont="1" applyFill="1" applyAlignment="1">
      <alignment horizontal="right" vertical="center"/>
    </xf>
    <xf numFmtId="0" fontId="81" fillId="0" borderId="0" xfId="0" applyFont="1" applyAlignment="1">
      <alignment vertical="center"/>
    </xf>
    <xf numFmtId="0" fontId="92" fillId="0" borderId="0" xfId="0" applyFont="1" applyAlignment="1">
      <alignment vertical="center"/>
    </xf>
    <xf numFmtId="0" fontId="92" fillId="0" borderId="0" xfId="0" applyFont="1" applyAlignment="1">
      <alignment horizontal="right" vertical="center"/>
    </xf>
    <xf numFmtId="0" fontId="94" fillId="0" borderId="0" xfId="0" applyFont="1" applyAlignment="1">
      <alignment vertical="center"/>
    </xf>
    <xf numFmtId="43" fontId="94" fillId="28" borderId="0" xfId="56" applyFont="1" applyFill="1" applyAlignment="1">
      <alignment vertical="center"/>
    </xf>
    <xf numFmtId="43" fontId="94" fillId="28" borderId="0" xfId="56" applyFont="1" applyFill="1" applyAlignment="1">
      <alignment horizontal="right" vertical="center"/>
    </xf>
    <xf numFmtId="0" fontId="34" fillId="0" borderId="0" xfId="0" applyFont="1" applyAlignment="1">
      <alignment vertical="center"/>
    </xf>
    <xf numFmtId="0" fontId="106" fillId="0" borderId="0" xfId="0" applyFont="1"/>
    <xf numFmtId="0" fontId="57" fillId="23" borderId="0" xfId="0" applyFont="1" applyFill="1"/>
    <xf numFmtId="0" fontId="87" fillId="0" borderId="0" xfId="0" applyFont="1" applyAlignment="1">
      <alignment horizontal="left"/>
    </xf>
    <xf numFmtId="0" fontId="87" fillId="0" borderId="0" xfId="0" applyFont="1" applyAlignment="1">
      <alignment horizontal="center"/>
    </xf>
    <xf numFmtId="0" fontId="87" fillId="0" borderId="0" xfId="0" applyFont="1"/>
    <xf numFmtId="49" fontId="87" fillId="0" borderId="0" xfId="0" applyNumberFormat="1" applyFont="1" applyAlignment="1">
      <alignment horizontal="center"/>
    </xf>
    <xf numFmtId="164" fontId="82" fillId="0" borderId="0" xfId="0" applyNumberFormat="1" applyFont="1"/>
    <xf numFmtId="49" fontId="89" fillId="0" borderId="0" xfId="0" applyNumberFormat="1" applyFont="1" applyAlignment="1">
      <alignment horizontal="center"/>
    </xf>
    <xf numFmtId="0" fontId="46" fillId="28" borderId="24" xfId="0" applyFont="1" applyFill="1" applyBorder="1"/>
    <xf numFmtId="0" fontId="45" fillId="28" borderId="0" xfId="0" applyFont="1" applyFill="1"/>
    <xf numFmtId="0" fontId="45" fillId="27" borderId="0" xfId="0" applyFont="1" applyFill="1"/>
    <xf numFmtId="0" fontId="46" fillId="28" borderId="25" xfId="0" applyFont="1" applyFill="1" applyBorder="1" applyAlignment="1">
      <alignment horizontal="left"/>
    </xf>
    <xf numFmtId="0" fontId="89" fillId="28" borderId="25" xfId="0" applyFont="1" applyFill="1" applyBorder="1" applyAlignment="1">
      <alignment horizontal="center"/>
    </xf>
    <xf numFmtId="0" fontId="89" fillId="28" borderId="0" xfId="0" applyFont="1" applyFill="1" applyAlignment="1">
      <alignment horizontal="center"/>
    </xf>
    <xf numFmtId="0" fontId="89" fillId="27" borderId="0" xfId="0" applyFont="1" applyFill="1" applyAlignment="1">
      <alignment horizontal="center"/>
    </xf>
    <xf numFmtId="0" fontId="82" fillId="28" borderId="25" xfId="0" applyFont="1" applyFill="1" applyBorder="1"/>
    <xf numFmtId="0" fontId="19" fillId="28" borderId="25" xfId="0" applyFont="1" applyFill="1" applyBorder="1"/>
    <xf numFmtId="164" fontId="82" fillId="28" borderId="0" xfId="0" applyNumberFormat="1" applyFont="1" applyFill="1"/>
    <xf numFmtId="164" fontId="82" fillId="27" borderId="0" xfId="0" applyNumberFormat="1" applyFont="1" applyFill="1"/>
    <xf numFmtId="0" fontId="107" fillId="23" borderId="0" xfId="0" applyFont="1" applyFill="1" applyAlignment="1">
      <alignment vertical="center"/>
    </xf>
    <xf numFmtId="0" fontId="108" fillId="28" borderId="11" xfId="0" applyFont="1" applyFill="1" applyBorder="1"/>
    <xf numFmtId="0" fontId="108" fillId="28" borderId="11" xfId="0" applyFont="1" applyFill="1" applyBorder="1" applyAlignment="1">
      <alignment vertical="center"/>
    </xf>
    <xf numFmtId="0" fontId="108" fillId="28" borderId="11" xfId="0" applyFont="1" applyFill="1" applyBorder="1" applyAlignment="1">
      <alignment horizontal="right" vertical="center"/>
    </xf>
    <xf numFmtId="0" fontId="107" fillId="28" borderId="0" xfId="0" applyFont="1" applyFill="1" applyAlignment="1">
      <alignment vertical="center"/>
    </xf>
    <xf numFmtId="0" fontId="108" fillId="28" borderId="0" xfId="0" applyFont="1" applyFill="1" applyAlignment="1">
      <alignment horizontal="right"/>
    </xf>
    <xf numFmtId="0" fontId="108" fillId="28" borderId="11" xfId="0" applyFont="1" applyFill="1" applyBorder="1" applyAlignment="1">
      <alignment horizontal="right"/>
    </xf>
    <xf numFmtId="164" fontId="60" fillId="23" borderId="0" xfId="0" applyNumberFormat="1" applyFont="1" applyFill="1"/>
    <xf numFmtId="0" fontId="61" fillId="23" borderId="0" xfId="0" applyFont="1" applyFill="1" applyAlignment="1">
      <alignment horizontal="left" vertical="center"/>
    </xf>
    <xf numFmtId="0" fontId="61" fillId="23" borderId="0" xfId="0" applyFont="1" applyFill="1" applyAlignment="1">
      <alignment horizontal="right" vertical="center"/>
    </xf>
    <xf numFmtId="0" fontId="61" fillId="26" borderId="0" xfId="0" applyFont="1" applyFill="1" applyAlignment="1">
      <alignment horizontal="right" vertical="center"/>
    </xf>
    <xf numFmtId="0" fontId="60" fillId="23" borderId="0" xfId="0" applyFont="1" applyFill="1"/>
    <xf numFmtId="0" fontId="62" fillId="27" borderId="0" xfId="0" applyFont="1" applyFill="1"/>
    <xf numFmtId="0" fontId="61" fillId="27" borderId="0" xfId="0" applyFont="1" applyFill="1" applyAlignment="1">
      <alignment horizontal="right" vertical="center"/>
    </xf>
    <xf numFmtId="0" fontId="60" fillId="27" borderId="0" xfId="0" applyFont="1" applyFill="1"/>
    <xf numFmtId="0" fontId="108" fillId="23" borderId="0" xfId="0" applyFont="1" applyFill="1" applyAlignment="1">
      <alignment vertical="center"/>
    </xf>
    <xf numFmtId="0" fontId="108" fillId="28" borderId="0" xfId="0" applyFont="1" applyFill="1" applyAlignment="1">
      <alignment vertical="center"/>
    </xf>
    <xf numFmtId="164" fontId="108" fillId="28" borderId="0" xfId="56" applyNumberFormat="1" applyFont="1" applyFill="1" applyAlignment="1">
      <alignment vertical="center"/>
    </xf>
    <xf numFmtId="0" fontId="61" fillId="27" borderId="0" xfId="0" applyFont="1" applyFill="1"/>
    <xf numFmtId="164" fontId="61" fillId="27" borderId="0" xfId="56" applyNumberFormat="1" applyFont="1" applyFill="1" applyAlignment="1">
      <alignment vertical="center"/>
    </xf>
    <xf numFmtId="0" fontId="63" fillId="23" borderId="0" xfId="0" applyFont="1" applyFill="1"/>
    <xf numFmtId="0" fontId="61" fillId="28" borderId="0" xfId="0" applyFont="1" applyFill="1"/>
    <xf numFmtId="164" fontId="61" fillId="28" borderId="0" xfId="56" applyNumberFormat="1" applyFont="1" applyFill="1"/>
    <xf numFmtId="164" fontId="61" fillId="28" borderId="0" xfId="56" applyNumberFormat="1" applyFont="1" applyFill="1" applyAlignment="1">
      <alignment vertical="center"/>
    </xf>
    <xf numFmtId="0" fontId="60" fillId="28" borderId="0" xfId="0" applyFont="1" applyFill="1"/>
    <xf numFmtId="164" fontId="61" fillId="28" borderId="0" xfId="56" applyNumberFormat="1" applyFont="1" applyFill="1" applyAlignment="1">
      <alignment horizontal="right" vertical="center"/>
    </xf>
    <xf numFmtId="0" fontId="61" fillId="23" borderId="0" xfId="0" applyFont="1" applyFill="1"/>
    <xf numFmtId="164" fontId="62" fillId="23" borderId="0" xfId="56" applyNumberFormat="1" applyFont="1" applyFill="1"/>
    <xf numFmtId="37" fontId="61" fillId="23" borderId="0" xfId="0" applyNumberFormat="1" applyFont="1" applyFill="1" applyAlignment="1">
      <alignment horizontal="right"/>
    </xf>
    <xf numFmtId="37" fontId="61" fillId="26" borderId="0" xfId="0" applyNumberFormat="1" applyFont="1" applyFill="1" applyAlignment="1">
      <alignment horizontal="right"/>
    </xf>
    <xf numFmtId="0" fontId="62" fillId="28" borderId="0" xfId="0" applyFont="1" applyFill="1"/>
    <xf numFmtId="164" fontId="62" fillId="28" borderId="0" xfId="56" applyNumberFormat="1" applyFont="1" applyFill="1"/>
    <xf numFmtId="37" fontId="61" fillId="28" borderId="0" xfId="0" applyNumberFormat="1" applyFont="1" applyFill="1" applyAlignment="1">
      <alignment horizontal="right"/>
    </xf>
    <xf numFmtId="164" fontId="61" fillId="27" borderId="0" xfId="56" applyNumberFormat="1" applyFont="1" applyFill="1"/>
    <xf numFmtId="37" fontId="61" fillId="27" borderId="0" xfId="0" applyNumberFormat="1" applyFont="1" applyFill="1" applyAlignment="1">
      <alignment horizontal="right"/>
    </xf>
    <xf numFmtId="37" fontId="62" fillId="27" borderId="0" xfId="0" applyNumberFormat="1" applyFont="1" applyFill="1" applyAlignment="1">
      <alignment horizontal="right"/>
    </xf>
    <xf numFmtId="37" fontId="62" fillId="28" borderId="0" xfId="0" applyNumberFormat="1" applyFont="1" applyFill="1" applyAlignment="1">
      <alignment horizontal="right"/>
    </xf>
    <xf numFmtId="164" fontId="62" fillId="27" borderId="0" xfId="56" applyNumberFormat="1" applyFont="1" applyFill="1"/>
    <xf numFmtId="0" fontId="60" fillId="26" borderId="0" xfId="0" applyFont="1" applyFill="1"/>
    <xf numFmtId="0" fontId="62" fillId="26" borderId="0" xfId="0" applyFont="1" applyFill="1"/>
    <xf numFmtId="164" fontId="62" fillId="26" borderId="0" xfId="56" applyNumberFormat="1" applyFont="1" applyFill="1"/>
    <xf numFmtId="37" fontId="62" fillId="26" borderId="0" xfId="0" applyNumberFormat="1" applyFont="1" applyFill="1" applyAlignment="1">
      <alignment horizontal="right"/>
    </xf>
    <xf numFmtId="0" fontId="62" fillId="28" borderId="0" xfId="0" applyFont="1" applyFill="1" applyAlignment="1">
      <alignment vertical="center"/>
    </xf>
    <xf numFmtId="0" fontId="64" fillId="23" borderId="0" xfId="0" applyFont="1" applyFill="1"/>
    <xf numFmtId="43" fontId="61" fillId="27" borderId="0" xfId="56" applyFont="1" applyFill="1"/>
    <xf numFmtId="0" fontId="64" fillId="27" borderId="0" xfId="0" applyFont="1" applyFill="1"/>
    <xf numFmtId="0" fontId="102" fillId="28" borderId="11" xfId="0" applyFont="1" applyFill="1" applyBorder="1" applyAlignment="1">
      <alignment horizontal="left" vertical="center"/>
    </xf>
    <xf numFmtId="0" fontId="102" fillId="28" borderId="11" xfId="0" applyFont="1" applyFill="1" applyBorder="1" applyAlignment="1">
      <alignment horizontal="right" vertical="center" wrapText="1"/>
    </xf>
    <xf numFmtId="0" fontId="102" fillId="28" borderId="0" xfId="0" applyFont="1" applyFill="1" applyAlignment="1">
      <alignment horizontal="right" vertical="center" wrapText="1"/>
    </xf>
    <xf numFmtId="164" fontId="45" fillId="27" borderId="0" xfId="56" applyNumberFormat="1" applyFont="1" applyFill="1" applyAlignment="1">
      <alignment horizontal="right"/>
    </xf>
    <xf numFmtId="1" fontId="45" fillId="28" borderId="0" xfId="0" applyNumberFormat="1" applyFont="1" applyFill="1"/>
    <xf numFmtId="1" fontId="45" fillId="27" borderId="0" xfId="0" applyNumberFormat="1" applyFont="1" applyFill="1"/>
    <xf numFmtId="0" fontId="65" fillId="23" borderId="0" xfId="0" applyFont="1" applyFill="1"/>
    <xf numFmtId="1" fontId="45" fillId="23" borderId="0" xfId="0" applyNumberFormat="1" applyFont="1" applyFill="1"/>
    <xf numFmtId="0" fontId="46" fillId="28" borderId="22" xfId="0" applyFont="1" applyFill="1" applyBorder="1" applyAlignment="1">
      <alignment horizontal="left" vertical="center"/>
    </xf>
    <xf numFmtId="0" fontId="51" fillId="28" borderId="22" xfId="0" applyFont="1" applyFill="1" applyBorder="1"/>
    <xf numFmtId="0" fontId="34" fillId="28" borderId="22" xfId="0" applyFont="1" applyFill="1" applyBorder="1"/>
    <xf numFmtId="0" fontId="109" fillId="0" borderId="0" xfId="1" applyFont="1" applyAlignment="1">
      <alignment vertical="center"/>
    </xf>
    <xf numFmtId="0" fontId="110" fillId="29" borderId="0" xfId="1" applyFont="1" applyFill="1" applyAlignment="1">
      <alignment horizontal="center" vertical="center"/>
    </xf>
    <xf numFmtId="0" fontId="54" fillId="26" borderId="0" xfId="1" applyFont="1" applyFill="1" applyAlignment="1">
      <alignment vertical="center"/>
    </xf>
    <xf numFmtId="0" fontId="51" fillId="26" borderId="0" xfId="1" applyFont="1" applyFill="1" applyAlignment="1">
      <alignment vertical="center"/>
    </xf>
    <xf numFmtId="0" fontId="68" fillId="30" borderId="13" xfId="3" applyFont="1" applyFill="1" applyBorder="1" applyAlignment="1">
      <alignment horizontal="center" vertical="center" wrapText="1"/>
    </xf>
    <xf numFmtId="0" fontId="51" fillId="0" borderId="0" xfId="1" applyFont="1" applyAlignment="1">
      <alignment vertical="center"/>
    </xf>
    <xf numFmtId="0" fontId="111" fillId="0" borderId="0" xfId="1" applyFont="1" applyAlignment="1">
      <alignment horizontal="left" vertical="center" wrapText="1"/>
    </xf>
    <xf numFmtId="3" fontId="112" fillId="0" borderId="14" xfId="1" applyNumberFormat="1" applyFont="1" applyBorder="1" applyAlignment="1">
      <alignment horizontal="right" vertical="center" wrapText="1"/>
    </xf>
    <xf numFmtId="3" fontId="112" fillId="0" borderId="0" xfId="1" applyNumberFormat="1" applyFont="1" applyAlignment="1">
      <alignment horizontal="right" vertical="center" wrapText="1"/>
    </xf>
    <xf numFmtId="0" fontId="112" fillId="27" borderId="0" xfId="1" applyFont="1" applyFill="1" applyAlignment="1">
      <alignment horizontal="left" vertical="center" wrapText="1"/>
    </xf>
    <xf numFmtId="164" fontId="112" fillId="27" borderId="14" xfId="44" applyNumberFormat="1" applyFont="1" applyFill="1" applyBorder="1" applyAlignment="1">
      <alignment horizontal="right" vertical="center" wrapText="1"/>
    </xf>
    <xf numFmtId="164" fontId="112" fillId="27" borderId="0" xfId="45" applyNumberFormat="1" applyFont="1" applyFill="1" applyAlignment="1">
      <alignment horizontal="right" vertical="center" wrapText="1"/>
    </xf>
    <xf numFmtId="164" fontId="112" fillId="27" borderId="0" xfId="44" applyNumberFormat="1" applyFont="1" applyFill="1" applyAlignment="1">
      <alignment horizontal="right" vertical="center" wrapText="1"/>
    </xf>
    <xf numFmtId="0" fontId="112" fillId="28" borderId="0" xfId="1" applyFont="1" applyFill="1" applyAlignment="1">
      <alignment horizontal="left" vertical="center" wrapText="1"/>
    </xf>
    <xf numFmtId="0" fontId="111" fillId="0" borderId="14" xfId="1" applyFont="1" applyBorder="1" applyAlignment="1">
      <alignment horizontal="right" vertical="center" wrapText="1"/>
    </xf>
    <xf numFmtId="0" fontId="111" fillId="0" borderId="0" xfId="1" applyFont="1" applyAlignment="1">
      <alignment horizontal="right" vertical="center" wrapText="1"/>
    </xf>
    <xf numFmtId="0" fontId="111" fillId="27" borderId="0" xfId="1" applyFont="1" applyFill="1" applyAlignment="1">
      <alignment horizontal="left" vertical="center" wrapText="1"/>
    </xf>
    <xf numFmtId="166" fontId="111" fillId="27" borderId="14" xfId="41" applyNumberFormat="1" applyFont="1" applyFill="1" applyBorder="1" applyAlignment="1">
      <alignment horizontal="right" vertical="center" wrapText="1"/>
    </xf>
    <xf numFmtId="166" fontId="111" fillId="27" borderId="0" xfId="41" applyNumberFormat="1" applyFont="1" applyFill="1" applyAlignment="1">
      <alignment horizontal="right" vertical="center" wrapText="1"/>
    </xf>
    <xf numFmtId="0" fontId="113" fillId="0" borderId="0" xfId="1" applyFont="1" applyAlignment="1">
      <alignment vertical="center"/>
    </xf>
    <xf numFmtId="164" fontId="112" fillId="28" borderId="14" xfId="44" applyNumberFormat="1" applyFont="1" applyFill="1" applyBorder="1" applyAlignment="1">
      <alignment horizontal="right" vertical="center" wrapText="1"/>
    </xf>
    <xf numFmtId="164" fontId="112" fillId="28" borderId="0" xfId="45" applyNumberFormat="1" applyFont="1" applyFill="1" applyAlignment="1">
      <alignment horizontal="right" vertical="center" wrapText="1"/>
    </xf>
    <xf numFmtId="164" fontId="112" fillId="28" borderId="0" xfId="44" applyNumberFormat="1" applyFont="1" applyFill="1" applyAlignment="1">
      <alignment horizontal="right" vertical="center" wrapText="1"/>
    </xf>
    <xf numFmtId="0" fontId="111" fillId="28" borderId="0" xfId="1" applyFont="1" applyFill="1" applyAlignment="1">
      <alignment horizontal="left" vertical="center" wrapText="1"/>
    </xf>
    <xf numFmtId="166" fontId="111" fillId="28" borderId="15" xfId="41" applyNumberFormat="1" applyFont="1" applyFill="1" applyBorder="1" applyAlignment="1">
      <alignment horizontal="right" vertical="center" wrapText="1"/>
    </xf>
    <xf numFmtId="166" fontId="111" fillId="28" borderId="0" xfId="41" applyNumberFormat="1" applyFont="1" applyFill="1" applyAlignment="1">
      <alignment horizontal="right" vertical="center" wrapText="1"/>
    </xf>
    <xf numFmtId="0" fontId="51" fillId="26" borderId="0" xfId="1" applyFont="1" applyFill="1" applyAlignment="1">
      <alignment horizontal="left" vertical="center" wrapText="1"/>
    </xf>
    <xf numFmtId="9" fontId="54" fillId="0" borderId="0" xfId="41" applyFont="1" applyAlignment="1">
      <alignment vertical="center"/>
    </xf>
    <xf numFmtId="164" fontId="51" fillId="0" borderId="0" xfId="1" applyNumberFormat="1" applyFont="1" applyAlignment="1">
      <alignment vertical="center"/>
    </xf>
    <xf numFmtId="0" fontId="51" fillId="0" borderId="0" xfId="1" applyFont="1" applyFill="1" applyAlignment="1">
      <alignment vertical="center"/>
    </xf>
    <xf numFmtId="164" fontId="51" fillId="0" borderId="0" xfId="1" applyNumberFormat="1" applyFont="1" applyFill="1" applyAlignment="1">
      <alignment vertical="center"/>
    </xf>
    <xf numFmtId="0" fontId="114" fillId="0" borderId="0" xfId="0" applyFont="1" applyAlignment="1">
      <alignment horizontal="justify" vertical="center"/>
    </xf>
    <xf numFmtId="0" fontId="115" fillId="0" borderId="0" xfId="0" applyFont="1"/>
    <xf numFmtId="164" fontId="112" fillId="28" borderId="0" xfId="57" applyNumberFormat="1" applyFont="1" applyFill="1" applyAlignment="1">
      <alignment horizontal="right" vertical="center" wrapText="1"/>
    </xf>
    <xf numFmtId="164" fontId="112" fillId="28" borderId="14" xfId="57" applyNumberFormat="1" applyFont="1" applyFill="1" applyBorder="1" applyAlignment="1">
      <alignment horizontal="right" vertical="center" wrapText="1"/>
    </xf>
    <xf numFmtId="164" fontId="51" fillId="0" borderId="0" xfId="57" applyNumberFormat="1" applyFont="1" applyAlignment="1">
      <alignment horizontal="right" vertical="center" wrapText="1"/>
    </xf>
    <xf numFmtId="164" fontId="46" fillId="27" borderId="0" xfId="57" applyNumberFormat="1" applyFont="1" applyFill="1"/>
    <xf numFmtId="164" fontId="45" fillId="28" borderId="0" xfId="57" applyNumberFormat="1" applyFont="1" applyFill="1"/>
    <xf numFmtId="164" fontId="45" fillId="27" borderId="0" xfId="57" applyNumberFormat="1" applyFont="1" applyFill="1"/>
    <xf numFmtId="164" fontId="89" fillId="28" borderId="0" xfId="57" applyNumberFormat="1" applyFont="1" applyFill="1" applyAlignment="1">
      <alignment horizontal="center"/>
    </xf>
    <xf numFmtId="164" fontId="85" fillId="27" borderId="0" xfId="57" applyNumberFormat="1" applyFont="1" applyFill="1" applyAlignment="1">
      <alignment horizontal="center"/>
    </xf>
    <xf numFmtId="164" fontId="85" fillId="28" borderId="0" xfId="57" applyNumberFormat="1" applyFont="1" applyFill="1" applyAlignment="1">
      <alignment horizontal="center"/>
    </xf>
    <xf numFmtId="164" fontId="46" fillId="28" borderId="0" xfId="57" applyNumberFormat="1" applyFont="1" applyFill="1" applyAlignment="1">
      <alignment vertical="center"/>
    </xf>
    <xf numFmtId="164" fontId="45" fillId="0" borderId="0" xfId="57" applyNumberFormat="1" applyFont="1" applyAlignment="1">
      <alignment vertical="center"/>
    </xf>
    <xf numFmtId="164" fontId="46" fillId="27" borderId="0" xfId="57" applyNumberFormat="1" applyFont="1" applyFill="1" applyAlignment="1">
      <alignment vertical="center"/>
    </xf>
    <xf numFmtId="164" fontId="45" fillId="27" borderId="0" xfId="57" applyNumberFormat="1" applyFont="1" applyFill="1" applyAlignment="1">
      <alignment vertical="center"/>
    </xf>
    <xf numFmtId="164" fontId="46" fillId="28" borderId="12" xfId="57" applyNumberFormat="1" applyFont="1" applyFill="1" applyBorder="1" applyAlignment="1">
      <alignment vertical="center"/>
    </xf>
    <xf numFmtId="164" fontId="45" fillId="27" borderId="22" xfId="57" applyNumberFormat="1" applyFont="1" applyFill="1" applyBorder="1" applyAlignment="1">
      <alignment vertical="center"/>
    </xf>
    <xf numFmtId="0" fontId="116" fillId="28" borderId="0" xfId="0" applyFont="1" applyFill="1" applyAlignment="1">
      <alignment vertical="center"/>
    </xf>
    <xf numFmtId="9" fontId="105" fillId="27" borderId="0" xfId="41" applyNumberFormat="1" applyFont="1" applyFill="1" applyAlignment="1">
      <alignment vertical="center"/>
    </xf>
    <xf numFmtId="168" fontId="69" fillId="28" borderId="0" xfId="56" applyNumberFormat="1" applyFont="1" applyFill="1" applyAlignment="1">
      <alignment vertical="center"/>
    </xf>
    <xf numFmtId="0" fontId="69" fillId="28" borderId="0" xfId="0" applyFont="1" applyFill="1"/>
    <xf numFmtId="0" fontId="69" fillId="27" borderId="0" xfId="0" applyFont="1" applyFill="1"/>
    <xf numFmtId="37" fontId="69" fillId="27" borderId="0" xfId="0" applyNumberFormat="1" applyFont="1" applyFill="1" applyAlignment="1">
      <alignment horizontal="right"/>
    </xf>
    <xf numFmtId="164" fontId="69" fillId="28" borderId="0" xfId="56" applyNumberFormat="1" applyFont="1" applyFill="1"/>
    <xf numFmtId="164" fontId="69" fillId="28" borderId="0" xfId="56" applyNumberFormat="1" applyFont="1" applyFill="1" applyAlignment="1">
      <alignment vertical="center"/>
    </xf>
    <xf numFmtId="0" fontId="63" fillId="28" borderId="0" xfId="0" applyFont="1" applyFill="1"/>
    <xf numFmtId="164" fontId="69" fillId="28" borderId="0" xfId="56" applyNumberFormat="1" applyFont="1" applyFill="1" applyAlignment="1">
      <alignment horizontal="right" vertical="center"/>
    </xf>
    <xf numFmtId="37" fontId="69" fillId="28" borderId="0" xfId="0" applyNumberFormat="1" applyFont="1" applyFill="1" applyAlignment="1">
      <alignment horizontal="right"/>
    </xf>
    <xf numFmtId="0" fontId="45" fillId="28" borderId="0" xfId="0" applyFont="1" applyFill="1" applyAlignment="1">
      <alignment horizontal="left" wrapText="1"/>
    </xf>
    <xf numFmtId="164" fontId="89" fillId="23" borderId="0" xfId="56" applyNumberFormat="1" applyFont="1" applyFill="1" applyAlignment="1">
      <alignment vertical="center"/>
    </xf>
    <xf numFmtId="164" fontId="95" fillId="27" borderId="0" xfId="56" applyNumberFormat="1" applyFont="1" applyFill="1" applyAlignment="1">
      <alignment vertical="center"/>
    </xf>
    <xf numFmtId="164" fontId="95" fillId="28" borderId="0" xfId="56" applyNumberFormat="1" applyFont="1" applyFill="1" applyAlignment="1">
      <alignment vertical="center"/>
    </xf>
    <xf numFmtId="1" fontId="85" fillId="23" borderId="0" xfId="0" applyNumberFormat="1" applyFont="1" applyFill="1"/>
    <xf numFmtId="9" fontId="105" fillId="27" borderId="0" xfId="40" applyNumberFormat="1" applyFont="1" applyFill="1" applyAlignment="1">
      <alignment vertical="center"/>
    </xf>
    <xf numFmtId="164" fontId="94" fillId="31" borderId="0" xfId="56" applyNumberFormat="1" applyFont="1" applyFill="1" applyAlignment="1">
      <alignment horizontal="center" vertical="center"/>
    </xf>
    <xf numFmtId="164" fontId="94" fillId="31" borderId="0" xfId="56" applyNumberFormat="1" applyFont="1" applyFill="1" applyAlignment="1">
      <alignment vertical="center"/>
    </xf>
    <xf numFmtId="164" fontId="92" fillId="27" borderId="0" xfId="56" applyNumberFormat="1" applyFont="1" applyFill="1" applyAlignment="1">
      <alignment horizontal="center" vertical="center"/>
    </xf>
    <xf numFmtId="0" fontId="94" fillId="23" borderId="0" xfId="0" quotePrefix="1" applyFont="1" applyFill="1" applyAlignment="1">
      <alignment horizontal="left" vertical="center"/>
    </xf>
    <xf numFmtId="164" fontId="92" fillId="27" borderId="0" xfId="56" applyNumberFormat="1" applyFont="1" applyFill="1" applyAlignment="1">
      <alignment vertical="center"/>
    </xf>
    <xf numFmtId="0" fontId="46" fillId="28" borderId="0" xfId="0" applyFont="1" applyFill="1" applyAlignment="1">
      <alignment horizontal="left" vertical="center"/>
    </xf>
    <xf numFmtId="164" fontId="94" fillId="32" borderId="0" xfId="56" applyNumberFormat="1" applyFont="1" applyFill="1" applyAlignment="1">
      <alignment vertical="center"/>
    </xf>
    <xf numFmtId="0" fontId="102" fillId="27" borderId="0" xfId="0" applyNumberFormat="1" applyFont="1" applyFill="1" applyAlignment="1">
      <alignment horizontal="left" vertical="center"/>
    </xf>
    <xf numFmtId="164" fontId="94" fillId="31" borderId="0" xfId="57" applyNumberFormat="1" applyFont="1" applyFill="1" applyAlignment="1">
      <alignment horizontal="center" vertical="center"/>
    </xf>
    <xf numFmtId="164" fontId="94" fillId="28" borderId="0" xfId="57" applyNumberFormat="1" applyFont="1" applyFill="1" applyAlignment="1">
      <alignment horizontal="center" vertical="center"/>
    </xf>
    <xf numFmtId="164" fontId="94" fillId="27" borderId="0" xfId="57" applyNumberFormat="1" applyFont="1" applyFill="1" applyAlignment="1">
      <alignment horizontal="center" vertical="center"/>
    </xf>
    <xf numFmtId="164" fontId="92" fillId="27" borderId="0" xfId="57" applyNumberFormat="1" applyFont="1" applyFill="1" applyAlignment="1">
      <alignment horizontal="center" vertical="center"/>
    </xf>
    <xf numFmtId="0" fontId="92" fillId="28" borderId="0" xfId="0" applyFont="1" applyFill="1" applyBorder="1" applyAlignment="1">
      <alignment horizontal="right"/>
    </xf>
    <xf numFmtId="0" fontId="92" fillId="28" borderId="0" xfId="0" applyFont="1" applyFill="1" applyBorder="1" applyAlignment="1"/>
    <xf numFmtId="164" fontId="108" fillId="28" borderId="0" xfId="57" applyNumberFormat="1" applyFont="1" applyFill="1" applyAlignment="1">
      <alignment vertical="center"/>
    </xf>
    <xf numFmtId="164" fontId="61" fillId="27" borderId="0" xfId="57" applyNumberFormat="1" applyFont="1" applyFill="1" applyAlignment="1">
      <alignment vertical="center"/>
    </xf>
    <xf numFmtId="164" fontId="61" fillId="28" borderId="0" xfId="57" applyNumberFormat="1" applyFont="1" applyFill="1" applyAlignment="1">
      <alignment horizontal="right" vertical="center"/>
    </xf>
    <xf numFmtId="168" fontId="69" fillId="28" borderId="0" xfId="57" applyNumberFormat="1" applyFont="1" applyFill="1" applyAlignment="1">
      <alignment vertical="center"/>
    </xf>
    <xf numFmtId="43" fontId="61" fillId="27" borderId="0" xfId="57" applyFont="1" applyFill="1"/>
    <xf numFmtId="164" fontId="45" fillId="27" borderId="0" xfId="57" applyNumberFormat="1" applyFont="1" applyFill="1" applyAlignment="1">
      <alignment horizontal="right"/>
    </xf>
    <xf numFmtId="0" fontId="34" fillId="23" borderId="0" xfId="0" applyFont="1" applyFill="1" applyAlignment="1">
      <alignment horizontal="center" vertical="center"/>
    </xf>
    <xf numFmtId="0" fontId="92" fillId="28" borderId="11" xfId="0" applyFont="1" applyFill="1" applyBorder="1" applyAlignment="1">
      <alignment horizontal="center"/>
    </xf>
    <xf numFmtId="0" fontId="94" fillId="23" borderId="0" xfId="0" applyFont="1" applyFill="1" applyAlignment="1">
      <alignment horizontal="center" vertical="center"/>
    </xf>
    <xf numFmtId="164" fontId="92" fillId="28" borderId="0" xfId="57" applyNumberFormat="1" applyFont="1" applyFill="1" applyAlignment="1">
      <alignment horizontal="center" vertical="center"/>
    </xf>
    <xf numFmtId="9" fontId="105" fillId="27" borderId="0" xfId="40" applyNumberFormat="1" applyFont="1" applyFill="1" applyAlignment="1">
      <alignment horizontal="center" vertical="center"/>
    </xf>
    <xf numFmtId="164" fontId="94" fillId="32" borderId="0" xfId="56" applyNumberFormat="1" applyFont="1" applyFill="1" applyAlignment="1">
      <alignment horizontal="center" vertical="center"/>
    </xf>
    <xf numFmtId="0" fontId="92" fillId="28" borderId="0" xfId="0" applyFont="1" applyFill="1" applyBorder="1" applyAlignment="1">
      <alignment horizontal="center"/>
    </xf>
    <xf numFmtId="9" fontId="92" fillId="28" borderId="0" xfId="40" applyFont="1" applyFill="1" applyAlignment="1">
      <alignment horizontal="center" vertical="center"/>
    </xf>
    <xf numFmtId="9" fontId="105" fillId="27" borderId="0" xfId="40" applyFont="1" applyFill="1" applyAlignment="1">
      <alignment horizontal="center" vertical="center"/>
    </xf>
    <xf numFmtId="0" fontId="92" fillId="0" borderId="0" xfId="0" applyFont="1" applyAlignment="1">
      <alignment horizontal="center" vertical="center"/>
    </xf>
    <xf numFmtId="3" fontId="92" fillId="27" borderId="0" xfId="0" applyNumberFormat="1" applyFont="1" applyFill="1" applyAlignment="1">
      <alignment horizontal="center" vertical="center"/>
    </xf>
    <xf numFmtId="3" fontId="94" fillId="28" borderId="0" xfId="0" applyNumberFormat="1" applyFont="1" applyFill="1" applyAlignment="1">
      <alignment horizontal="center" vertical="center"/>
    </xf>
    <xf numFmtId="3" fontId="94" fillId="27" borderId="0" xfId="0" applyNumberFormat="1" applyFont="1" applyFill="1" applyAlignment="1">
      <alignment horizontal="center" vertical="center"/>
    </xf>
    <xf numFmtId="3" fontId="92" fillId="28" borderId="0" xfId="0" applyNumberFormat="1" applyFont="1" applyFill="1" applyAlignment="1">
      <alignment horizontal="center" vertical="center"/>
    </xf>
    <xf numFmtId="168" fontId="94" fillId="27" borderId="0" xfId="57" applyNumberFormat="1" applyFont="1" applyFill="1" applyAlignment="1">
      <alignment horizontal="center" vertical="center"/>
    </xf>
    <xf numFmtId="3" fontId="92" fillId="27" borderId="0" xfId="57" applyNumberFormat="1" applyFont="1" applyFill="1" applyAlignment="1">
      <alignment horizontal="center" vertical="center"/>
    </xf>
    <xf numFmtId="0" fontId="94" fillId="28" borderId="0" xfId="0" applyFont="1" applyFill="1" applyAlignment="1">
      <alignment horizontal="center" vertical="center"/>
    </xf>
    <xf numFmtId="43" fontId="94" fillId="27" borderId="0" xfId="57" applyFont="1" applyFill="1" applyAlignment="1">
      <alignment horizontal="center" vertical="center"/>
    </xf>
    <xf numFmtId="43" fontId="94" fillId="28" borderId="0" xfId="57" applyFont="1" applyFill="1" applyAlignment="1">
      <alignment horizontal="center" vertical="center"/>
    </xf>
    <xf numFmtId="2" fontId="94" fillId="33" borderId="0" xfId="0" applyNumberFormat="1" applyFont="1" applyFill="1" applyAlignment="1">
      <alignment horizontal="right" vertical="center"/>
    </xf>
    <xf numFmtId="0" fontId="117" fillId="34" borderId="0" xfId="0" applyFont="1" applyFill="1"/>
    <xf numFmtId="3" fontId="102" fillId="33" borderId="0" xfId="0" applyNumberFormat="1" applyFont="1" applyFill="1" applyAlignment="1">
      <alignment vertical="center"/>
    </xf>
    <xf numFmtId="0" fontId="117" fillId="34" borderId="0" xfId="0" applyFont="1" applyFill="1" applyAlignment="1">
      <alignment vertical="center"/>
    </xf>
    <xf numFmtId="3" fontId="117" fillId="33" borderId="0" xfId="0" applyNumberFormat="1" applyFont="1" applyFill="1" applyAlignment="1">
      <alignment horizontal="right" vertical="center"/>
    </xf>
    <xf numFmtId="3" fontId="117" fillId="34" borderId="0" xfId="0" applyNumberFormat="1" applyFont="1" applyFill="1" applyAlignment="1">
      <alignment horizontal="right"/>
    </xf>
    <xf numFmtId="3" fontId="118" fillId="33" borderId="0" xfId="0" applyNumberFormat="1" applyFont="1" applyFill="1" applyAlignment="1">
      <alignment horizontal="right"/>
    </xf>
    <xf numFmtId="0" fontId="118" fillId="34" borderId="0" xfId="0" applyFont="1" applyFill="1" applyAlignment="1">
      <alignment horizontal="right"/>
    </xf>
    <xf numFmtId="0" fontId="117" fillId="33" borderId="0" xfId="0" applyFont="1" applyFill="1" applyAlignment="1">
      <alignment horizontal="right"/>
    </xf>
    <xf numFmtId="0" fontId="117" fillId="34" borderId="0" xfId="0" applyFont="1" applyFill="1" applyAlignment="1">
      <alignment horizontal="right"/>
    </xf>
    <xf numFmtId="0" fontId="119" fillId="33" borderId="0" xfId="0" applyFont="1" applyFill="1" applyAlignment="1">
      <alignment horizontal="right"/>
    </xf>
    <xf numFmtId="0" fontId="117" fillId="33" borderId="0" xfId="0" applyFont="1" applyFill="1" applyAlignment="1">
      <alignment horizontal="right" vertical="center"/>
    </xf>
    <xf numFmtId="0" fontId="102" fillId="33" borderId="0" xfId="0" applyFont="1" applyFill="1" applyAlignment="1">
      <alignment vertical="center"/>
    </xf>
    <xf numFmtId="0" fontId="118" fillId="33" borderId="0" xfId="0" applyFont="1" applyFill="1"/>
    <xf numFmtId="0" fontId="118" fillId="34" borderId="0" xfId="0" applyFont="1" applyFill="1"/>
    <xf numFmtId="0" fontId="120" fillId="35" borderId="0" xfId="0" applyFont="1" applyFill="1"/>
    <xf numFmtId="3" fontId="117" fillId="33" borderId="0" xfId="0" applyNumberFormat="1" applyFont="1" applyFill="1" applyAlignment="1">
      <alignment vertical="center"/>
    </xf>
    <xf numFmtId="3" fontId="118" fillId="34" borderId="0" xfId="0" applyNumberFormat="1" applyFont="1" applyFill="1" applyAlignment="1">
      <alignment vertical="center"/>
    </xf>
    <xf numFmtId="3" fontId="118" fillId="33" borderId="0" xfId="0" applyNumberFormat="1" applyFont="1" applyFill="1" applyAlignment="1">
      <alignment vertical="center"/>
    </xf>
    <xf numFmtId="0" fontId="118" fillId="34" borderId="26" xfId="0" applyFont="1" applyFill="1" applyBorder="1" applyAlignment="1">
      <alignment vertical="center"/>
    </xf>
    <xf numFmtId="0" fontId="34" fillId="23" borderId="0" xfId="0" applyFont="1" applyFill="1" applyAlignment="1">
      <alignment horizontal="right" vertical="center"/>
    </xf>
    <xf numFmtId="0" fontId="94" fillId="23" borderId="0" xfId="0" applyFont="1" applyFill="1" applyAlignment="1">
      <alignment horizontal="right" vertical="center"/>
    </xf>
    <xf numFmtId="164" fontId="94" fillId="27" borderId="0" xfId="56" applyNumberFormat="1" applyFont="1" applyFill="1" applyAlignment="1">
      <alignment horizontal="right" vertical="center"/>
    </xf>
    <xf numFmtId="9" fontId="105" fillId="27" borderId="0" xfId="40" applyNumberFormat="1" applyFont="1" applyFill="1" applyAlignment="1">
      <alignment horizontal="right" vertical="center"/>
    </xf>
    <xf numFmtId="164" fontId="94" fillId="28" borderId="0" xfId="56" applyNumberFormat="1" applyFont="1" applyFill="1" applyAlignment="1">
      <alignment horizontal="right" vertical="center"/>
    </xf>
    <xf numFmtId="164" fontId="94" fillId="32" borderId="0" xfId="56" applyNumberFormat="1" applyFont="1" applyFill="1" applyAlignment="1">
      <alignment horizontal="right" vertical="center"/>
    </xf>
    <xf numFmtId="164" fontId="94" fillId="31" borderId="0" xfId="56" applyNumberFormat="1" applyFont="1" applyFill="1" applyAlignment="1">
      <alignment horizontal="right" vertical="center"/>
    </xf>
    <xf numFmtId="164" fontId="94" fillId="27" borderId="0" xfId="57" applyNumberFormat="1" applyFont="1" applyFill="1" applyAlignment="1">
      <alignment horizontal="right" vertical="center"/>
    </xf>
    <xf numFmtId="164" fontId="94" fillId="28" borderId="0" xfId="57" applyNumberFormat="1" applyFont="1" applyFill="1" applyAlignment="1">
      <alignment horizontal="right" vertical="center"/>
    </xf>
    <xf numFmtId="164" fontId="92" fillId="27" borderId="0" xfId="56" applyNumberFormat="1" applyFont="1" applyFill="1" applyAlignment="1">
      <alignment horizontal="right" vertical="center"/>
    </xf>
    <xf numFmtId="164" fontId="94" fillId="23" borderId="0" xfId="56" applyNumberFormat="1" applyFont="1" applyFill="1" applyAlignment="1">
      <alignment horizontal="right" vertical="center"/>
    </xf>
    <xf numFmtId="9" fontId="105" fillId="27" borderId="0" xfId="40" applyFont="1" applyFill="1" applyAlignment="1">
      <alignment horizontal="right" vertical="center"/>
    </xf>
    <xf numFmtId="0" fontId="92" fillId="23" borderId="0" xfId="0" applyFont="1" applyFill="1" applyAlignment="1">
      <alignment horizontal="right" vertical="center"/>
    </xf>
    <xf numFmtId="3" fontId="94" fillId="28" borderId="0" xfId="0" applyNumberFormat="1" applyFont="1" applyFill="1" applyAlignment="1">
      <alignment horizontal="right" vertical="center"/>
    </xf>
    <xf numFmtId="3" fontId="94" fillId="27" borderId="0" xfId="0" applyNumberFormat="1" applyFont="1" applyFill="1" applyAlignment="1">
      <alignment horizontal="right" vertical="center"/>
    </xf>
    <xf numFmtId="168" fontId="94" fillId="27" borderId="0" xfId="56" applyNumberFormat="1" applyFont="1" applyFill="1" applyAlignment="1">
      <alignment horizontal="right" vertical="center"/>
    </xf>
    <xf numFmtId="3" fontId="92" fillId="27" borderId="0" xfId="56" applyNumberFormat="1" applyFont="1" applyFill="1" applyAlignment="1">
      <alignment horizontal="right" vertical="center"/>
    </xf>
    <xf numFmtId="0" fontId="94" fillId="28" borderId="0" xfId="0" applyFont="1" applyFill="1" applyAlignment="1">
      <alignment horizontal="right" vertical="center"/>
    </xf>
    <xf numFmtId="0" fontId="94" fillId="34" borderId="0" xfId="0" applyFont="1" applyFill="1" applyAlignment="1">
      <alignment horizontal="right" vertical="center"/>
    </xf>
    <xf numFmtId="168" fontId="94" fillId="27" borderId="0" xfId="56" applyNumberFormat="1" applyFont="1" applyFill="1" applyAlignment="1">
      <alignment vertical="center"/>
    </xf>
    <xf numFmtId="0" fontId="109" fillId="0" borderId="0" xfId="2" applyFont="1" applyAlignment="1">
      <alignment vertical="center"/>
    </xf>
    <xf numFmtId="0" fontId="110" fillId="29" borderId="0" xfId="2" applyFont="1" applyFill="1" applyAlignment="1">
      <alignment horizontal="center" vertical="center"/>
    </xf>
    <xf numFmtId="0" fontId="54" fillId="26" borderId="0" xfId="2" applyFont="1" applyFill="1" applyAlignment="1">
      <alignment vertical="center"/>
    </xf>
    <xf numFmtId="0" fontId="51" fillId="26" borderId="0" xfId="2" applyFont="1" applyFill="1" applyAlignment="1">
      <alignment vertical="center"/>
    </xf>
    <xf numFmtId="0" fontId="51" fillId="26" borderId="0" xfId="2" applyFont="1" applyFill="1" applyAlignment="1">
      <alignment horizontal="left" vertical="center" wrapText="1"/>
    </xf>
    <xf numFmtId="164" fontId="51" fillId="0" borderId="0" xfId="58" applyNumberFormat="1" applyFont="1" applyAlignment="1">
      <alignment horizontal="right" vertical="center" wrapText="1"/>
    </xf>
    <xf numFmtId="9" fontId="54" fillId="0" borderId="0" xfId="42" applyFont="1" applyAlignment="1">
      <alignment vertical="center"/>
    </xf>
    <xf numFmtId="0" fontId="51" fillId="0" borderId="0" xfId="2" applyFont="1" applyAlignment="1">
      <alignment vertical="center"/>
    </xf>
    <xf numFmtId="0" fontId="70" fillId="0" borderId="0" xfId="2" applyFont="1" applyAlignment="1">
      <alignment vertical="center"/>
    </xf>
    <xf numFmtId="0" fontId="102" fillId="28" borderId="11" xfId="0" applyFont="1" applyFill="1" applyBorder="1" applyAlignment="1">
      <alignment horizontal="left" vertical="center" wrapText="1"/>
    </xf>
    <xf numFmtId="0" fontId="77" fillId="0" borderId="0" xfId="37" applyFont="1"/>
    <xf numFmtId="0" fontId="77" fillId="0" borderId="0" xfId="37"/>
    <xf numFmtId="2" fontId="77" fillId="0" borderId="0" xfId="37" applyNumberFormat="1" applyFill="1"/>
    <xf numFmtId="2" fontId="77" fillId="0" borderId="0" xfId="37" applyNumberFormat="1" applyFill="1" applyAlignment="1">
      <alignment horizontal="right"/>
    </xf>
    <xf numFmtId="2" fontId="77" fillId="0" borderId="0" xfId="37" applyNumberFormat="1" applyAlignment="1">
      <alignment horizontal="right"/>
    </xf>
    <xf numFmtId="2" fontId="77" fillId="0" borderId="0" xfId="37" applyNumberFormat="1"/>
    <xf numFmtId="0" fontId="113" fillId="0" borderId="0" xfId="2" applyFont="1" applyAlignment="1">
      <alignment vertical="center"/>
    </xf>
    <xf numFmtId="0" fontId="77" fillId="0" borderId="16" xfId="37" applyBorder="1"/>
    <xf numFmtId="2" fontId="77" fillId="0" borderId="16" xfId="37" applyNumberFormat="1" applyBorder="1" applyAlignment="1">
      <alignment horizontal="right"/>
    </xf>
    <xf numFmtId="2" fontId="77" fillId="0" borderId="16" xfId="37" applyNumberFormat="1" applyBorder="1"/>
    <xf numFmtId="0" fontId="77" fillId="0" borderId="0" xfId="37" applyFill="1"/>
    <xf numFmtId="2" fontId="77" fillId="0" borderId="16" xfId="37" applyNumberFormat="1" applyFill="1" applyBorder="1" applyAlignment="1">
      <alignment horizontal="right"/>
    </xf>
    <xf numFmtId="2" fontId="77" fillId="0" borderId="16" xfId="37" applyNumberFormat="1" applyFill="1" applyBorder="1"/>
    <xf numFmtId="0" fontId="77" fillId="0" borderId="0" xfId="37" applyBorder="1"/>
    <xf numFmtId="2" fontId="77" fillId="0" borderId="0" xfId="37" applyNumberFormat="1" applyFill="1" applyBorder="1" applyAlignment="1">
      <alignment horizontal="right"/>
    </xf>
    <xf numFmtId="2" fontId="77" fillId="0" borderId="0" xfId="37" applyNumberFormat="1" applyFill="1" applyBorder="1"/>
    <xf numFmtId="2" fontId="77" fillId="0" borderId="0" xfId="37" applyNumberFormat="1" applyFill="1" applyAlignment="1">
      <alignment vertical="top"/>
    </xf>
    <xf numFmtId="0" fontId="77" fillId="0" borderId="16" xfId="37" applyFont="1" applyBorder="1"/>
    <xf numFmtId="0" fontId="51" fillId="0" borderId="0" xfId="2" applyFont="1" applyFill="1" applyAlignment="1">
      <alignment vertical="center"/>
    </xf>
    <xf numFmtId="0" fontId="77" fillId="0" borderId="0" xfId="37" applyFill="1" applyBorder="1"/>
    <xf numFmtId="0" fontId="77" fillId="0" borderId="16" xfId="37" applyFill="1" applyBorder="1"/>
    <xf numFmtId="164" fontId="102" fillId="27" borderId="0" xfId="61" applyNumberFormat="1" applyFont="1" applyFill="1"/>
    <xf numFmtId="164" fontId="102" fillId="27" borderId="27" xfId="61" applyNumberFormat="1" applyFont="1" applyFill="1" applyBorder="1" applyAlignment="1">
      <alignment horizontal="right"/>
    </xf>
    <xf numFmtId="164" fontId="102" fillId="28" borderId="0" xfId="61" applyNumberFormat="1" applyFont="1" applyFill="1"/>
    <xf numFmtId="0" fontId="72" fillId="23" borderId="0" xfId="0" applyFont="1" applyFill="1"/>
    <xf numFmtId="164" fontId="95" fillId="27" borderId="0" xfId="61" applyNumberFormat="1" applyFont="1" applyFill="1"/>
    <xf numFmtId="164" fontId="95" fillId="28" borderId="0" xfId="61" applyNumberFormat="1" applyFont="1" applyFill="1"/>
    <xf numFmtId="14" fontId="72" fillId="23" borderId="0" xfId="0" applyNumberFormat="1" applyFont="1" applyFill="1"/>
    <xf numFmtId="0" fontId="72" fillId="23" borderId="0" xfId="0" quotePrefix="1" applyFont="1" applyFill="1"/>
    <xf numFmtId="164" fontId="95" fillId="28" borderId="0" xfId="61" applyNumberFormat="1" applyFont="1" applyFill="1" applyAlignment="1">
      <alignment horizontal="center"/>
    </xf>
    <xf numFmtId="164" fontId="102" fillId="0" borderId="0" xfId="61" applyNumberFormat="1" applyFont="1"/>
    <xf numFmtId="164" fontId="38" fillId="0" borderId="0" xfId="61" applyNumberFormat="1" applyFont="1"/>
    <xf numFmtId="164" fontId="34" fillId="0" borderId="0" xfId="0" applyNumberFormat="1" applyFont="1"/>
    <xf numFmtId="164" fontId="46" fillId="23" borderId="0" xfId="61" applyNumberFormat="1" applyFont="1" applyFill="1"/>
    <xf numFmtId="0" fontId="73" fillId="23" borderId="0" xfId="0" applyFont="1" applyFill="1" applyAlignment="1">
      <alignment horizontal="right"/>
    </xf>
    <xf numFmtId="164" fontId="54" fillId="23" borderId="0" xfId="61" applyNumberFormat="1" applyFont="1" applyFill="1"/>
    <xf numFmtId="164" fontId="38" fillId="23" borderId="0" xfId="61" applyNumberFormat="1" applyFont="1" applyFill="1"/>
    <xf numFmtId="17" fontId="121" fillId="25" borderId="24" xfId="0" applyNumberFormat="1" applyFont="1" applyFill="1" applyBorder="1" applyAlignment="1">
      <alignment horizontal="center" vertical="center" wrapText="1"/>
    </xf>
    <xf numFmtId="168" fontId="95" fillId="24" borderId="0" xfId="61" applyNumberFormat="1" applyFont="1" applyFill="1"/>
    <xf numFmtId="168" fontId="95" fillId="28" borderId="0" xfId="61" applyNumberFormat="1" applyFont="1" applyFill="1"/>
    <xf numFmtId="164" fontId="35" fillId="23" borderId="0" xfId="61" applyNumberFormat="1" applyFont="1" applyFill="1"/>
    <xf numFmtId="1" fontId="118" fillId="34" borderId="26" xfId="0" applyNumberFormat="1" applyFont="1" applyFill="1" applyBorder="1" applyAlignment="1">
      <alignment vertical="center"/>
    </xf>
    <xf numFmtId="164" fontId="89" fillId="28" borderId="0" xfId="61" applyNumberFormat="1" applyFont="1" applyFill="1" applyAlignment="1">
      <alignment horizontal="center"/>
    </xf>
    <xf numFmtId="164" fontId="85" fillId="27" borderId="0" xfId="61" applyNumberFormat="1" applyFont="1" applyFill="1" applyAlignment="1">
      <alignment horizontal="center"/>
    </xf>
    <xf numFmtId="164" fontId="85" fillId="28" borderId="0" xfId="61" applyNumberFormat="1" applyFont="1" applyFill="1" applyAlignment="1">
      <alignment horizontal="center"/>
    </xf>
    <xf numFmtId="164" fontId="89" fillId="0" borderId="0" xfId="61" applyNumberFormat="1" applyFont="1" applyFill="1" applyAlignment="1">
      <alignment horizontal="center"/>
    </xf>
    <xf numFmtId="0" fontId="19" fillId="0" borderId="0" xfId="0" applyFont="1" applyFill="1"/>
    <xf numFmtId="164" fontId="19" fillId="0" borderId="0" xfId="0" applyNumberFormat="1" applyFont="1" applyFill="1"/>
    <xf numFmtId="164" fontId="85" fillId="0" borderId="0" xfId="61" applyNumberFormat="1" applyFont="1" applyFill="1" applyAlignment="1">
      <alignment horizontal="center"/>
    </xf>
    <xf numFmtId="1" fontId="119" fillId="33" borderId="0" xfId="0" applyNumberFormat="1" applyFont="1" applyFill="1" applyAlignment="1">
      <alignment vertical="center"/>
    </xf>
    <xf numFmtId="0" fontId="118" fillId="34" borderId="26" xfId="0" quotePrefix="1" applyFont="1" applyFill="1" applyBorder="1" applyAlignment="1">
      <alignment horizontal="center" vertical="center"/>
    </xf>
    <xf numFmtId="37" fontId="118" fillId="34" borderId="0" xfId="0" applyNumberFormat="1" applyFont="1" applyFill="1" applyAlignment="1">
      <alignment horizontal="right"/>
    </xf>
    <xf numFmtId="37" fontId="117" fillId="33" borderId="0" xfId="0" applyNumberFormat="1" applyFont="1" applyFill="1" applyAlignment="1">
      <alignment horizontal="right"/>
    </xf>
    <xf numFmtId="37" fontId="117" fillId="34" borderId="0" xfId="0" applyNumberFormat="1" applyFont="1" applyFill="1" applyAlignment="1">
      <alignment horizontal="right"/>
    </xf>
    <xf numFmtId="43" fontId="117" fillId="34" borderId="0" xfId="0" applyNumberFormat="1" applyFont="1" applyFill="1"/>
    <xf numFmtId="0" fontId="95" fillId="23" borderId="0" xfId="0" applyFont="1" applyFill="1"/>
    <xf numFmtId="0" fontId="95" fillId="23" borderId="0" xfId="34" applyFont="1" applyFill="1" applyAlignment="1" applyProtection="1"/>
    <xf numFmtId="0" fontId="74" fillId="0" borderId="0" xfId="0" applyFont="1" applyFill="1"/>
    <xf numFmtId="0" fontId="95" fillId="26" borderId="0" xfId="0" applyFont="1" applyFill="1"/>
    <xf numFmtId="0" fontId="95" fillId="23" borderId="0" xfId="0" applyFont="1" applyFill="1" applyAlignment="1">
      <alignment vertical="center"/>
    </xf>
    <xf numFmtId="0" fontId="95" fillId="0" borderId="0" xfId="0" applyFont="1"/>
    <xf numFmtId="0" fontId="95" fillId="26" borderId="0" xfId="0" applyFont="1" applyFill="1" applyAlignment="1">
      <alignment vertical="center"/>
    </xf>
    <xf numFmtId="0" fontId="3" fillId="26" borderId="0" xfId="34" applyFill="1" applyAlignment="1" applyProtection="1">
      <alignment vertical="center"/>
    </xf>
    <xf numFmtId="17" fontId="121" fillId="28" borderId="0" xfId="0" quotePrefix="1" applyNumberFormat="1" applyFont="1" applyFill="1" applyAlignment="1">
      <alignment horizontal="center" vertical="center" wrapText="1"/>
    </xf>
    <xf numFmtId="17" fontId="121" fillId="28" borderId="24" xfId="0" quotePrefix="1" applyNumberFormat="1" applyFont="1" applyFill="1" applyBorder="1" applyAlignment="1">
      <alignment horizontal="center" vertical="center"/>
    </xf>
    <xf numFmtId="0" fontId="42" fillId="23" borderId="0" xfId="0" applyFont="1" applyFill="1"/>
    <xf numFmtId="0" fontId="46" fillId="28" borderId="0" xfId="0" applyFont="1" applyFill="1" applyAlignment="1">
      <alignment horizontal="left" vertical="center"/>
    </xf>
    <xf numFmtId="164" fontId="46" fillId="27" borderId="0" xfId="61" applyNumberFormat="1" applyFont="1" applyFill="1"/>
    <xf numFmtId="164" fontId="45" fillId="28" borderId="0" xfId="61" applyNumberFormat="1" applyFont="1" applyFill="1"/>
    <xf numFmtId="164" fontId="45" fillId="27" borderId="0" xfId="61" applyNumberFormat="1" applyFont="1" applyFill="1"/>
    <xf numFmtId="164" fontId="85" fillId="27" borderId="0" xfId="58" applyNumberFormat="1" applyFont="1" applyFill="1" applyAlignment="1">
      <alignment horizontal="center"/>
    </xf>
    <xf numFmtId="165" fontId="46" fillId="27" borderId="0" xfId="61" applyNumberFormat="1" applyFont="1" applyFill="1" applyAlignment="1">
      <alignment horizontal="right" vertical="center"/>
    </xf>
    <xf numFmtId="165" fontId="46" fillId="28" borderId="0" xfId="61" applyNumberFormat="1" applyFont="1" applyFill="1" applyAlignment="1">
      <alignment horizontal="right" vertical="center"/>
    </xf>
    <xf numFmtId="165" fontId="46" fillId="27" borderId="0" xfId="61" applyNumberFormat="1" applyFont="1" applyFill="1" applyAlignment="1">
      <alignment vertical="center"/>
    </xf>
    <xf numFmtId="165" fontId="46" fillId="28" borderId="0" xfId="61" applyNumberFormat="1" applyFont="1" applyFill="1" applyAlignment="1">
      <alignment vertical="center"/>
    </xf>
    <xf numFmtId="164" fontId="92" fillId="28" borderId="0" xfId="61" applyNumberFormat="1" applyFont="1" applyFill="1" applyAlignment="1">
      <alignment vertical="center"/>
    </xf>
    <xf numFmtId="164" fontId="94" fillId="27" borderId="0" xfId="61" applyNumberFormat="1" applyFont="1" applyFill="1" applyAlignment="1">
      <alignment vertical="center"/>
    </xf>
    <xf numFmtId="164" fontId="92" fillId="28" borderId="0" xfId="61" applyNumberFormat="1" applyFont="1" applyFill="1" applyAlignment="1">
      <alignment horizontal="right" vertical="center"/>
    </xf>
    <xf numFmtId="164" fontId="94" fillId="28" borderId="0" xfId="61" applyNumberFormat="1" applyFont="1" applyFill="1" applyAlignment="1">
      <alignment vertical="center"/>
    </xf>
    <xf numFmtId="164" fontId="94" fillId="32" borderId="0" xfId="61" applyNumberFormat="1" applyFont="1" applyFill="1" applyAlignment="1">
      <alignment vertical="center"/>
    </xf>
    <xf numFmtId="164" fontId="94" fillId="27" borderId="0" xfId="61" applyNumberFormat="1" applyFont="1" applyFill="1" applyAlignment="1">
      <alignment horizontal="center" vertical="center"/>
    </xf>
    <xf numFmtId="164" fontId="94" fillId="31" borderId="0" xfId="61" applyNumberFormat="1" applyFont="1" applyFill="1" applyAlignment="1">
      <alignment horizontal="center" vertical="center"/>
    </xf>
    <xf numFmtId="164" fontId="94" fillId="28" borderId="0" xfId="61" applyNumberFormat="1" applyFont="1" applyFill="1" applyAlignment="1">
      <alignment horizontal="center" vertical="center"/>
    </xf>
    <xf numFmtId="164" fontId="92" fillId="27" borderId="0" xfId="61" applyNumberFormat="1" applyFont="1" applyFill="1" applyAlignment="1">
      <alignment horizontal="center" vertical="center"/>
    </xf>
    <xf numFmtId="1" fontId="92" fillId="28" borderId="0" xfId="0" applyNumberFormat="1" applyFont="1" applyFill="1" applyBorder="1" applyAlignment="1">
      <alignment horizontal="right"/>
    </xf>
    <xf numFmtId="168" fontId="94" fillId="27" borderId="0" xfId="61" applyNumberFormat="1" applyFont="1" applyFill="1" applyAlignment="1">
      <alignment vertical="center"/>
    </xf>
    <xf numFmtId="3" fontId="92" fillId="27" borderId="0" xfId="61" applyNumberFormat="1" applyFont="1" applyFill="1" applyAlignment="1">
      <alignment vertical="center"/>
    </xf>
    <xf numFmtId="164" fontId="94" fillId="28" borderId="0" xfId="61" applyNumberFormat="1" applyFont="1" applyFill="1" applyAlignment="1">
      <alignment horizontal="right" vertical="center"/>
    </xf>
    <xf numFmtId="43" fontId="94" fillId="27" borderId="0" xfId="61" applyFont="1" applyFill="1" applyAlignment="1">
      <alignment vertical="center"/>
    </xf>
    <xf numFmtId="43" fontId="94" fillId="28" borderId="0" xfId="61" applyFont="1" applyFill="1" applyAlignment="1">
      <alignment horizontal="right" vertical="center"/>
    </xf>
    <xf numFmtId="164" fontId="108" fillId="28" borderId="0" xfId="61" applyNumberFormat="1" applyFont="1" applyFill="1" applyAlignment="1">
      <alignment vertical="center"/>
    </xf>
    <xf numFmtId="164" fontId="61" fillId="27" borderId="0" xfId="61" applyNumberFormat="1" applyFont="1" applyFill="1" applyAlignment="1">
      <alignment vertical="center"/>
    </xf>
    <xf numFmtId="164" fontId="61" fillId="28" borderId="0" xfId="61" applyNumberFormat="1" applyFont="1" applyFill="1" applyAlignment="1">
      <alignment horizontal="right" vertical="center"/>
    </xf>
    <xf numFmtId="168" fontId="69" fillId="28" borderId="0" xfId="61" applyNumberFormat="1" applyFont="1" applyFill="1" applyAlignment="1">
      <alignment vertical="center"/>
    </xf>
    <xf numFmtId="2" fontId="77" fillId="0" borderId="0" xfId="37" applyNumberFormat="1" applyAlignment="1">
      <alignment horizontal="right"/>
    </xf>
    <xf numFmtId="2" fontId="77" fillId="0" borderId="0" xfId="37" applyNumberFormat="1"/>
    <xf numFmtId="0" fontId="46" fillId="28" borderId="0" xfId="0" applyFont="1" applyFill="1" applyAlignment="1">
      <alignment horizontal="left" vertical="center"/>
    </xf>
    <xf numFmtId="0" fontId="45" fillId="28" borderId="0" xfId="0" applyFont="1" applyFill="1" applyAlignment="1">
      <alignment vertical="center"/>
    </xf>
    <xf numFmtId="0" fontId="45" fillId="28" borderId="23" xfId="0" applyFont="1" applyFill="1" applyBorder="1" applyAlignment="1">
      <alignment vertical="center"/>
    </xf>
    <xf numFmtId="164" fontId="69" fillId="28" borderId="0" xfId="57" applyNumberFormat="1" applyFont="1" applyFill="1" applyAlignment="1">
      <alignment horizontal="right" vertical="center"/>
    </xf>
    <xf numFmtId="1" fontId="119" fillId="34" borderId="0" xfId="0" applyNumberFormat="1" applyFont="1" applyFill="1" applyAlignment="1">
      <alignment horizontal="right"/>
    </xf>
    <xf numFmtId="0" fontId="89" fillId="26" borderId="25" xfId="0" applyFont="1" applyFill="1" applyBorder="1" applyAlignment="1">
      <alignment horizontal="center"/>
    </xf>
    <xf numFmtId="0" fontId="89" fillId="26" borderId="0" xfId="0" applyFont="1" applyFill="1" applyAlignment="1">
      <alignment horizontal="center"/>
    </xf>
    <xf numFmtId="49" fontId="90" fillId="26" borderId="0" xfId="0" applyNumberFormat="1" applyFont="1" applyFill="1"/>
    <xf numFmtId="49" fontId="87" fillId="26" borderId="0" xfId="0" applyNumberFormat="1" applyFont="1" applyFill="1" applyAlignment="1">
      <alignment horizontal="center"/>
    </xf>
    <xf numFmtId="0" fontId="19" fillId="26" borderId="25" xfId="0" applyFont="1" applyFill="1" applyBorder="1"/>
    <xf numFmtId="0" fontId="46" fillId="26" borderId="25" xfId="0" applyFont="1" applyFill="1" applyBorder="1" applyAlignment="1">
      <alignment horizontal="left"/>
    </xf>
    <xf numFmtId="0" fontId="46" fillId="26" borderId="0" xfId="0" applyFont="1" applyFill="1"/>
    <xf numFmtId="164" fontId="82" fillId="26" borderId="0" xfId="0" applyNumberFormat="1" applyFont="1" applyFill="1"/>
    <xf numFmtId="166" fontId="102" fillId="27" borderId="0" xfId="0" applyNumberFormat="1" applyFont="1" applyFill="1" applyAlignment="1">
      <alignment vertical="center"/>
    </xf>
    <xf numFmtId="166" fontId="95" fillId="28" borderId="0" xfId="0" applyNumberFormat="1" applyFont="1" applyFill="1" applyAlignment="1">
      <alignment vertical="center"/>
    </xf>
    <xf numFmtId="166" fontId="95" fillId="27" borderId="0" xfId="0" applyNumberFormat="1" applyFont="1" applyFill="1" applyAlignment="1">
      <alignment vertical="center"/>
    </xf>
    <xf numFmtId="166" fontId="95" fillId="28" borderId="28" xfId="0" applyNumberFormat="1" applyFont="1" applyFill="1" applyBorder="1" applyAlignment="1">
      <alignment vertical="center"/>
    </xf>
    <xf numFmtId="0" fontId="122" fillId="0" borderId="0" xfId="0" applyFont="1" applyAlignment="1">
      <alignment horizontal="left" vertical="center" wrapText="1"/>
    </xf>
    <xf numFmtId="0" fontId="122" fillId="0" borderId="29" xfId="0" applyFont="1" applyBorder="1" applyAlignment="1">
      <alignment horizontal="left" vertical="center" wrapText="1"/>
    </xf>
    <xf numFmtId="0" fontId="25" fillId="0" borderId="0" xfId="0" applyFont="1" applyAlignment="1">
      <alignment horizontal="left" wrapText="1"/>
    </xf>
    <xf numFmtId="0" fontId="121" fillId="28" borderId="24" xfId="0" applyFont="1" applyFill="1" applyBorder="1" applyAlignment="1">
      <alignment horizontal="left" vertical="center"/>
    </xf>
    <xf numFmtId="0" fontId="121" fillId="27" borderId="24" xfId="0" applyFont="1" applyFill="1" applyBorder="1" applyAlignment="1">
      <alignment horizontal="left" vertical="center"/>
    </xf>
    <xf numFmtId="0" fontId="92" fillId="28" borderId="11" xfId="0" applyFont="1" applyFill="1" applyBorder="1" applyAlignment="1">
      <alignment horizontal="left" vertical="center"/>
    </xf>
    <xf numFmtId="0" fontId="22" fillId="0" borderId="0" xfId="0" applyFont="1" applyAlignment="1">
      <alignment horizontal="left" wrapText="1"/>
    </xf>
    <xf numFmtId="0" fontId="46" fillId="28" borderId="11" xfId="0" applyFont="1" applyFill="1" applyBorder="1" applyAlignment="1">
      <alignment horizontal="left" vertical="center"/>
    </xf>
    <xf numFmtId="0" fontId="46" fillId="28" borderId="0" xfId="0" applyFont="1" applyFill="1" applyAlignment="1">
      <alignment horizontal="left" vertical="center"/>
    </xf>
    <xf numFmtId="0" fontId="46" fillId="23" borderId="0" xfId="0" applyFont="1" applyFill="1" applyAlignment="1">
      <alignment horizontal="left" vertical="center"/>
    </xf>
    <xf numFmtId="0" fontId="110" fillId="29" borderId="0" xfId="1" applyFont="1" applyFill="1" applyAlignment="1">
      <alignment horizontal="center" vertical="center"/>
    </xf>
    <xf numFmtId="0" fontId="110" fillId="29" borderId="0" xfId="2" applyFont="1" applyFill="1" applyAlignment="1">
      <alignment horizontal="center" vertical="center"/>
    </xf>
    <xf numFmtId="0" fontId="78" fillId="0" borderId="0" xfId="0" applyFont="1" applyAlignment="1">
      <alignment horizontal="left" wrapText="1"/>
    </xf>
  </cellXfs>
  <cellStyles count="63">
    <cellStyle name="%" xfId="1" xr:uid="{00000000-0005-0000-0000-000000000000}"/>
    <cellStyle name="% 2" xfId="2" xr:uid="{00000000-0005-0000-0000-000001000000}"/>
    <cellStyle name="% 2 3" xfId="3" xr:uid="{00000000-0005-0000-0000-000002000000}"/>
    <cellStyle name="% 2 3 2" xfId="4" xr:uid="{00000000-0005-0000-0000-000003000000}"/>
    <cellStyle name="20% - Ênfase1" xfId="5" builtinId="30" customBuiltin="1"/>
    <cellStyle name="20% - Ênfase2" xfId="6" builtinId="34" customBuiltin="1"/>
    <cellStyle name="20% - Ênfase3" xfId="7" builtinId="38" customBuiltin="1"/>
    <cellStyle name="20% - Ênfase4" xfId="8" builtinId="42" customBuiltin="1"/>
    <cellStyle name="20% - Ênfase5" xfId="9" builtinId="46" customBuiltin="1"/>
    <cellStyle name="20% - Ênfase6" xfId="10" builtinId="50" customBuiltin="1"/>
    <cellStyle name="40% - Ênfase1" xfId="11" builtinId="31" customBuiltin="1"/>
    <cellStyle name="40% - Ênfase2" xfId="12" builtinId="35" customBuiltin="1"/>
    <cellStyle name="40% - Ênfase3" xfId="13" builtinId="39" customBuiltin="1"/>
    <cellStyle name="40% - Ênfase4" xfId="14" builtinId="43" customBuiltin="1"/>
    <cellStyle name="40% - Ênfase5" xfId="15" builtinId="47" customBuiltin="1"/>
    <cellStyle name="40% - Ênfase6" xfId="16" builtinId="51" customBuiltin="1"/>
    <cellStyle name="60% - Ênfase1" xfId="17" builtinId="32" customBuiltin="1"/>
    <cellStyle name="60% - Ênfase2" xfId="18" builtinId="36" customBuiltin="1"/>
    <cellStyle name="60% - Ênfase3" xfId="19" builtinId="40" customBuiltin="1"/>
    <cellStyle name="60% - Ênfase4" xfId="20" builtinId="44" customBuiltin="1"/>
    <cellStyle name="60% - Ênfase5" xfId="21" builtinId="48" customBuiltin="1"/>
    <cellStyle name="60% - Ênfase6" xfId="22" builtinId="52" customBuiltin="1"/>
    <cellStyle name="Bom" xfId="23" builtinId="26" customBuiltin="1"/>
    <cellStyle name="Cálculo" xfId="24" builtinId="22" customBuiltin="1"/>
    <cellStyle name="Célula de Verificação" xfId="25" builtinId="23" customBuiltin="1"/>
    <cellStyle name="Célula Vinculada" xfId="26" builtinId="24" customBuiltin="1"/>
    <cellStyle name="Ênfase1" xfId="27" builtinId="29" customBuiltin="1"/>
    <cellStyle name="Ênfase2" xfId="28" builtinId="33" customBuiltin="1"/>
    <cellStyle name="Ênfase3" xfId="29" builtinId="37" customBuiltin="1"/>
    <cellStyle name="Ênfase4" xfId="30" builtinId="41" customBuiltin="1"/>
    <cellStyle name="Ênfase5" xfId="31" builtinId="45" customBuiltin="1"/>
    <cellStyle name="Ênfase6" xfId="32" builtinId="49" customBuiltin="1"/>
    <cellStyle name="Entrada" xfId="33" builtinId="20" customBuiltin="1"/>
    <cellStyle name="Hiperlink" xfId="34" builtinId="8"/>
    <cellStyle name="Hiperlink 2" xfId="35" xr:uid="{00000000-0005-0000-0000-000022000000}"/>
    <cellStyle name="Normal" xfId="0" builtinId="0"/>
    <cellStyle name="Normal 10" xfId="36" xr:uid="{00000000-0005-0000-0000-000024000000}"/>
    <cellStyle name="Normal 2" xfId="37" xr:uid="{00000000-0005-0000-0000-000025000000}"/>
    <cellStyle name="Nota" xfId="38" builtinId="10" customBuiltin="1"/>
    <cellStyle name="Nota 2" xfId="39" xr:uid="{00000000-0005-0000-0000-000027000000}"/>
    <cellStyle name="Porcentagem" xfId="40" builtinId="5"/>
    <cellStyle name="Porcentagem 2" xfId="41" xr:uid="{00000000-0005-0000-0000-000029000000}"/>
    <cellStyle name="Porcentagem 2 2" xfId="42" xr:uid="{00000000-0005-0000-0000-00002A000000}"/>
    <cellStyle name="Saída" xfId="43" builtinId="21" customBuiltin="1"/>
    <cellStyle name="Separador de milhares 3" xfId="44" xr:uid="{00000000-0005-0000-0000-00002C000000}"/>
    <cellStyle name="Separador de milhares 3 2" xfId="45" xr:uid="{00000000-0005-0000-0000-00002D000000}"/>
    <cellStyle name="Separador de milhares 3 2 2" xfId="46" xr:uid="{00000000-0005-0000-0000-00002E000000}"/>
    <cellStyle name="Separador de milhares 3 3" xfId="47" xr:uid="{00000000-0005-0000-0000-00002F000000}"/>
    <cellStyle name="Texto de Aviso" xfId="48" builtinId="11" customBuiltin="1"/>
    <cellStyle name="Texto Explicativo" xfId="49" builtinId="53" customBuiltin="1"/>
    <cellStyle name="Título" xfId="50" builtinId="15" customBuiltin="1"/>
    <cellStyle name="Título 1" xfId="51" builtinId="16" customBuiltin="1"/>
    <cellStyle name="Título 2" xfId="52" builtinId="17" customBuiltin="1"/>
    <cellStyle name="Título 3" xfId="53" builtinId="18" customBuiltin="1"/>
    <cellStyle name="Título 4" xfId="54" builtinId="19" customBuiltin="1"/>
    <cellStyle name="Total" xfId="55" builtinId="25" customBuiltin="1"/>
    <cellStyle name="Vírgula" xfId="56" builtinId="3"/>
    <cellStyle name="Vírgula 2" xfId="57" xr:uid="{00000000-0005-0000-0000-000039000000}"/>
    <cellStyle name="Vírgula 2 2" xfId="58" xr:uid="{00000000-0005-0000-0000-00003A000000}"/>
    <cellStyle name="Vírgula 2 2 2" xfId="59" xr:uid="{00000000-0005-0000-0000-00003B000000}"/>
    <cellStyle name="Vírgula 2 3" xfId="60" xr:uid="{00000000-0005-0000-0000-00003C000000}"/>
    <cellStyle name="Vírgula 3" xfId="61" xr:uid="{00000000-0005-0000-0000-00003D000000}"/>
    <cellStyle name="Vírgula 3 2" xfId="62" xr:uid="{00000000-0005-0000-0000-00003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Capa!Area_de_impressao"/><Relationship Id="rId2" Type="http://schemas.openxmlformats.org/officeDocument/2006/relationships/image" Target="../media/image4.png"/><Relationship Id="rId1" Type="http://schemas.openxmlformats.org/officeDocument/2006/relationships/image" Target="../media/image5.emf"/><Relationship Id="rId4" Type="http://schemas.openxmlformats.org/officeDocument/2006/relationships/hyperlink" Target="#Cover!Area_de_impressao"/></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rea_de_impressao"/><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171450</xdr:colOff>
      <xdr:row>4</xdr:row>
      <xdr:rowOff>120650</xdr:rowOff>
    </xdr:from>
    <xdr:to>
      <xdr:col>8</xdr:col>
      <xdr:colOff>209550</xdr:colOff>
      <xdr:row>5</xdr:row>
      <xdr:rowOff>0</xdr:rowOff>
    </xdr:to>
    <xdr:sp macro="" textlink="">
      <xdr:nvSpPr>
        <xdr:cNvPr id="138741" name="Rectangle 459">
          <a:extLst>
            <a:ext uri="{FF2B5EF4-FFF2-40B4-BE49-F238E27FC236}">
              <a16:creationId xmlns:a16="http://schemas.microsoft.com/office/drawing/2014/main" id="{C329387B-B8A9-4055-8E66-93C7F09FD186}"/>
            </a:ext>
          </a:extLst>
        </xdr:cNvPr>
        <xdr:cNvSpPr>
          <a:spLocks noChangeArrowheads="1"/>
        </xdr:cNvSpPr>
      </xdr:nvSpPr>
      <xdr:spPr bwMode="auto">
        <a:xfrm>
          <a:off x="4527550" y="755650"/>
          <a:ext cx="2203450" cy="38100"/>
        </a:xfrm>
        <a:prstGeom prst="rect">
          <a:avLst/>
        </a:prstGeom>
        <a:solidFill>
          <a:srgbClr val="FFFFFF"/>
        </a:solidFill>
        <a:ln w="9525" algn="ctr">
          <a:solidFill>
            <a:srgbClr val="FFFFFF"/>
          </a:solidFill>
          <a:miter lim="800000"/>
          <a:headEnd/>
          <a:tailEnd/>
        </a:ln>
      </xdr:spPr>
    </xdr:sp>
    <xdr:clientData/>
  </xdr:twoCellAnchor>
  <xdr:twoCellAnchor>
    <xdr:from>
      <xdr:col>8</xdr:col>
      <xdr:colOff>298450</xdr:colOff>
      <xdr:row>4</xdr:row>
      <xdr:rowOff>82550</xdr:rowOff>
    </xdr:from>
    <xdr:to>
      <xdr:col>9</xdr:col>
      <xdr:colOff>590550</xdr:colOff>
      <xdr:row>5</xdr:row>
      <xdr:rowOff>0</xdr:rowOff>
    </xdr:to>
    <xdr:sp macro="" textlink="">
      <xdr:nvSpPr>
        <xdr:cNvPr id="138742" name="Rectangle 461">
          <a:extLst>
            <a:ext uri="{FF2B5EF4-FFF2-40B4-BE49-F238E27FC236}">
              <a16:creationId xmlns:a16="http://schemas.microsoft.com/office/drawing/2014/main" id="{05F7AD86-33A3-4740-9267-A5F244756008}"/>
            </a:ext>
          </a:extLst>
        </xdr:cNvPr>
        <xdr:cNvSpPr>
          <a:spLocks noChangeArrowheads="1"/>
        </xdr:cNvSpPr>
      </xdr:nvSpPr>
      <xdr:spPr bwMode="auto">
        <a:xfrm>
          <a:off x="6819900" y="717550"/>
          <a:ext cx="933450" cy="76200"/>
        </a:xfrm>
        <a:prstGeom prst="rect">
          <a:avLst/>
        </a:prstGeom>
        <a:solidFill>
          <a:srgbClr val="FFFFFF"/>
        </a:solidFill>
        <a:ln w="9525" algn="ctr">
          <a:solidFill>
            <a:srgbClr val="FFFFFF"/>
          </a:solidFill>
          <a:miter lim="800000"/>
          <a:headEnd/>
          <a:tailEnd/>
        </a:ln>
      </xdr:spPr>
    </xdr:sp>
    <xdr:clientData/>
  </xdr:twoCellAnchor>
  <xdr:twoCellAnchor>
    <xdr:from>
      <xdr:col>0</xdr:col>
      <xdr:colOff>132255</xdr:colOff>
      <xdr:row>38</xdr:row>
      <xdr:rowOff>136578</xdr:rowOff>
    </xdr:from>
    <xdr:to>
      <xdr:col>8</xdr:col>
      <xdr:colOff>610483</xdr:colOff>
      <xdr:row>45</xdr:row>
      <xdr:rowOff>28</xdr:rowOff>
    </xdr:to>
    <xdr:sp macro="" textlink="">
      <xdr:nvSpPr>
        <xdr:cNvPr id="2" name="CaixaDeTexto 1">
          <a:extLst>
            <a:ext uri="{FF2B5EF4-FFF2-40B4-BE49-F238E27FC236}">
              <a16:creationId xmlns:a16="http://schemas.microsoft.com/office/drawing/2014/main" id="{235F6088-9C5A-44A1-93F8-038E9F8EBB92}"/>
            </a:ext>
          </a:extLst>
        </xdr:cNvPr>
        <xdr:cNvSpPr txBox="1"/>
      </xdr:nvSpPr>
      <xdr:spPr>
        <a:xfrm>
          <a:off x="132255" y="6193370"/>
          <a:ext cx="7096543" cy="1216807"/>
        </a:xfrm>
        <a:prstGeom prst="rect">
          <a:avLst/>
        </a:prstGeom>
        <a:solidFill>
          <a:schemeClr val="bg1">
            <a:lumMod val="85000"/>
          </a:schemeClr>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lnSpc>
              <a:spcPts val="1300"/>
            </a:lnSpc>
          </a:pPr>
          <a:r>
            <a:rPr lang="pt-BR" sz="1000" b="0" i="0" u="none" strike="noStrike">
              <a:solidFill>
                <a:srgbClr val="002060"/>
              </a:solidFill>
              <a:effectLst/>
              <a:latin typeface="Barlow"/>
              <a:ea typeface="+mn-ea"/>
              <a:cs typeface="Arial" panose="020B0604020202020204" pitchFamily="34" charset="0"/>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r>
            <a:rPr lang="pt-BR" sz="1200">
              <a:solidFill>
                <a:schemeClr val="accent1">
                  <a:lumMod val="50000"/>
                </a:schemeClr>
              </a:solidFill>
            </a:rPr>
            <a:t>.</a:t>
          </a:r>
        </a:p>
      </xdr:txBody>
    </xdr:sp>
    <xdr:clientData/>
  </xdr:twoCellAnchor>
  <xdr:twoCellAnchor>
    <xdr:from>
      <xdr:col>0</xdr:col>
      <xdr:colOff>0</xdr:colOff>
      <xdr:row>13</xdr:row>
      <xdr:rowOff>6350</xdr:rowOff>
    </xdr:from>
    <xdr:to>
      <xdr:col>7</xdr:col>
      <xdr:colOff>1263650</xdr:colOff>
      <xdr:row>18</xdr:row>
      <xdr:rowOff>101600</xdr:rowOff>
    </xdr:to>
    <xdr:sp macro="" textlink="">
      <xdr:nvSpPr>
        <xdr:cNvPr id="138744" name="Retângulo 6">
          <a:extLst>
            <a:ext uri="{FF2B5EF4-FFF2-40B4-BE49-F238E27FC236}">
              <a16:creationId xmlns:a16="http://schemas.microsoft.com/office/drawing/2014/main" id="{E769C498-7296-429B-BAA2-F6C44B618849}"/>
            </a:ext>
          </a:extLst>
        </xdr:cNvPr>
        <xdr:cNvSpPr>
          <a:spLocks noChangeArrowheads="1"/>
        </xdr:cNvSpPr>
      </xdr:nvSpPr>
      <xdr:spPr bwMode="auto">
        <a:xfrm>
          <a:off x="0" y="2082800"/>
          <a:ext cx="5619750" cy="9207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583580</xdr:colOff>
      <xdr:row>13</xdr:row>
      <xdr:rowOff>91067</xdr:rowOff>
    </xdr:from>
    <xdr:to>
      <xdr:col>6</xdr:col>
      <xdr:colOff>442383</xdr:colOff>
      <xdr:row>18</xdr:row>
      <xdr:rowOff>64449</xdr:rowOff>
    </xdr:to>
    <xdr:sp macro="" textlink="">
      <xdr:nvSpPr>
        <xdr:cNvPr id="18" name="CaixaDeTexto 17">
          <a:extLst>
            <a:ext uri="{FF2B5EF4-FFF2-40B4-BE49-F238E27FC236}">
              <a16:creationId xmlns:a16="http://schemas.microsoft.com/office/drawing/2014/main" id="{4540D1A1-E47C-4B2A-9752-F98A2B5F8CB1}"/>
            </a:ext>
          </a:extLst>
        </xdr:cNvPr>
        <xdr:cNvSpPr txBox="1"/>
      </xdr:nvSpPr>
      <xdr:spPr>
        <a:xfrm>
          <a:off x="1223872" y="2205617"/>
          <a:ext cx="2732209" cy="813700"/>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chemeClr val="bg1"/>
              </a:solidFill>
              <a:latin typeface="Barlow"/>
              <a:ea typeface="+mn-ea"/>
              <a:cs typeface="Arial" panose="020B0604020202020204" pitchFamily="34" charset="0"/>
            </a:rPr>
            <a:t>    Valuation Guide       </a:t>
          </a:r>
        </a:p>
        <a:p>
          <a:pPr algn="ctr"/>
          <a:r>
            <a:rPr lang="pt-BR" sz="1400" b="0" baseline="0">
              <a:solidFill>
                <a:schemeClr val="bg1"/>
              </a:solidFill>
              <a:latin typeface="Barlow"/>
              <a:cs typeface="Arial" panose="020B0604020202020204" pitchFamily="34" charset="0"/>
            </a:rPr>
            <a:t>June - 2021</a:t>
          </a:r>
          <a:endParaRPr lang="pt-BR" sz="1400" b="0">
            <a:solidFill>
              <a:schemeClr val="bg1"/>
            </a:solidFill>
            <a:latin typeface="Barlow"/>
            <a:cs typeface="Arial" panose="020B0604020202020204" pitchFamily="34" charset="0"/>
          </a:endParaRPr>
        </a:p>
        <a:p>
          <a:pPr algn="ctr"/>
          <a:endParaRPr lang="pt-BR" sz="14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82550</xdr:rowOff>
    </xdr:from>
    <xdr:to>
      <xdr:col>9</xdr:col>
      <xdr:colOff>349250</xdr:colOff>
      <xdr:row>13</xdr:row>
      <xdr:rowOff>82550</xdr:rowOff>
    </xdr:to>
    <xdr:pic>
      <xdr:nvPicPr>
        <xdr:cNvPr id="138746" name="Imagem 15">
          <a:extLst>
            <a:ext uri="{FF2B5EF4-FFF2-40B4-BE49-F238E27FC236}">
              <a16:creationId xmlns:a16="http://schemas.microsoft.com/office/drawing/2014/main" id="{80791324-0DF9-495B-A954-CE60B3E57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23450" r="-417" b="42557"/>
        <a:stretch>
          <a:fillRect/>
        </a:stretch>
      </xdr:blipFill>
      <xdr:spPr bwMode="auto">
        <a:xfrm>
          <a:off x="0" y="82550"/>
          <a:ext cx="751205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1219200</xdr:colOff>
      <xdr:row>13</xdr:row>
      <xdr:rowOff>82550</xdr:rowOff>
    </xdr:from>
    <xdr:to>
      <xdr:col>9</xdr:col>
      <xdr:colOff>330200</xdr:colOff>
      <xdr:row>18</xdr:row>
      <xdr:rowOff>82550</xdr:rowOff>
    </xdr:to>
    <xdr:pic>
      <xdr:nvPicPr>
        <xdr:cNvPr id="138747" name="Imagem 5">
          <a:extLst>
            <a:ext uri="{FF2B5EF4-FFF2-40B4-BE49-F238E27FC236}">
              <a16:creationId xmlns:a16="http://schemas.microsoft.com/office/drawing/2014/main" id="{6B66F0AC-92DF-4E01-AA17-163B181B23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75300" y="2159000"/>
          <a:ext cx="19177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29</xdr:row>
      <xdr:rowOff>152400</xdr:rowOff>
    </xdr:from>
    <xdr:to>
      <xdr:col>3</xdr:col>
      <xdr:colOff>590550</xdr:colOff>
      <xdr:row>31</xdr:row>
      <xdr:rowOff>133350</xdr:rowOff>
    </xdr:to>
    <xdr:pic>
      <xdr:nvPicPr>
        <xdr:cNvPr id="138748" name="Gráfico 3" descr="Américas no globo terrestre">
          <a:extLst>
            <a:ext uri="{FF2B5EF4-FFF2-40B4-BE49-F238E27FC236}">
              <a16:creationId xmlns:a16="http://schemas.microsoft.com/office/drawing/2014/main" id="{89112D60-67B0-44FE-B28B-2EB85A7BC2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93900" y="5949950"/>
          <a:ext cx="5207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0</xdr:row>
      <xdr:rowOff>0</xdr:rowOff>
    </xdr:from>
    <xdr:to>
      <xdr:col>61</xdr:col>
      <xdr:colOff>12700</xdr:colOff>
      <xdr:row>4</xdr:row>
      <xdr:rowOff>6350</xdr:rowOff>
    </xdr:to>
    <xdr:sp macro="" textlink="">
      <xdr:nvSpPr>
        <xdr:cNvPr id="147840" name="Retângulo 6">
          <a:extLst>
            <a:ext uri="{FF2B5EF4-FFF2-40B4-BE49-F238E27FC236}">
              <a16:creationId xmlns:a16="http://schemas.microsoft.com/office/drawing/2014/main" id="{BB0618D4-3DE2-4A3C-B0F4-2781897FFCCB}"/>
            </a:ext>
          </a:extLst>
        </xdr:cNvPr>
        <xdr:cNvSpPr>
          <a:spLocks noChangeArrowheads="1"/>
        </xdr:cNvSpPr>
      </xdr:nvSpPr>
      <xdr:spPr bwMode="auto">
        <a:xfrm>
          <a:off x="260350" y="0"/>
          <a:ext cx="34880550" cy="7683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104775</xdr:colOff>
      <xdr:row>1</xdr:row>
      <xdr:rowOff>38100</xdr:rowOff>
    </xdr:from>
    <xdr:ext cx="2662664" cy="773455"/>
    <xdr:sp macro="" textlink="">
      <xdr:nvSpPr>
        <xdr:cNvPr id="17412" name="Text Box 4">
          <a:extLst>
            <a:ext uri="{FF2B5EF4-FFF2-40B4-BE49-F238E27FC236}">
              <a16:creationId xmlns:a16="http://schemas.microsoft.com/office/drawing/2014/main" id="{DEE89F29-2E64-44B3-ACB9-551CA911D7F1}"/>
            </a:ext>
          </a:extLst>
        </xdr:cNvPr>
        <xdr:cNvSpPr txBox="1">
          <a:spLocks noChangeArrowheads="1"/>
        </xdr:cNvSpPr>
      </xdr:nvSpPr>
      <xdr:spPr bwMode="auto">
        <a:xfrm>
          <a:off x="361950" y="209550"/>
          <a:ext cx="2647950" cy="769697"/>
        </a:xfrm>
        <a:prstGeom prst="rect">
          <a:avLst/>
        </a:prstGeom>
        <a:noFill/>
        <a:ln w="9525">
          <a:noFill/>
          <a:miter lim="800000"/>
          <a:headEnd/>
          <a:tailEnd/>
        </a:ln>
      </xdr:spPr>
      <xdr:txBody>
        <a:bodyPr wrap="none" lIns="36576" tIns="36576" rIns="0" bIns="0" anchor="t" upright="1">
          <a:noAutofit/>
        </a:bodyPr>
        <a:lstStyle/>
        <a:p>
          <a:pPr algn="l" rtl="0">
            <a:lnSpc>
              <a:spcPts val="2000"/>
            </a:lnSpc>
            <a:defRPr sz="1000"/>
          </a:pPr>
          <a:r>
            <a:rPr lang="pt-BR" sz="2000" b="1" i="0" u="none" strike="noStrike" baseline="0">
              <a:solidFill>
                <a:schemeClr val="bg1"/>
              </a:solidFill>
              <a:latin typeface="Barlow"/>
            </a:rPr>
            <a:t>9. Business Division Results </a:t>
          </a:r>
        </a:p>
        <a:p>
          <a:pPr algn="l" rtl="0">
            <a:lnSpc>
              <a:spcPts val="1600"/>
            </a:lnSpc>
            <a:defRPr sz="1000"/>
          </a:pPr>
          <a:r>
            <a:rPr lang="pt-BR" sz="1800" b="1" i="0" u="none" strike="noStrike" baseline="0">
              <a:solidFill>
                <a:srgbClr val="000080"/>
              </a:solidFill>
              <a:latin typeface="Trebuchet MS"/>
            </a:rPr>
            <a:t> </a:t>
          </a:r>
        </a:p>
      </xdr:txBody>
    </xdr:sp>
    <xdr:clientData/>
  </xdr:oneCellAnchor>
  <xdr:twoCellAnchor editAs="oneCell">
    <xdr:from>
      <xdr:col>61</xdr:col>
      <xdr:colOff>12700</xdr:colOff>
      <xdr:row>0</xdr:row>
      <xdr:rowOff>0</xdr:rowOff>
    </xdr:from>
    <xdr:to>
      <xdr:col>65</xdr:col>
      <xdr:colOff>171450</xdr:colOff>
      <xdr:row>4</xdr:row>
      <xdr:rowOff>6350</xdr:rowOff>
    </xdr:to>
    <xdr:pic>
      <xdr:nvPicPr>
        <xdr:cNvPr id="147842" name="Imagem 27">
          <a:extLst>
            <a:ext uri="{FF2B5EF4-FFF2-40B4-BE49-F238E27FC236}">
              <a16:creationId xmlns:a16="http://schemas.microsoft.com/office/drawing/2014/main" id="{82A051F4-1118-4A14-9096-DFF70E18A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0900" y="0"/>
          <a:ext cx="272415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62</xdr:col>
      <xdr:colOff>509535</xdr:colOff>
      <xdr:row>5</xdr:row>
      <xdr:rowOff>48779</xdr:rowOff>
    </xdr:from>
    <xdr:to>
      <xdr:col>67</xdr:col>
      <xdr:colOff>434027</xdr:colOff>
      <xdr:row>9</xdr:row>
      <xdr:rowOff>27212</xdr:rowOff>
    </xdr:to>
    <xdr:grpSp>
      <xdr:nvGrpSpPr>
        <xdr:cNvPr id="147843" name="Grupo 5">
          <a:hlinkClick xmlns:r="http://schemas.openxmlformats.org/officeDocument/2006/relationships" r:id="rId2"/>
          <a:extLst>
            <a:ext uri="{FF2B5EF4-FFF2-40B4-BE49-F238E27FC236}">
              <a16:creationId xmlns:a16="http://schemas.microsoft.com/office/drawing/2014/main" id="{5B2CA3B4-DACF-4456-950C-2C177A9407DB}"/>
            </a:ext>
          </a:extLst>
        </xdr:cNvPr>
        <xdr:cNvGrpSpPr>
          <a:grpSpLocks/>
        </xdr:cNvGrpSpPr>
      </xdr:nvGrpSpPr>
      <xdr:grpSpPr bwMode="auto">
        <a:xfrm>
          <a:off x="35632973" y="1072717"/>
          <a:ext cx="3139179" cy="589620"/>
          <a:chOff x="9655406" y="296980"/>
          <a:chExt cx="1338117" cy="635528"/>
        </a:xfrm>
      </xdr:grpSpPr>
      <xdr:sp macro="" textlink="">
        <xdr:nvSpPr>
          <xdr:cNvPr id="147844" name="Seta para a esquerda 8">
            <a:extLst>
              <a:ext uri="{FF2B5EF4-FFF2-40B4-BE49-F238E27FC236}">
                <a16:creationId xmlns:a16="http://schemas.microsoft.com/office/drawing/2014/main" id="{31C3F325-0B1B-4FA5-B06E-3632245DAC6C}"/>
              </a:ext>
            </a:extLst>
          </xdr:cNvPr>
          <xdr:cNvSpPr>
            <a:spLocks noChangeArrowheads="1"/>
          </xdr:cNvSpPr>
        </xdr:nvSpPr>
        <xdr:spPr bwMode="auto">
          <a:xfrm>
            <a:off x="9655406"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CE4AAA1B-D12B-45C2-8C9A-A46FAB720083}"/>
              </a:ext>
            </a:extLst>
          </xdr:cNvPr>
          <xdr:cNvSpPr txBox="1"/>
        </xdr:nvSpPr>
        <xdr:spPr>
          <a:xfrm>
            <a:off x="10108575" y="460408"/>
            <a:ext cx="810971" cy="268705"/>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55</xdr:col>
      <xdr:colOff>19050</xdr:colOff>
      <xdr:row>5</xdr:row>
      <xdr:rowOff>12700</xdr:rowOff>
    </xdr:to>
    <xdr:sp macro="" textlink="">
      <xdr:nvSpPr>
        <xdr:cNvPr id="148864" name="Retângulo 6">
          <a:extLst>
            <a:ext uri="{FF2B5EF4-FFF2-40B4-BE49-F238E27FC236}">
              <a16:creationId xmlns:a16="http://schemas.microsoft.com/office/drawing/2014/main" id="{BDCD2BA4-5300-4907-8D23-D827B38312CA}"/>
            </a:ext>
          </a:extLst>
        </xdr:cNvPr>
        <xdr:cNvSpPr>
          <a:spLocks noChangeArrowheads="1"/>
        </xdr:cNvSpPr>
      </xdr:nvSpPr>
      <xdr:spPr bwMode="auto">
        <a:xfrm>
          <a:off x="0" y="0"/>
          <a:ext cx="279400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135254</xdr:colOff>
      <xdr:row>1</xdr:row>
      <xdr:rowOff>0</xdr:rowOff>
    </xdr:from>
    <xdr:ext cx="2700608" cy="363893"/>
    <xdr:sp macro="" textlink="">
      <xdr:nvSpPr>
        <xdr:cNvPr id="21505" name="Text Box 1">
          <a:extLst>
            <a:ext uri="{FF2B5EF4-FFF2-40B4-BE49-F238E27FC236}">
              <a16:creationId xmlns:a16="http://schemas.microsoft.com/office/drawing/2014/main" id="{7581BC93-24CA-4C0A-BC3D-21F042A6363F}"/>
            </a:ext>
          </a:extLst>
        </xdr:cNvPr>
        <xdr:cNvSpPr txBox="1">
          <a:spLocks noChangeArrowheads="1"/>
        </xdr:cNvSpPr>
      </xdr:nvSpPr>
      <xdr:spPr bwMode="auto">
        <a:xfrm>
          <a:off x="135254" y="184150"/>
          <a:ext cx="2690495" cy="350032"/>
        </a:xfrm>
        <a:prstGeom prst="rect">
          <a:avLst/>
        </a:prstGeom>
        <a:noFill/>
        <a:ln w="9525">
          <a:noFill/>
          <a:miter lim="800000"/>
          <a:headEnd/>
          <a:tailEnd/>
        </a:ln>
      </xdr:spPr>
      <xdr:txBody>
        <a:bodyPr wrap="square" lIns="36576" tIns="36576" rIns="0" bIns="0" anchor="t" upright="1">
          <a:spAutoFit/>
        </a:bodyPr>
        <a:lstStyle/>
        <a:p>
          <a:pPr algn="l" rtl="0">
            <a:defRPr sz="1000"/>
          </a:pPr>
          <a:r>
            <a:rPr lang="pt-BR" sz="2000" b="1" i="0" u="none" strike="noStrike" baseline="0">
              <a:solidFill>
                <a:schemeClr val="bg1"/>
              </a:solidFill>
              <a:latin typeface="Barlow"/>
            </a:rPr>
            <a:t>10. Production Costs</a:t>
          </a:r>
        </a:p>
      </xdr:txBody>
    </xdr:sp>
    <xdr:clientData/>
  </xdr:oneCellAnchor>
  <xdr:twoCellAnchor editAs="oneCell">
    <xdr:from>
      <xdr:col>55</xdr:col>
      <xdr:colOff>12700</xdr:colOff>
      <xdr:row>0</xdr:row>
      <xdr:rowOff>0</xdr:rowOff>
    </xdr:from>
    <xdr:to>
      <xdr:col>59</xdr:col>
      <xdr:colOff>69849</xdr:colOff>
      <xdr:row>5</xdr:row>
      <xdr:rowOff>12700</xdr:rowOff>
    </xdr:to>
    <xdr:pic>
      <xdr:nvPicPr>
        <xdr:cNvPr id="148866" name="Imagem 27">
          <a:extLst>
            <a:ext uri="{FF2B5EF4-FFF2-40B4-BE49-F238E27FC236}">
              <a16:creationId xmlns:a16="http://schemas.microsoft.com/office/drawing/2014/main" id="{04250C53-BB96-4A91-884F-82A831EA64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33650" y="0"/>
          <a:ext cx="26225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223135</xdr:colOff>
      <xdr:row>7</xdr:row>
      <xdr:rowOff>27335</xdr:rowOff>
    </xdr:from>
    <xdr:to>
      <xdr:col>60</xdr:col>
      <xdr:colOff>531801</xdr:colOff>
      <xdr:row>10</xdr:row>
      <xdr:rowOff>69832</xdr:rowOff>
    </xdr:to>
    <xdr:grpSp>
      <xdr:nvGrpSpPr>
        <xdr:cNvPr id="148867" name="Grupo 5">
          <a:hlinkClick xmlns:r="http://schemas.openxmlformats.org/officeDocument/2006/relationships" r:id="rId2"/>
          <a:extLst>
            <a:ext uri="{FF2B5EF4-FFF2-40B4-BE49-F238E27FC236}">
              <a16:creationId xmlns:a16="http://schemas.microsoft.com/office/drawing/2014/main" id="{7E5379DC-108C-478C-ABFC-092E48611A1A}"/>
            </a:ext>
          </a:extLst>
        </xdr:cNvPr>
        <xdr:cNvGrpSpPr>
          <a:grpSpLocks/>
        </xdr:cNvGrpSpPr>
      </xdr:nvGrpSpPr>
      <xdr:grpSpPr bwMode="auto">
        <a:xfrm>
          <a:off x="28194885" y="1098898"/>
          <a:ext cx="2880416" cy="455247"/>
          <a:chOff x="9654077" y="296980"/>
          <a:chExt cx="1338117" cy="635528"/>
        </a:xfrm>
      </xdr:grpSpPr>
      <xdr:sp macro="" textlink="">
        <xdr:nvSpPr>
          <xdr:cNvPr id="148868" name="Seta para a esquerda 8">
            <a:extLst>
              <a:ext uri="{FF2B5EF4-FFF2-40B4-BE49-F238E27FC236}">
                <a16:creationId xmlns:a16="http://schemas.microsoft.com/office/drawing/2014/main" id="{CEF34EF0-10A0-463E-BCEE-611584FCA2AA}"/>
              </a:ext>
            </a:extLst>
          </xdr:cNvPr>
          <xdr:cNvSpPr>
            <a:spLocks noChangeArrowheads="1"/>
          </xdr:cNvSpPr>
        </xdr:nvSpPr>
        <xdr:spPr bwMode="auto">
          <a:xfrm>
            <a:off x="9654077"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0E4868A0-277B-4A4D-B6E2-80730FA64A02}"/>
              </a:ext>
            </a:extLst>
          </xdr:cNvPr>
          <xdr:cNvSpPr txBox="1"/>
        </xdr:nvSpPr>
        <xdr:spPr>
          <a:xfrm>
            <a:off x="10108814" y="460592"/>
            <a:ext cx="825182" cy="262264"/>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19050</xdr:colOff>
      <xdr:row>3</xdr:row>
      <xdr:rowOff>158750</xdr:rowOff>
    </xdr:to>
    <xdr:sp macro="" textlink="">
      <xdr:nvSpPr>
        <xdr:cNvPr id="152600" name="Retângulo 6">
          <a:extLst>
            <a:ext uri="{FF2B5EF4-FFF2-40B4-BE49-F238E27FC236}">
              <a16:creationId xmlns:a16="http://schemas.microsoft.com/office/drawing/2014/main" id="{2CF7ADED-6F2C-43A3-BC00-3BD685EBF812}"/>
            </a:ext>
          </a:extLst>
        </xdr:cNvPr>
        <xdr:cNvSpPr>
          <a:spLocks noChangeArrowheads="1"/>
        </xdr:cNvSpPr>
      </xdr:nvSpPr>
      <xdr:spPr bwMode="auto">
        <a:xfrm>
          <a:off x="0" y="6350"/>
          <a:ext cx="6337300" cy="6858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12700</xdr:colOff>
      <xdr:row>0</xdr:row>
      <xdr:rowOff>0</xdr:rowOff>
    </xdr:from>
    <xdr:to>
      <xdr:col>10</xdr:col>
      <xdr:colOff>520700</xdr:colOff>
      <xdr:row>3</xdr:row>
      <xdr:rowOff>171450</xdr:rowOff>
    </xdr:to>
    <xdr:pic>
      <xdr:nvPicPr>
        <xdr:cNvPr id="152601" name="Imagem 27">
          <a:extLst>
            <a:ext uri="{FF2B5EF4-FFF2-40B4-BE49-F238E27FC236}">
              <a16:creationId xmlns:a16="http://schemas.microsoft.com/office/drawing/2014/main" id="{866E7731-29DF-4CC8-841B-B44804627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0950" y="0"/>
          <a:ext cx="24320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130175</xdr:rowOff>
    </xdr:from>
    <xdr:ext cx="3236040" cy="360421"/>
    <xdr:sp macro="" textlink="">
      <xdr:nvSpPr>
        <xdr:cNvPr id="4" name="Text Box 1">
          <a:extLst>
            <a:ext uri="{FF2B5EF4-FFF2-40B4-BE49-F238E27FC236}">
              <a16:creationId xmlns:a16="http://schemas.microsoft.com/office/drawing/2014/main" id="{9B2194BC-F117-4F9D-A355-E8B651B9BB41}"/>
            </a:ext>
          </a:extLst>
        </xdr:cNvPr>
        <xdr:cNvSpPr txBox="1">
          <a:spLocks noChangeArrowheads="1"/>
        </xdr:cNvSpPr>
      </xdr:nvSpPr>
      <xdr:spPr bwMode="auto">
        <a:xfrm>
          <a:off x="101600" y="133350"/>
          <a:ext cx="319722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11. Pro forma Results*</a:t>
          </a:r>
        </a:p>
      </xdr:txBody>
    </xdr:sp>
    <xdr:clientData/>
  </xdr:oneCellAnchor>
  <xdr:twoCellAnchor>
    <xdr:from>
      <xdr:col>0</xdr:col>
      <xdr:colOff>31751</xdr:colOff>
      <xdr:row>92</xdr:row>
      <xdr:rowOff>47625</xdr:rowOff>
    </xdr:from>
    <xdr:to>
      <xdr:col>7</xdr:col>
      <xdr:colOff>19051</xdr:colOff>
      <xdr:row>96</xdr:row>
      <xdr:rowOff>156914</xdr:rowOff>
    </xdr:to>
    <xdr:sp macro="" textlink="">
      <xdr:nvSpPr>
        <xdr:cNvPr id="8" name="CaixaDeTexto 7">
          <a:extLst>
            <a:ext uri="{FF2B5EF4-FFF2-40B4-BE49-F238E27FC236}">
              <a16:creationId xmlns:a16="http://schemas.microsoft.com/office/drawing/2014/main" id="{7A52E7BB-19DD-47AA-9F53-D98567E81460}"/>
            </a:ext>
          </a:extLst>
        </xdr:cNvPr>
        <xdr:cNvSpPr txBox="1"/>
      </xdr:nvSpPr>
      <xdr:spPr>
        <a:xfrm>
          <a:off x="31751" y="14770100"/>
          <a:ext cx="4476750" cy="734073"/>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chemeClr val="tx2"/>
              </a:solidFill>
              <a:effectLst/>
              <a:latin typeface="Barlow"/>
              <a:ea typeface="+mn-ea"/>
              <a:cs typeface="+mn-cs"/>
            </a:rPr>
            <a:t>*</a:t>
          </a:r>
          <a:r>
            <a:rPr lang="en-US" sz="1100">
              <a:solidFill>
                <a:schemeClr val="tx2"/>
              </a:solidFill>
              <a:effectLst/>
              <a:latin typeface="+mn-lt"/>
              <a:ea typeface="+mn-ea"/>
              <a:cs typeface="+mn-cs"/>
            </a:rPr>
            <a:t>To present the results of the business divisions and consolidated excluding the effects from the divestment program</a:t>
          </a:r>
          <a:endParaRPr lang="pt-BR" sz="1000" u="none">
            <a:solidFill>
              <a:schemeClr val="tx2"/>
            </a:solidFill>
            <a:effectLst/>
            <a:latin typeface="Barlow"/>
            <a:ea typeface="+mn-ea"/>
            <a:cs typeface="+mn-cs"/>
          </a:endParaRPr>
        </a:p>
      </xdr:txBody>
    </xdr:sp>
    <xdr:clientData/>
  </xdr:twoCellAnchor>
  <xdr:twoCellAnchor>
    <xdr:from>
      <xdr:col>11</xdr:col>
      <xdr:colOff>311150</xdr:colOff>
      <xdr:row>0</xdr:row>
      <xdr:rowOff>38100</xdr:rowOff>
    </xdr:from>
    <xdr:to>
      <xdr:col>14</xdr:col>
      <xdr:colOff>50800</xdr:colOff>
      <xdr:row>3</xdr:row>
      <xdr:rowOff>158750</xdr:rowOff>
    </xdr:to>
    <xdr:sp macro="" textlink="">
      <xdr:nvSpPr>
        <xdr:cNvPr id="152604" name="Seta para a esquerda 8">
          <a:extLst>
            <a:ext uri="{FF2B5EF4-FFF2-40B4-BE49-F238E27FC236}">
              <a16:creationId xmlns:a16="http://schemas.microsoft.com/office/drawing/2014/main" id="{3ACEA009-E200-4DEB-BAB2-988B1CDE8164}"/>
            </a:ext>
          </a:extLst>
        </xdr:cNvPr>
        <xdr:cNvSpPr>
          <a:spLocks noChangeArrowheads="1"/>
        </xdr:cNvSpPr>
      </xdr:nvSpPr>
      <xdr:spPr bwMode="auto">
        <a:xfrm>
          <a:off x="9194800" y="38100"/>
          <a:ext cx="1663700" cy="654050"/>
        </a:xfrm>
        <a:prstGeom prst="leftArrow">
          <a:avLst>
            <a:gd name="adj1" fmla="val 50000"/>
            <a:gd name="adj2" fmla="val 56621"/>
          </a:avLst>
        </a:prstGeom>
        <a:solidFill>
          <a:srgbClr val="F7A600"/>
        </a:solidFill>
        <a:ln w="19050" algn="ctr">
          <a:solidFill>
            <a:srgbClr val="002060"/>
          </a:solidFill>
          <a:prstDash val="sysDash"/>
          <a:round/>
          <a:headEnd/>
          <a:tailEnd/>
        </a:ln>
      </xdr:spPr>
    </xdr:sp>
    <xdr:clientData/>
  </xdr:twoCellAnchor>
  <xdr:twoCellAnchor>
    <xdr:from>
      <xdr:col>12</xdr:col>
      <xdr:colOff>149225</xdr:colOff>
      <xdr:row>1</xdr:row>
      <xdr:rowOff>57150</xdr:rowOff>
    </xdr:from>
    <xdr:to>
      <xdr:col>13</xdr:col>
      <xdr:colOff>605166</xdr:colOff>
      <xdr:row>2</xdr:row>
      <xdr:rowOff>136448</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35F2D062-4359-4A7C-88A5-01E215CA84D2}"/>
            </a:ext>
          </a:extLst>
        </xdr:cNvPr>
        <xdr:cNvSpPr txBox="1"/>
      </xdr:nvSpPr>
      <xdr:spPr bwMode="auto">
        <a:xfrm>
          <a:off x="9677400" y="241300"/>
          <a:ext cx="1090856" cy="2540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50800</xdr:colOff>
      <xdr:row>4</xdr:row>
      <xdr:rowOff>38100</xdr:rowOff>
    </xdr:to>
    <xdr:sp macro="" textlink="">
      <xdr:nvSpPr>
        <xdr:cNvPr id="150795" name="Retângulo 6">
          <a:extLst>
            <a:ext uri="{FF2B5EF4-FFF2-40B4-BE49-F238E27FC236}">
              <a16:creationId xmlns:a16="http://schemas.microsoft.com/office/drawing/2014/main" id="{AAE62EDD-4305-4E70-831E-6C295767CD73}"/>
            </a:ext>
          </a:extLst>
        </xdr:cNvPr>
        <xdr:cNvSpPr>
          <a:spLocks noChangeArrowheads="1"/>
        </xdr:cNvSpPr>
      </xdr:nvSpPr>
      <xdr:spPr bwMode="auto">
        <a:xfrm>
          <a:off x="0" y="6350"/>
          <a:ext cx="6000750" cy="7429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50800</xdr:colOff>
      <xdr:row>0</xdr:row>
      <xdr:rowOff>0</xdr:rowOff>
    </xdr:from>
    <xdr:to>
      <xdr:col>18</xdr:col>
      <xdr:colOff>603250</xdr:colOff>
      <xdr:row>4</xdr:row>
      <xdr:rowOff>31750</xdr:rowOff>
    </xdr:to>
    <xdr:pic>
      <xdr:nvPicPr>
        <xdr:cNvPr id="150796" name="Imagem 27">
          <a:extLst>
            <a:ext uri="{FF2B5EF4-FFF2-40B4-BE49-F238E27FC236}">
              <a16:creationId xmlns:a16="http://schemas.microsoft.com/office/drawing/2014/main" id="{C9663D75-4C08-4026-9788-D0970DF46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0"/>
          <a:ext cx="25273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88899</xdr:colOff>
      <xdr:row>0</xdr:row>
      <xdr:rowOff>130175</xdr:rowOff>
    </xdr:from>
    <xdr:ext cx="5064700" cy="359650"/>
    <xdr:sp macro="" textlink="">
      <xdr:nvSpPr>
        <xdr:cNvPr id="4" name="Text Box 1">
          <a:extLst>
            <a:ext uri="{FF2B5EF4-FFF2-40B4-BE49-F238E27FC236}">
              <a16:creationId xmlns:a16="http://schemas.microsoft.com/office/drawing/2014/main" id="{9B190F97-959F-4F42-8D8F-0B44EA5B0EFE}"/>
            </a:ext>
          </a:extLst>
        </xdr:cNvPr>
        <xdr:cNvSpPr txBox="1">
          <a:spLocks noChangeArrowheads="1"/>
        </xdr:cNvSpPr>
      </xdr:nvSpPr>
      <xdr:spPr bwMode="auto">
        <a:xfrm>
          <a:off x="88899" y="130175"/>
          <a:ext cx="510828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12. Lab Data Science Capacity</a:t>
          </a:r>
        </a:p>
      </xdr:txBody>
    </xdr:sp>
    <xdr:clientData/>
  </xdr:oneCellAnchor>
  <xdr:twoCellAnchor>
    <xdr:from>
      <xdr:col>19</xdr:col>
      <xdr:colOff>228600</xdr:colOff>
      <xdr:row>1</xdr:row>
      <xdr:rowOff>0</xdr:rowOff>
    </xdr:from>
    <xdr:to>
      <xdr:col>22</xdr:col>
      <xdr:colOff>12700</xdr:colOff>
      <xdr:row>5</xdr:row>
      <xdr:rowOff>6350</xdr:rowOff>
    </xdr:to>
    <xdr:sp macro="" textlink="">
      <xdr:nvSpPr>
        <xdr:cNvPr id="150798" name="Seta para a esquerda 8">
          <a:extLst>
            <a:ext uri="{FF2B5EF4-FFF2-40B4-BE49-F238E27FC236}">
              <a16:creationId xmlns:a16="http://schemas.microsoft.com/office/drawing/2014/main" id="{3E319CD8-B6F1-4823-8986-CB31CB66E0C2}"/>
            </a:ext>
          </a:extLst>
        </xdr:cNvPr>
        <xdr:cNvSpPr>
          <a:spLocks noChangeArrowheads="1"/>
        </xdr:cNvSpPr>
      </xdr:nvSpPr>
      <xdr:spPr bwMode="auto">
        <a:xfrm>
          <a:off x="8794750" y="177800"/>
          <a:ext cx="1708150" cy="596900"/>
        </a:xfrm>
        <a:prstGeom prst="leftArrow">
          <a:avLst>
            <a:gd name="adj1" fmla="val 50000"/>
            <a:gd name="adj2" fmla="val 57314"/>
          </a:avLst>
        </a:prstGeom>
        <a:solidFill>
          <a:srgbClr val="F7A600"/>
        </a:solidFill>
        <a:ln w="19050" algn="ctr">
          <a:solidFill>
            <a:srgbClr val="002060"/>
          </a:solidFill>
          <a:prstDash val="sysDash"/>
          <a:round/>
          <a:headEnd/>
          <a:tailEnd/>
        </a:ln>
      </xdr:spPr>
    </xdr:sp>
    <xdr:clientData/>
  </xdr:twoCellAnchor>
  <xdr:twoCellAnchor>
    <xdr:from>
      <xdr:col>20</xdr:col>
      <xdr:colOff>42998</xdr:colOff>
      <xdr:row>2</xdr:row>
      <xdr:rowOff>39244</xdr:rowOff>
    </xdr:from>
    <xdr:to>
      <xdr:col>21</xdr:col>
      <xdr:colOff>554156</xdr:colOff>
      <xdr:row>3</xdr:row>
      <xdr:rowOff>45635</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5D6CF931-5C62-43AB-8EE8-0E76382FECD7}"/>
            </a:ext>
          </a:extLst>
        </xdr:cNvPr>
        <xdr:cNvSpPr txBox="1"/>
      </xdr:nvSpPr>
      <xdr:spPr bwMode="auto">
        <a:xfrm>
          <a:off x="15051223" y="401194"/>
          <a:ext cx="1136612" cy="1778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31750</xdr:colOff>
      <xdr:row>4</xdr:row>
      <xdr:rowOff>114300</xdr:rowOff>
    </xdr:to>
    <xdr:sp macro="" textlink="">
      <xdr:nvSpPr>
        <xdr:cNvPr id="149888" name="Retângulo 6">
          <a:extLst>
            <a:ext uri="{FF2B5EF4-FFF2-40B4-BE49-F238E27FC236}">
              <a16:creationId xmlns:a16="http://schemas.microsoft.com/office/drawing/2014/main" id="{EC6E6D99-75DC-467C-95A4-5AE0EF3844C2}"/>
            </a:ext>
          </a:extLst>
        </xdr:cNvPr>
        <xdr:cNvSpPr>
          <a:spLocks noChangeArrowheads="1"/>
        </xdr:cNvSpPr>
      </xdr:nvSpPr>
      <xdr:spPr bwMode="auto">
        <a:xfrm>
          <a:off x="0" y="0"/>
          <a:ext cx="10287000" cy="749300"/>
        </a:xfrm>
        <a:prstGeom prst="rect">
          <a:avLst/>
        </a:prstGeom>
        <a:solidFill>
          <a:srgbClr val="184C8C"/>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3</xdr:col>
      <xdr:colOff>120650</xdr:colOff>
      <xdr:row>0</xdr:row>
      <xdr:rowOff>0</xdr:rowOff>
    </xdr:from>
    <xdr:to>
      <xdr:col>7</xdr:col>
      <xdr:colOff>120650</xdr:colOff>
      <xdr:row>4</xdr:row>
      <xdr:rowOff>101600</xdr:rowOff>
    </xdr:to>
    <xdr:pic>
      <xdr:nvPicPr>
        <xdr:cNvPr id="149889" name="Imagem 18" descr="Marca Gerdau sem fios.jpg">
          <a:extLst>
            <a:ext uri="{FF2B5EF4-FFF2-40B4-BE49-F238E27FC236}">
              <a16:creationId xmlns:a16="http://schemas.microsoft.com/office/drawing/2014/main" id="{AD4DC57C-DDA5-4F72-8B77-46E9618B1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5900" y="0"/>
          <a:ext cx="25654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69850</xdr:colOff>
      <xdr:row>0</xdr:row>
      <xdr:rowOff>117475</xdr:rowOff>
    </xdr:from>
    <xdr:ext cx="3031920" cy="421847"/>
    <xdr:sp macro="" textlink="">
      <xdr:nvSpPr>
        <xdr:cNvPr id="2" name="Text Box 2">
          <a:extLst>
            <a:ext uri="{FF2B5EF4-FFF2-40B4-BE49-F238E27FC236}">
              <a16:creationId xmlns:a16="http://schemas.microsoft.com/office/drawing/2014/main" id="{94EF1ECF-17E7-44AF-9233-7B902DCA3E76}"/>
            </a:ext>
          </a:extLst>
        </xdr:cNvPr>
        <xdr:cNvSpPr txBox="1">
          <a:spLocks noChangeArrowheads="1"/>
        </xdr:cNvSpPr>
      </xdr:nvSpPr>
      <xdr:spPr bwMode="auto">
        <a:xfrm>
          <a:off x="317500" y="117475"/>
          <a:ext cx="3031920" cy="421847"/>
        </a:xfrm>
        <a:prstGeom prst="rect">
          <a:avLst/>
        </a:prstGeom>
        <a:noFill/>
        <a:ln w="9525">
          <a:noFill/>
          <a:miter lim="800000"/>
          <a:headEnd/>
          <a:tailEnd/>
        </a:ln>
      </xdr:spPr>
      <xdr:txBody>
        <a:bodyPr wrap="none" lIns="45720" tIns="45720" rIns="0" bIns="0" anchor="t" upright="1">
          <a:spAutoFit/>
        </a:bodyPr>
        <a:lstStyle/>
        <a:p>
          <a:pPr algn="l" rtl="0">
            <a:defRPr sz="1000"/>
          </a:pPr>
          <a:r>
            <a:rPr lang="en-US" sz="2400" b="1" i="0" u="none" strike="noStrike" baseline="0">
              <a:solidFill>
                <a:schemeClr val="bg1"/>
              </a:solidFill>
              <a:latin typeface="+mn-lt"/>
            </a:rPr>
            <a:t>13. </a:t>
          </a:r>
          <a:r>
            <a:rPr lang="pt-BR" sz="2400" b="1" i="0" u="none" strike="noStrike" baseline="0">
              <a:solidFill>
                <a:schemeClr val="bg1"/>
              </a:solidFill>
              <a:latin typeface="+mn-lt"/>
              <a:ea typeface="+mn-ea"/>
              <a:cs typeface="+mn-cs"/>
            </a:rPr>
            <a:t>Frequent</a:t>
          </a:r>
          <a:r>
            <a:rPr lang="en-US" sz="2400" b="1" i="0" u="none" strike="noStrike" baseline="0">
              <a:solidFill>
                <a:schemeClr val="bg1"/>
              </a:solidFill>
              <a:latin typeface="+mn-lt"/>
              <a:ea typeface="+mn-ea"/>
              <a:cs typeface="+mn-cs"/>
            </a:rPr>
            <a:t> </a:t>
          </a:r>
          <a:r>
            <a:rPr lang="en-US" sz="2400" b="1" i="0" u="none" strike="noStrike" baseline="0">
              <a:solidFill>
                <a:schemeClr val="bg1"/>
              </a:solidFill>
              <a:latin typeface="+mn-lt"/>
            </a:rPr>
            <a:t>Questions</a:t>
          </a:r>
        </a:p>
      </xdr:txBody>
    </xdr:sp>
    <xdr:clientData/>
  </xdr:oneCellAnchor>
  <xdr:twoCellAnchor>
    <xdr:from>
      <xdr:col>4</xdr:col>
      <xdr:colOff>172720</xdr:colOff>
      <xdr:row>5</xdr:row>
      <xdr:rowOff>3175</xdr:rowOff>
    </xdr:from>
    <xdr:to>
      <xdr:col>6</xdr:col>
      <xdr:colOff>103200</xdr:colOff>
      <xdr:row>8</xdr:row>
      <xdr:rowOff>238125</xdr:rowOff>
    </xdr:to>
    <xdr:grpSp>
      <xdr:nvGrpSpPr>
        <xdr:cNvPr id="9" name="Grupo 5">
          <a:hlinkClick xmlns:r="http://schemas.openxmlformats.org/officeDocument/2006/relationships" r:id="rId2"/>
          <a:extLst>
            <a:ext uri="{FF2B5EF4-FFF2-40B4-BE49-F238E27FC236}">
              <a16:creationId xmlns:a16="http://schemas.microsoft.com/office/drawing/2014/main" id="{2286642C-E80D-40F4-91FF-FFF5FC023E67}"/>
            </a:ext>
          </a:extLst>
        </xdr:cNvPr>
        <xdr:cNvGrpSpPr/>
      </xdr:nvGrpSpPr>
      <xdr:grpSpPr>
        <a:xfrm>
          <a:off x="11069320" y="809625"/>
          <a:ext cx="1213180" cy="647700"/>
          <a:chOff x="8162924" y="285750"/>
          <a:chExt cx="1209676" cy="638175"/>
        </a:xfrm>
        <a:solidFill>
          <a:srgbClr val="FFD961"/>
        </a:solidFill>
      </xdr:grpSpPr>
      <xdr:sp macro="" textlink="">
        <xdr:nvSpPr>
          <xdr:cNvPr id="14" name="Seta para a esquerda 13">
            <a:extLst>
              <a:ext uri="{FF2B5EF4-FFF2-40B4-BE49-F238E27FC236}">
                <a16:creationId xmlns:a16="http://schemas.microsoft.com/office/drawing/2014/main" id="{90A17320-0166-4918-9177-3D0B94439EEF}"/>
              </a:ext>
            </a:extLst>
          </xdr:cNvPr>
          <xdr:cNvSpPr/>
        </xdr:nvSpPr>
        <xdr:spPr bwMode="auto">
          <a:xfrm>
            <a:off x="1700199" y="270108"/>
            <a:ext cx="474874" cy="675715"/>
          </a:xfrm>
          <a:prstGeom prst="leftArrow">
            <a:avLst/>
          </a:prstGeom>
          <a:grpFill/>
          <a:ln w="19050" cap="flat" cmpd="sng" algn="ctr">
            <a:solidFill>
              <a:srgbClr val="002060"/>
            </a:solidFill>
            <a:prstDash val="sysDash"/>
            <a:round/>
            <a:headEnd type="none" w="med" len="med"/>
            <a:tailEnd type="none" w="med" len="med"/>
          </a:ln>
          <a:effectLst/>
        </xdr:spPr>
        <xdr:txBody>
          <a:bodyPr vertOverflow="clip" horzOverflow="clip" wrap="square" lIns="18288" tIns="0" rIns="0" bIns="0" rtlCol="0" anchor="t" upright="1"/>
          <a:lstStyle/>
          <a:p>
            <a:endParaRPr lang="pt-BR"/>
          </a:p>
        </xdr:txBody>
      </xdr:sp>
      <xdr:sp macro="" textlink="">
        <xdr:nvSpPr>
          <xdr:cNvPr id="15" name="CaixaDeTexto 14">
            <a:hlinkClick xmlns:r="http://schemas.openxmlformats.org/officeDocument/2006/relationships" r:id="rId3"/>
            <a:extLst>
              <a:ext uri="{FF2B5EF4-FFF2-40B4-BE49-F238E27FC236}">
                <a16:creationId xmlns:a16="http://schemas.microsoft.com/office/drawing/2014/main" id="{487D35EB-8B2F-4926-89A8-6FA4048D6F98}"/>
              </a:ext>
            </a:extLst>
          </xdr:cNvPr>
          <xdr:cNvSpPr txBox="1"/>
        </xdr:nvSpPr>
        <xdr:spPr>
          <a:xfrm>
            <a:off x="1852159" y="489090"/>
            <a:ext cx="297588" cy="2377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0">
                <a:solidFill>
                  <a:srgbClr val="002060"/>
                </a:solidFill>
                <a:latin typeface="Arial" panose="020B0604020202020204" pitchFamily="34" charset="0"/>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482600</xdr:colOff>
      <xdr:row>4</xdr:row>
      <xdr:rowOff>0</xdr:rowOff>
    </xdr:to>
    <xdr:sp macro="" textlink="">
      <xdr:nvSpPr>
        <xdr:cNvPr id="140224" name="Retângulo 6">
          <a:extLst>
            <a:ext uri="{FF2B5EF4-FFF2-40B4-BE49-F238E27FC236}">
              <a16:creationId xmlns:a16="http://schemas.microsoft.com/office/drawing/2014/main" id="{38370BA7-26F4-4965-B8FD-59985615A7B3}"/>
            </a:ext>
          </a:extLst>
        </xdr:cNvPr>
        <xdr:cNvSpPr>
          <a:spLocks noChangeArrowheads="1"/>
        </xdr:cNvSpPr>
      </xdr:nvSpPr>
      <xdr:spPr bwMode="auto">
        <a:xfrm>
          <a:off x="0" y="0"/>
          <a:ext cx="10490200" cy="8064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39370</xdr:colOff>
      <xdr:row>1</xdr:row>
      <xdr:rowOff>3810</xdr:rowOff>
    </xdr:from>
    <xdr:ext cx="2250349" cy="438527"/>
    <xdr:sp macro="" textlink="">
      <xdr:nvSpPr>
        <xdr:cNvPr id="18434" name="Text Box 2">
          <a:extLst>
            <a:ext uri="{FF2B5EF4-FFF2-40B4-BE49-F238E27FC236}">
              <a16:creationId xmlns:a16="http://schemas.microsoft.com/office/drawing/2014/main" id="{4F524B1F-0A42-4991-A944-F00F523F1185}"/>
            </a:ext>
          </a:extLst>
        </xdr:cNvPr>
        <xdr:cNvSpPr txBox="1">
          <a:spLocks noChangeArrowheads="1"/>
        </xdr:cNvSpPr>
      </xdr:nvSpPr>
      <xdr:spPr bwMode="auto">
        <a:xfrm>
          <a:off x="419236" y="173899"/>
          <a:ext cx="1993238"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1. Assumptions</a:t>
          </a:r>
        </a:p>
      </xdr:txBody>
    </xdr:sp>
    <xdr:clientData/>
  </xdr:oneCellAnchor>
  <xdr:twoCellAnchor>
    <xdr:from>
      <xdr:col>0</xdr:col>
      <xdr:colOff>288396</xdr:colOff>
      <xdr:row>14</xdr:row>
      <xdr:rowOff>156844</xdr:rowOff>
    </xdr:from>
    <xdr:to>
      <xdr:col>2</xdr:col>
      <xdr:colOff>317378</xdr:colOff>
      <xdr:row>17</xdr:row>
      <xdr:rowOff>57570</xdr:rowOff>
    </xdr:to>
    <xdr:sp macro="" textlink="">
      <xdr:nvSpPr>
        <xdr:cNvPr id="11" name="CaixaDeTexto 10">
          <a:extLst>
            <a:ext uri="{FF2B5EF4-FFF2-40B4-BE49-F238E27FC236}">
              <a16:creationId xmlns:a16="http://schemas.microsoft.com/office/drawing/2014/main" id="{A8E57CEA-44E9-4C21-B541-214735930809}"/>
            </a:ext>
          </a:extLst>
        </xdr:cNvPr>
        <xdr:cNvSpPr txBox="1"/>
      </xdr:nvSpPr>
      <xdr:spPr>
        <a:xfrm>
          <a:off x="323851" y="3403282"/>
          <a:ext cx="1884127" cy="527788"/>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0</xdr:col>
      <xdr:colOff>288396</xdr:colOff>
      <xdr:row>18</xdr:row>
      <xdr:rowOff>16343</xdr:rowOff>
    </xdr:from>
    <xdr:to>
      <xdr:col>2</xdr:col>
      <xdr:colOff>299736</xdr:colOff>
      <xdr:row>21</xdr:row>
      <xdr:rowOff>111652</xdr:rowOff>
    </xdr:to>
    <xdr:sp macro="" textlink="">
      <xdr:nvSpPr>
        <xdr:cNvPr id="12" name="CaixaDeTexto 11">
          <a:extLst>
            <a:ext uri="{FF2B5EF4-FFF2-40B4-BE49-F238E27FC236}">
              <a16:creationId xmlns:a16="http://schemas.microsoft.com/office/drawing/2014/main" id="{CD779E8C-E433-4750-B0C4-47273B1F7672}"/>
            </a:ext>
          </a:extLst>
        </xdr:cNvPr>
        <xdr:cNvSpPr txBox="1"/>
      </xdr:nvSpPr>
      <xdr:spPr>
        <a:xfrm>
          <a:off x="323851" y="4120031"/>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0</xdr:col>
      <xdr:colOff>288396</xdr:colOff>
      <xdr:row>22</xdr:row>
      <xdr:rowOff>134117</xdr:rowOff>
    </xdr:from>
    <xdr:to>
      <xdr:col>2</xdr:col>
      <xdr:colOff>299723</xdr:colOff>
      <xdr:row>25</xdr:row>
      <xdr:rowOff>150242</xdr:rowOff>
    </xdr:to>
    <xdr:sp macro="" textlink="">
      <xdr:nvSpPr>
        <xdr:cNvPr id="13" name="CaixaDeTexto 12">
          <a:extLst>
            <a:ext uri="{FF2B5EF4-FFF2-40B4-BE49-F238E27FC236}">
              <a16:creationId xmlns:a16="http://schemas.microsoft.com/office/drawing/2014/main" id="{3EB6F3A1-F081-4E3B-8BBA-860FE3D99A76}"/>
            </a:ext>
          </a:extLst>
        </xdr:cNvPr>
        <xdr:cNvSpPr txBox="1"/>
      </xdr:nvSpPr>
      <xdr:spPr>
        <a:xfrm>
          <a:off x="323851" y="4848992"/>
          <a:ext cx="1882216"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a:t>
          </a:r>
          <a:r>
            <a:rPr lang="pt-BR" sz="1400" b="1" baseline="0">
              <a:solidFill>
                <a:schemeClr val="bg1"/>
              </a:solidFill>
              <a:latin typeface="Barlow"/>
              <a:cs typeface="Arial" panose="020B0604020202020204" pitchFamily="34" charset="0"/>
            </a:rPr>
            <a:t> AMERICA</a:t>
          </a:r>
          <a:endParaRPr lang="pt-BR" sz="1400" b="1">
            <a:solidFill>
              <a:schemeClr val="bg1"/>
            </a:solidFill>
            <a:latin typeface="Barlow"/>
            <a:cs typeface="Arial" panose="020B0604020202020204" pitchFamily="34" charset="0"/>
          </a:endParaRPr>
        </a:p>
      </xdr:txBody>
    </xdr:sp>
    <xdr:clientData/>
  </xdr:twoCellAnchor>
  <xdr:twoCellAnchor>
    <xdr:from>
      <xdr:col>0</xdr:col>
      <xdr:colOff>288396</xdr:colOff>
      <xdr:row>27</xdr:row>
      <xdr:rowOff>16941</xdr:rowOff>
    </xdr:from>
    <xdr:to>
      <xdr:col>2</xdr:col>
      <xdr:colOff>299736</xdr:colOff>
      <xdr:row>30</xdr:row>
      <xdr:rowOff>15935</xdr:rowOff>
    </xdr:to>
    <xdr:sp macro="" textlink="">
      <xdr:nvSpPr>
        <xdr:cNvPr id="14" name="CaixaDeTexto 13">
          <a:extLst>
            <a:ext uri="{FF2B5EF4-FFF2-40B4-BE49-F238E27FC236}">
              <a16:creationId xmlns:a16="http://schemas.microsoft.com/office/drawing/2014/main" id="{956EACB4-E727-45EA-AF1C-810D5FC04F9A}"/>
            </a:ext>
          </a:extLst>
        </xdr:cNvPr>
        <xdr:cNvSpPr txBox="1"/>
      </xdr:nvSpPr>
      <xdr:spPr>
        <a:xfrm>
          <a:off x="323851" y="5577954"/>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SPECIAL STEEL</a:t>
          </a:r>
        </a:p>
      </xdr:txBody>
    </xdr:sp>
    <xdr:clientData/>
  </xdr:twoCellAnchor>
  <xdr:twoCellAnchor>
    <xdr:from>
      <xdr:col>2</xdr:col>
      <xdr:colOff>513714</xdr:colOff>
      <xdr:row>14</xdr:row>
      <xdr:rowOff>151046</xdr:rowOff>
    </xdr:from>
    <xdr:to>
      <xdr:col>17</xdr:col>
      <xdr:colOff>205925</xdr:colOff>
      <xdr:row>17</xdr:row>
      <xdr:rowOff>79966</xdr:rowOff>
    </xdr:to>
    <xdr:sp macro="" textlink="">
      <xdr:nvSpPr>
        <xdr:cNvPr id="16" name="CaixaDeTexto 15">
          <a:extLst>
            <a:ext uri="{FF2B5EF4-FFF2-40B4-BE49-F238E27FC236}">
              <a16:creationId xmlns:a16="http://schemas.microsoft.com/office/drawing/2014/main" id="{0A015BC5-E49C-4E95-8725-738C30587538}"/>
            </a:ext>
          </a:extLst>
        </xdr:cNvPr>
        <xdr:cNvSpPr txBox="1"/>
      </xdr:nvSpPr>
      <xdr:spPr>
        <a:xfrm>
          <a:off x="2385377" y="3413359"/>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513716</xdr:colOff>
      <xdr:row>22</xdr:row>
      <xdr:rowOff>134117</xdr:rowOff>
    </xdr:from>
    <xdr:to>
      <xdr:col>17</xdr:col>
      <xdr:colOff>205927</xdr:colOff>
      <xdr:row>25</xdr:row>
      <xdr:rowOff>150242</xdr:rowOff>
    </xdr:to>
    <xdr:sp macro="" textlink="">
      <xdr:nvSpPr>
        <xdr:cNvPr id="18" name="CaixaDeTexto 17">
          <a:extLst>
            <a:ext uri="{FF2B5EF4-FFF2-40B4-BE49-F238E27FC236}">
              <a16:creationId xmlns:a16="http://schemas.microsoft.com/office/drawing/2014/main" id="{1252C0A3-46CF-4F1E-BE45-9BFCE0318D60}"/>
            </a:ext>
          </a:extLst>
        </xdr:cNvPr>
        <xdr:cNvSpPr txBox="1"/>
      </xdr:nvSpPr>
      <xdr:spPr>
        <a:xfrm>
          <a:off x="2385379" y="4848992"/>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all operations in South America (Argentina, Peru, Uruguay and Venezuela), except the operations in Brazil, and the jointly controlled entity in the Dominican Republic and Colombia.</a:t>
          </a:r>
          <a:r>
            <a:rPr lang="pt-BR" sz="1100" baseline="0">
              <a:solidFill>
                <a:srgbClr val="002060"/>
              </a:solidFill>
              <a:latin typeface="Barlow"/>
              <a:ea typeface="+mn-ea"/>
              <a:cs typeface="+mn-cs"/>
            </a:rPr>
            <a:t> </a:t>
          </a:r>
          <a:endParaRPr lang="pt-BR" sz="1100">
            <a:solidFill>
              <a:srgbClr val="002060"/>
            </a:solidFill>
            <a:latin typeface="Barlow"/>
            <a:ea typeface="+mn-ea"/>
            <a:cs typeface="+mn-cs"/>
          </a:endParaRPr>
        </a:p>
      </xdr:txBody>
    </xdr:sp>
    <xdr:clientData/>
  </xdr:twoCellAnchor>
  <xdr:twoCellAnchor editAs="oneCell">
    <xdr:from>
      <xdr:col>14</xdr:col>
      <xdr:colOff>488950</xdr:colOff>
      <xdr:row>0</xdr:row>
      <xdr:rowOff>0</xdr:rowOff>
    </xdr:from>
    <xdr:to>
      <xdr:col>19</xdr:col>
      <xdr:colOff>120650</xdr:colOff>
      <xdr:row>4</xdr:row>
      <xdr:rowOff>0</xdr:rowOff>
    </xdr:to>
    <xdr:pic>
      <xdr:nvPicPr>
        <xdr:cNvPr id="140232" name="Imagem 27">
          <a:extLst>
            <a:ext uri="{FF2B5EF4-FFF2-40B4-BE49-F238E27FC236}">
              <a16:creationId xmlns:a16="http://schemas.microsoft.com/office/drawing/2014/main" id="{ABA19413-7494-4B04-8C32-368699C0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0"/>
          <a:ext cx="2838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454977</xdr:colOff>
      <xdr:row>14</xdr:row>
      <xdr:rowOff>133584</xdr:rowOff>
    </xdr:from>
    <xdr:to>
      <xdr:col>17</xdr:col>
      <xdr:colOff>191644</xdr:colOff>
      <xdr:row>17</xdr:row>
      <xdr:rowOff>56065</xdr:rowOff>
    </xdr:to>
    <xdr:sp macro="" textlink="">
      <xdr:nvSpPr>
        <xdr:cNvPr id="34" name="CaixaDeTexto 33">
          <a:extLst>
            <a:ext uri="{FF2B5EF4-FFF2-40B4-BE49-F238E27FC236}">
              <a16:creationId xmlns:a16="http://schemas.microsoft.com/office/drawing/2014/main" id="{88E2282B-6863-41AA-A217-B4B7B5370912}"/>
            </a:ext>
          </a:extLst>
        </xdr:cNvPr>
        <xdr:cNvSpPr txBox="1"/>
      </xdr:nvSpPr>
      <xdr:spPr>
        <a:xfrm>
          <a:off x="2361565" y="3389547"/>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454977</xdr:colOff>
      <xdr:row>27</xdr:row>
      <xdr:rowOff>16941</xdr:rowOff>
    </xdr:from>
    <xdr:to>
      <xdr:col>17</xdr:col>
      <xdr:colOff>191644</xdr:colOff>
      <xdr:row>30</xdr:row>
      <xdr:rowOff>15935</xdr:rowOff>
    </xdr:to>
    <xdr:sp macro="" textlink="">
      <xdr:nvSpPr>
        <xdr:cNvPr id="37" name="CaixaDeTexto 36">
          <a:extLst>
            <a:ext uri="{FF2B5EF4-FFF2-40B4-BE49-F238E27FC236}">
              <a16:creationId xmlns:a16="http://schemas.microsoft.com/office/drawing/2014/main" id="{8A0AFDD4-F7A8-4D3E-8848-B93E4E2E0B94}"/>
            </a:ext>
          </a:extLst>
        </xdr:cNvPr>
        <xdr:cNvSpPr txBox="1"/>
      </xdr:nvSpPr>
      <xdr:spPr>
        <a:xfrm>
          <a:off x="2361565" y="5577954"/>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specialty steel operations in Brazil</a:t>
          </a:r>
          <a:r>
            <a:rPr lang="pt-BR" sz="1100" baseline="0">
              <a:solidFill>
                <a:srgbClr val="002060"/>
              </a:solidFill>
              <a:latin typeface="Barlow"/>
            </a:rPr>
            <a:t> and</a:t>
          </a:r>
          <a:r>
            <a:rPr lang="pt-BR" sz="1100">
              <a:solidFill>
                <a:srgbClr val="002060"/>
              </a:solidFill>
              <a:latin typeface="Barlow"/>
            </a:rPr>
            <a:t> United </a:t>
          </a:r>
          <a:r>
            <a:rPr lang="pt-BR" sz="1100">
              <a:solidFill>
                <a:srgbClr val="002060"/>
              </a:solidFill>
              <a:latin typeface="Barlow"/>
              <a:ea typeface="+mn-ea"/>
              <a:cs typeface="+mn-cs"/>
            </a:rPr>
            <a:t>States. </a:t>
          </a:r>
        </a:p>
      </xdr:txBody>
    </xdr:sp>
    <xdr:clientData/>
  </xdr:twoCellAnchor>
  <xdr:twoCellAnchor>
    <xdr:from>
      <xdr:col>2</xdr:col>
      <xdr:colOff>456565</xdr:colOff>
      <xdr:row>18</xdr:row>
      <xdr:rowOff>16343</xdr:rowOff>
    </xdr:from>
    <xdr:to>
      <xdr:col>17</xdr:col>
      <xdr:colOff>205985</xdr:colOff>
      <xdr:row>21</xdr:row>
      <xdr:rowOff>111652</xdr:rowOff>
    </xdr:to>
    <xdr:sp macro="" textlink="">
      <xdr:nvSpPr>
        <xdr:cNvPr id="38" name="CaixaDeTexto 37">
          <a:extLst>
            <a:ext uri="{FF2B5EF4-FFF2-40B4-BE49-F238E27FC236}">
              <a16:creationId xmlns:a16="http://schemas.microsoft.com/office/drawing/2014/main" id="{73583321-E10E-4236-A915-E86386956512}"/>
            </a:ext>
          </a:extLst>
        </xdr:cNvPr>
        <xdr:cNvSpPr txBox="1"/>
      </xdr:nvSpPr>
      <xdr:spPr>
        <a:xfrm>
          <a:off x="2369503" y="4120031"/>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all North American operations (USA, Canada and Mexico), except specialty steel, as well as the jointly controlled entity and associate company, both located in Mexico;</a:t>
          </a:r>
        </a:p>
      </xdr:txBody>
    </xdr:sp>
    <xdr:clientData/>
  </xdr:twoCellAnchor>
  <xdr:twoCellAnchor>
    <xdr:from>
      <xdr:col>13</xdr:col>
      <xdr:colOff>603250</xdr:colOff>
      <xdr:row>5</xdr:row>
      <xdr:rowOff>63500</xdr:rowOff>
    </xdr:from>
    <xdr:to>
      <xdr:col>15</xdr:col>
      <xdr:colOff>609600</xdr:colOff>
      <xdr:row>7</xdr:row>
      <xdr:rowOff>127000</xdr:rowOff>
    </xdr:to>
    <xdr:grpSp>
      <xdr:nvGrpSpPr>
        <xdr:cNvPr id="140236" name="Grupo 5">
          <a:hlinkClick xmlns:r="http://schemas.openxmlformats.org/officeDocument/2006/relationships" r:id="rId2"/>
          <a:extLst>
            <a:ext uri="{FF2B5EF4-FFF2-40B4-BE49-F238E27FC236}">
              <a16:creationId xmlns:a16="http://schemas.microsoft.com/office/drawing/2014/main" id="{80088D3E-AC86-4609-A9CC-D6DDA5818412}"/>
            </a:ext>
          </a:extLst>
        </xdr:cNvPr>
        <xdr:cNvGrpSpPr>
          <a:grpSpLocks/>
        </xdr:cNvGrpSpPr>
      </xdr:nvGrpSpPr>
      <xdr:grpSpPr bwMode="auto">
        <a:xfrm>
          <a:off x="9977438" y="1206500"/>
          <a:ext cx="1292225" cy="508000"/>
          <a:chOff x="8162924" y="285750"/>
          <a:chExt cx="1209676" cy="638175"/>
        </a:xfrm>
      </xdr:grpSpPr>
      <xdr:sp macro="" textlink="">
        <xdr:nvSpPr>
          <xdr:cNvPr id="140237" name="Seta para a esquerda 8">
            <a:extLst>
              <a:ext uri="{FF2B5EF4-FFF2-40B4-BE49-F238E27FC236}">
                <a16:creationId xmlns:a16="http://schemas.microsoft.com/office/drawing/2014/main" id="{5F54E247-96B9-4D31-B30C-C97C8B4CA8DC}"/>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48" name="CaixaDeTexto 47">
            <a:hlinkClick xmlns:r="http://schemas.openxmlformats.org/officeDocument/2006/relationships" r:id="rId3"/>
            <a:extLst>
              <a:ext uri="{FF2B5EF4-FFF2-40B4-BE49-F238E27FC236}">
                <a16:creationId xmlns:a16="http://schemas.microsoft.com/office/drawing/2014/main" id="{1A099FC7-FB5D-4986-BBE1-DE850DAE9F54}"/>
              </a:ext>
            </a:extLst>
          </xdr:cNvPr>
          <xdr:cNvSpPr txBox="1"/>
        </xdr:nvSpPr>
        <xdr:spPr>
          <a:xfrm>
            <a:off x="9748017" y="469225"/>
            <a:ext cx="816382" cy="247293"/>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273050</xdr:colOff>
      <xdr:row>8</xdr:row>
      <xdr:rowOff>38100</xdr:rowOff>
    </xdr:from>
    <xdr:to>
      <xdr:col>11</xdr:col>
      <xdr:colOff>31750</xdr:colOff>
      <xdr:row>37</xdr:row>
      <xdr:rowOff>158750</xdr:rowOff>
    </xdr:to>
    <xdr:sp macro="" textlink="">
      <xdr:nvSpPr>
        <xdr:cNvPr id="140992" name="Retângulo 2">
          <a:extLst>
            <a:ext uri="{FF2B5EF4-FFF2-40B4-BE49-F238E27FC236}">
              <a16:creationId xmlns:a16="http://schemas.microsoft.com/office/drawing/2014/main" id="{5CCB7102-BFB8-41A6-9477-79CA3D6E578F}"/>
            </a:ext>
          </a:extLst>
        </xdr:cNvPr>
        <xdr:cNvSpPr>
          <a:spLocks noChangeArrowheads="1"/>
        </xdr:cNvSpPr>
      </xdr:nvSpPr>
      <xdr:spPr bwMode="auto">
        <a:xfrm>
          <a:off x="622300" y="2025650"/>
          <a:ext cx="7747000" cy="5092700"/>
        </a:xfrm>
        <a:prstGeom prst="rect">
          <a:avLst/>
        </a:prstGeom>
        <a:solidFill>
          <a:srgbClr val="FFFFFF"/>
        </a:solidFill>
        <a:ln w="28575" algn="ctr">
          <a:solidFill>
            <a:srgbClr val="FFCA21"/>
          </a:solidFill>
          <a:prstDash val="sysDot"/>
          <a:round/>
          <a:headEnd/>
          <a:tailEnd/>
        </a:ln>
      </xdr:spPr>
    </xdr:sp>
    <xdr:clientData/>
  </xdr:twoCellAnchor>
  <xdr:oneCellAnchor>
    <xdr:from>
      <xdr:col>3</xdr:col>
      <xdr:colOff>569595</xdr:colOff>
      <xdr:row>6</xdr:row>
      <xdr:rowOff>0</xdr:rowOff>
    </xdr:from>
    <xdr:ext cx="202310" cy="445577"/>
    <xdr:sp macro="" textlink="">
      <xdr:nvSpPr>
        <xdr:cNvPr id="23553" name="Rectangle 12">
          <a:extLst>
            <a:ext uri="{FF2B5EF4-FFF2-40B4-BE49-F238E27FC236}">
              <a16:creationId xmlns:a16="http://schemas.microsoft.com/office/drawing/2014/main" id="{8F29025D-F597-4986-AE2D-234F3366E732}"/>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oneCellAnchor>
    <xdr:from>
      <xdr:col>3</xdr:col>
      <xdr:colOff>569595</xdr:colOff>
      <xdr:row>6</xdr:row>
      <xdr:rowOff>0</xdr:rowOff>
    </xdr:from>
    <xdr:ext cx="202310" cy="445577"/>
    <xdr:sp macro="" textlink="">
      <xdr:nvSpPr>
        <xdr:cNvPr id="23554" name="Rectangle 13">
          <a:extLst>
            <a:ext uri="{FF2B5EF4-FFF2-40B4-BE49-F238E27FC236}">
              <a16:creationId xmlns:a16="http://schemas.microsoft.com/office/drawing/2014/main" id="{E777583D-84EC-4B7D-B022-94251E52CA90}"/>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twoCellAnchor>
    <xdr:from>
      <xdr:col>4</xdr:col>
      <xdr:colOff>228600</xdr:colOff>
      <xdr:row>6</xdr:row>
      <xdr:rowOff>0</xdr:rowOff>
    </xdr:from>
    <xdr:to>
      <xdr:col>4</xdr:col>
      <xdr:colOff>363303</xdr:colOff>
      <xdr:row>6</xdr:row>
      <xdr:rowOff>0</xdr:rowOff>
    </xdr:to>
    <xdr:sp macro="" textlink="">
      <xdr:nvSpPr>
        <xdr:cNvPr id="23555" name="Rectangle 15">
          <a:extLst>
            <a:ext uri="{FF2B5EF4-FFF2-40B4-BE49-F238E27FC236}">
              <a16:creationId xmlns:a16="http://schemas.microsoft.com/office/drawing/2014/main" id="{518974C0-5D57-4265-AE7F-670A0F7F62CC}"/>
            </a:ext>
          </a:extLst>
        </xdr:cNvPr>
        <xdr:cNvSpPr>
          <a:spLocks noChangeArrowheads="1"/>
        </xdr:cNvSpPr>
      </xdr:nvSpPr>
      <xdr:spPr bwMode="auto">
        <a:xfrm>
          <a:off x="3448050" y="2676525"/>
          <a:ext cx="142875"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1">
            <a:defRPr sz="1000"/>
          </a:pPr>
          <a:endParaRPr lang="pt-BR" sz="2400" b="0" i="0" strike="noStrike">
            <a:solidFill>
              <a:srgbClr val="333333"/>
            </a:solidFill>
            <a:latin typeface="Times New Roman"/>
            <a:cs typeface="Times New Roman"/>
          </a:endParaRPr>
        </a:p>
        <a:p>
          <a:pPr algn="l" rtl="1">
            <a:defRPr sz="1000"/>
          </a:pPr>
          <a:endParaRPr lang="pt-BR" sz="2400" b="0" i="0" strike="noStrike">
            <a:solidFill>
              <a:srgbClr val="333333"/>
            </a:solidFill>
            <a:latin typeface="Times New Roman"/>
            <a:cs typeface="Times New Roman"/>
          </a:endParaRPr>
        </a:p>
      </xdr:txBody>
    </xdr:sp>
    <xdr:clientData/>
  </xdr:twoCellAnchor>
  <xdr:twoCellAnchor editAs="oneCell">
    <xdr:from>
      <xdr:col>1</xdr:col>
      <xdr:colOff>336550</xdr:colOff>
      <xdr:row>9</xdr:row>
      <xdr:rowOff>88900</xdr:rowOff>
    </xdr:from>
    <xdr:to>
      <xdr:col>10</xdr:col>
      <xdr:colOff>323850</xdr:colOff>
      <xdr:row>38</xdr:row>
      <xdr:rowOff>19050</xdr:rowOff>
    </xdr:to>
    <xdr:pic>
      <xdr:nvPicPr>
        <xdr:cNvPr id="140996" name="Picture 801">
          <a:extLst>
            <a:ext uri="{FF2B5EF4-FFF2-40B4-BE49-F238E27FC236}">
              <a16:creationId xmlns:a16="http://schemas.microsoft.com/office/drawing/2014/main" id="{F06345ED-E9F1-4491-8A70-6B24F6B4D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2247900"/>
          <a:ext cx="7334250" cy="490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171450</xdr:colOff>
      <xdr:row>2</xdr:row>
      <xdr:rowOff>349250</xdr:rowOff>
    </xdr:to>
    <xdr:sp macro="" textlink="">
      <xdr:nvSpPr>
        <xdr:cNvPr id="140997" name="Retângulo 6">
          <a:extLst>
            <a:ext uri="{FF2B5EF4-FFF2-40B4-BE49-F238E27FC236}">
              <a16:creationId xmlns:a16="http://schemas.microsoft.com/office/drawing/2014/main" id="{65E647D4-E037-4C76-863A-9C1B956CA868}"/>
            </a:ext>
          </a:extLst>
        </xdr:cNvPr>
        <xdr:cNvSpPr>
          <a:spLocks noChangeArrowheads="1"/>
        </xdr:cNvSpPr>
      </xdr:nvSpPr>
      <xdr:spPr bwMode="auto">
        <a:xfrm>
          <a:off x="0" y="0"/>
          <a:ext cx="850900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40640</xdr:colOff>
      <xdr:row>1</xdr:row>
      <xdr:rowOff>635</xdr:rowOff>
    </xdr:from>
    <xdr:ext cx="3569695" cy="412613"/>
    <xdr:sp macro="" textlink="">
      <xdr:nvSpPr>
        <xdr:cNvPr id="23601" name="Text Box 49">
          <a:extLst>
            <a:ext uri="{FF2B5EF4-FFF2-40B4-BE49-F238E27FC236}">
              <a16:creationId xmlns:a16="http://schemas.microsoft.com/office/drawing/2014/main" id="{26DCBDA2-7B64-48D7-90F1-A5B16848226E}"/>
            </a:ext>
          </a:extLst>
        </xdr:cNvPr>
        <xdr:cNvSpPr txBox="1">
          <a:spLocks noChangeArrowheads="1"/>
        </xdr:cNvSpPr>
      </xdr:nvSpPr>
      <xdr:spPr bwMode="auto">
        <a:xfrm>
          <a:off x="392651" y="173189"/>
          <a:ext cx="3569695" cy="412613"/>
        </a:xfrm>
        <a:prstGeom prst="rect">
          <a:avLst/>
        </a:prstGeom>
        <a:noFill/>
        <a:ln w="9525">
          <a:noFill/>
          <a:miter lim="800000"/>
          <a:headEnd/>
          <a:tailEnd/>
        </a:ln>
      </xdr:spPr>
      <xdr:txBody>
        <a:bodyPr wrap="none" lIns="36576" tIns="36576" rIns="0" bIns="0" anchor="t" upright="1">
          <a:spAutoFit/>
        </a:bodyPr>
        <a:lstStyle/>
        <a:p>
          <a:pPr algn="l" rtl="1">
            <a:defRPr sz="1000"/>
          </a:pPr>
          <a:r>
            <a:rPr lang="pt-BR" sz="2400" b="1" i="0" strike="noStrike">
              <a:solidFill>
                <a:schemeClr val="bg1"/>
              </a:solidFill>
              <a:latin typeface="+mn-lt"/>
            </a:rPr>
            <a:t>2. Steel Production Process </a:t>
          </a:r>
        </a:p>
      </xdr:txBody>
    </xdr:sp>
    <xdr:clientData/>
  </xdr:oneCellAnchor>
  <xdr:twoCellAnchor editAs="oneCell">
    <xdr:from>
      <xdr:col>11</xdr:col>
      <xdr:colOff>152400</xdr:colOff>
      <xdr:row>0</xdr:row>
      <xdr:rowOff>12700</xdr:rowOff>
    </xdr:from>
    <xdr:to>
      <xdr:col>15</xdr:col>
      <xdr:colOff>19050</xdr:colOff>
      <xdr:row>2</xdr:row>
      <xdr:rowOff>349250</xdr:rowOff>
    </xdr:to>
    <xdr:pic>
      <xdr:nvPicPr>
        <xdr:cNvPr id="140999" name="Imagem 27">
          <a:extLst>
            <a:ext uri="{FF2B5EF4-FFF2-40B4-BE49-F238E27FC236}">
              <a16:creationId xmlns:a16="http://schemas.microsoft.com/office/drawing/2014/main" id="{3B7353A6-DD61-4D82-B7FA-396DF4EB83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9950" y="12700"/>
          <a:ext cx="24320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393700</xdr:colOff>
      <xdr:row>3</xdr:row>
      <xdr:rowOff>127000</xdr:rowOff>
    </xdr:from>
    <xdr:to>
      <xdr:col>10</xdr:col>
      <xdr:colOff>628650</xdr:colOff>
      <xdr:row>6</xdr:row>
      <xdr:rowOff>127000</xdr:rowOff>
    </xdr:to>
    <xdr:grpSp>
      <xdr:nvGrpSpPr>
        <xdr:cNvPr id="141000" name="Grupo 5">
          <a:hlinkClick xmlns:r="http://schemas.openxmlformats.org/officeDocument/2006/relationships" r:id="rId3"/>
          <a:extLst>
            <a:ext uri="{FF2B5EF4-FFF2-40B4-BE49-F238E27FC236}">
              <a16:creationId xmlns:a16="http://schemas.microsoft.com/office/drawing/2014/main" id="{7F1C2D72-3CEC-4810-A6B9-3F65FD2DEC5F}"/>
            </a:ext>
          </a:extLst>
        </xdr:cNvPr>
        <xdr:cNvGrpSpPr>
          <a:grpSpLocks/>
        </xdr:cNvGrpSpPr>
      </xdr:nvGrpSpPr>
      <xdr:grpSpPr bwMode="auto">
        <a:xfrm>
          <a:off x="7045325" y="1143000"/>
          <a:ext cx="1282700" cy="508000"/>
          <a:chOff x="8162924" y="285750"/>
          <a:chExt cx="1209676" cy="638175"/>
        </a:xfrm>
      </xdr:grpSpPr>
      <xdr:sp macro="" textlink="">
        <xdr:nvSpPr>
          <xdr:cNvPr id="141001" name="Seta para a esquerda 8">
            <a:extLst>
              <a:ext uri="{FF2B5EF4-FFF2-40B4-BE49-F238E27FC236}">
                <a16:creationId xmlns:a16="http://schemas.microsoft.com/office/drawing/2014/main" id="{8036A35A-CCFE-4E92-A34A-0D9E4002FE61}"/>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9" name="CaixaDeTexto 28">
            <a:hlinkClick xmlns:r="http://schemas.openxmlformats.org/officeDocument/2006/relationships" r:id="rId4"/>
            <a:extLst>
              <a:ext uri="{FF2B5EF4-FFF2-40B4-BE49-F238E27FC236}">
                <a16:creationId xmlns:a16="http://schemas.microsoft.com/office/drawing/2014/main" id="{9855D67B-BD00-4356-BAD0-906FF2EBC5BD}"/>
              </a:ext>
            </a:extLst>
          </xdr:cNvPr>
          <xdr:cNvSpPr txBox="1"/>
        </xdr:nvSpPr>
        <xdr:spPr>
          <a:xfrm>
            <a:off x="9749875" y="463470"/>
            <a:ext cx="814435" cy="258501"/>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0</xdr:rowOff>
    </xdr:from>
    <xdr:to>
      <xdr:col>16</xdr:col>
      <xdr:colOff>279400</xdr:colOff>
      <xdr:row>2</xdr:row>
      <xdr:rowOff>514350</xdr:rowOff>
    </xdr:to>
    <xdr:sp macro="" textlink="">
      <xdr:nvSpPr>
        <xdr:cNvPr id="151865" name="Retângulo 6">
          <a:extLst>
            <a:ext uri="{FF2B5EF4-FFF2-40B4-BE49-F238E27FC236}">
              <a16:creationId xmlns:a16="http://schemas.microsoft.com/office/drawing/2014/main" id="{849FF9FC-8579-4DAF-BC1D-0CEE5EFFC080}"/>
            </a:ext>
          </a:extLst>
        </xdr:cNvPr>
        <xdr:cNvSpPr>
          <a:spLocks noChangeArrowheads="1"/>
        </xdr:cNvSpPr>
      </xdr:nvSpPr>
      <xdr:spPr bwMode="auto">
        <a:xfrm>
          <a:off x="12700" y="0"/>
          <a:ext cx="5727700" cy="8318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126365</xdr:colOff>
      <xdr:row>1</xdr:row>
      <xdr:rowOff>19050</xdr:rowOff>
    </xdr:from>
    <xdr:ext cx="2661521" cy="376827"/>
    <xdr:sp macro="" textlink="">
      <xdr:nvSpPr>
        <xdr:cNvPr id="3" name="Text Box 1">
          <a:extLst>
            <a:ext uri="{FF2B5EF4-FFF2-40B4-BE49-F238E27FC236}">
              <a16:creationId xmlns:a16="http://schemas.microsoft.com/office/drawing/2014/main" id="{25994706-4DD9-4DB9-87F1-9E5744875561}"/>
            </a:ext>
          </a:extLst>
        </xdr:cNvPr>
        <xdr:cNvSpPr txBox="1">
          <a:spLocks noChangeArrowheads="1"/>
        </xdr:cNvSpPr>
      </xdr:nvSpPr>
      <xdr:spPr bwMode="auto">
        <a:xfrm>
          <a:off x="262890" y="192088"/>
          <a:ext cx="2619179" cy="353943"/>
        </a:xfrm>
        <a:prstGeom prst="rect">
          <a:avLst/>
        </a:prstGeom>
        <a:noFill/>
        <a:ln w="9525">
          <a:noFill/>
          <a:miter lim="800000"/>
          <a:headEnd/>
          <a:tailEnd/>
        </a:ln>
      </xdr:spPr>
      <xdr:txBody>
        <a:bodyPr wrap="none" lIns="45720" tIns="45720" rIns="0" bIns="0" anchor="t" upright="1">
          <a:spAutoFit/>
        </a:bodyPr>
        <a:lstStyle/>
        <a:p>
          <a:pPr rtl="0"/>
          <a:r>
            <a:rPr lang="en-US" sz="2000" b="1" i="0" baseline="0">
              <a:solidFill>
                <a:schemeClr val="bg1"/>
              </a:solidFill>
              <a:effectLst/>
              <a:latin typeface="Barlow" panose="00000500000000000000" pitchFamily="2" charset="0"/>
              <a:ea typeface="+mn-ea"/>
              <a:cs typeface="+mn-cs"/>
            </a:rPr>
            <a:t>3. Production Capacity</a:t>
          </a:r>
          <a:endParaRPr lang="pt-BR" sz="2000">
            <a:solidFill>
              <a:schemeClr val="bg1"/>
            </a:solidFill>
            <a:effectLst/>
            <a:latin typeface="Barlow" panose="00000500000000000000" pitchFamily="2" charset="0"/>
          </a:endParaRPr>
        </a:p>
      </xdr:txBody>
    </xdr:sp>
    <xdr:clientData/>
  </xdr:oneCellAnchor>
  <xdr:twoCellAnchor editAs="oneCell">
    <xdr:from>
      <xdr:col>16</xdr:col>
      <xdr:colOff>247650</xdr:colOff>
      <xdr:row>0</xdr:row>
      <xdr:rowOff>0</xdr:rowOff>
    </xdr:from>
    <xdr:to>
      <xdr:col>20</xdr:col>
      <xdr:colOff>622301</xdr:colOff>
      <xdr:row>2</xdr:row>
      <xdr:rowOff>501650</xdr:rowOff>
    </xdr:to>
    <xdr:pic>
      <xdr:nvPicPr>
        <xdr:cNvPr id="151867" name="Imagem 14">
          <a:extLst>
            <a:ext uri="{FF2B5EF4-FFF2-40B4-BE49-F238E27FC236}">
              <a16:creationId xmlns:a16="http://schemas.microsoft.com/office/drawing/2014/main" id="{2E68E4E8-C80C-4BE8-9EAB-9E4FEF8A4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8650" y="0"/>
          <a:ext cx="29400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xdr:row>
      <xdr:rowOff>0</xdr:rowOff>
    </xdr:from>
    <xdr:to>
      <xdr:col>18</xdr:col>
      <xdr:colOff>628650</xdr:colOff>
      <xdr:row>7</xdr:row>
      <xdr:rowOff>120650</xdr:rowOff>
    </xdr:to>
    <xdr:grpSp>
      <xdr:nvGrpSpPr>
        <xdr:cNvPr id="151868" name="Grupo 5">
          <a:hlinkClick xmlns:r="http://schemas.openxmlformats.org/officeDocument/2006/relationships" r:id="rId2"/>
          <a:extLst>
            <a:ext uri="{FF2B5EF4-FFF2-40B4-BE49-F238E27FC236}">
              <a16:creationId xmlns:a16="http://schemas.microsoft.com/office/drawing/2014/main" id="{05AD125E-370E-495B-A6DF-F0BACDDA335D}"/>
            </a:ext>
          </a:extLst>
        </xdr:cNvPr>
        <xdr:cNvGrpSpPr>
          <a:grpSpLocks/>
        </xdr:cNvGrpSpPr>
      </xdr:nvGrpSpPr>
      <xdr:grpSpPr bwMode="auto">
        <a:xfrm>
          <a:off x="5455708" y="1301750"/>
          <a:ext cx="1268942" cy="628650"/>
          <a:chOff x="8162924" y="285750"/>
          <a:chExt cx="1209676" cy="638175"/>
        </a:xfrm>
      </xdr:grpSpPr>
      <xdr:sp macro="" textlink="">
        <xdr:nvSpPr>
          <xdr:cNvPr id="151869" name="Seta para a esquerda 3">
            <a:extLst>
              <a:ext uri="{FF2B5EF4-FFF2-40B4-BE49-F238E27FC236}">
                <a16:creationId xmlns:a16="http://schemas.microsoft.com/office/drawing/2014/main" id="{7394FCA0-9777-4F26-B146-F5BCD5E2D2A6}"/>
              </a:ext>
            </a:extLst>
          </xdr:cNvPr>
          <xdr:cNvSpPr>
            <a:spLocks noChangeArrowheads="1"/>
          </xdr:cNvSpPr>
        </xdr:nvSpPr>
        <xdr:spPr bwMode="auto">
          <a:xfrm>
            <a:off x="10241853" y="355285"/>
            <a:ext cx="1632525" cy="579320"/>
          </a:xfrm>
          <a:prstGeom prst="leftArrow">
            <a:avLst>
              <a:gd name="adj1" fmla="val 50000"/>
              <a:gd name="adj2" fmla="val 5000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4091BAD5-4F3E-4A38-87AD-BCA5274BC46F}"/>
              </a:ext>
            </a:extLst>
          </xdr:cNvPr>
          <xdr:cNvSpPr txBox="1"/>
        </xdr:nvSpPr>
        <xdr:spPr>
          <a:xfrm>
            <a:off x="10745582" y="524260"/>
            <a:ext cx="1046370" cy="2062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Voltar</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0</xdr:colOff>
      <xdr:row>4</xdr:row>
      <xdr:rowOff>6350</xdr:rowOff>
    </xdr:to>
    <xdr:sp macro="" textlink="">
      <xdr:nvSpPr>
        <xdr:cNvPr id="142720" name="Retângulo 6">
          <a:extLst>
            <a:ext uri="{FF2B5EF4-FFF2-40B4-BE49-F238E27FC236}">
              <a16:creationId xmlns:a16="http://schemas.microsoft.com/office/drawing/2014/main" id="{3F203241-59C5-443E-B136-C48C9C7547AB}"/>
            </a:ext>
          </a:extLst>
        </xdr:cNvPr>
        <xdr:cNvSpPr>
          <a:spLocks noChangeArrowheads="1"/>
        </xdr:cNvSpPr>
      </xdr:nvSpPr>
      <xdr:spPr bwMode="auto">
        <a:xfrm>
          <a:off x="0" y="0"/>
          <a:ext cx="208915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132080</xdr:colOff>
      <xdr:row>1</xdr:row>
      <xdr:rowOff>38100</xdr:rowOff>
    </xdr:from>
    <xdr:ext cx="1755417" cy="412613"/>
    <xdr:sp macro="" textlink="">
      <xdr:nvSpPr>
        <xdr:cNvPr id="4098" name="Text Box 2">
          <a:extLst>
            <a:ext uri="{FF2B5EF4-FFF2-40B4-BE49-F238E27FC236}">
              <a16:creationId xmlns:a16="http://schemas.microsoft.com/office/drawing/2014/main" id="{86CF748A-1BA4-476A-8A85-4FE1545643FF}"/>
            </a:ext>
          </a:extLst>
        </xdr:cNvPr>
        <xdr:cNvSpPr txBox="1">
          <a:spLocks noChangeArrowheads="1"/>
        </xdr:cNvSpPr>
      </xdr:nvSpPr>
      <xdr:spPr bwMode="auto">
        <a:xfrm>
          <a:off x="132080" y="209062"/>
          <a:ext cx="1755417"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4. Production</a:t>
          </a:r>
        </a:p>
      </xdr:txBody>
    </xdr:sp>
    <xdr:clientData/>
  </xdr:oneCellAnchor>
  <xdr:twoCellAnchor editAs="oneCell">
    <xdr:from>
      <xdr:col>50</xdr:col>
      <xdr:colOff>628650</xdr:colOff>
      <xdr:row>0</xdr:row>
      <xdr:rowOff>0</xdr:rowOff>
    </xdr:from>
    <xdr:to>
      <xdr:col>57</xdr:col>
      <xdr:colOff>552450</xdr:colOff>
      <xdr:row>4</xdr:row>
      <xdr:rowOff>6350</xdr:rowOff>
    </xdr:to>
    <xdr:pic>
      <xdr:nvPicPr>
        <xdr:cNvPr id="142722" name="Imagem 27">
          <a:extLst>
            <a:ext uri="{FF2B5EF4-FFF2-40B4-BE49-F238E27FC236}">
              <a16:creationId xmlns:a16="http://schemas.microsoft.com/office/drawing/2014/main" id="{3AE9ED74-6944-4301-B07D-9DA0D4FCFF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9150" y="0"/>
          <a:ext cx="24765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363468</xdr:colOff>
      <xdr:row>4</xdr:row>
      <xdr:rowOff>218881</xdr:rowOff>
    </xdr:from>
    <xdr:to>
      <xdr:col>65</xdr:col>
      <xdr:colOff>272587</xdr:colOff>
      <xdr:row>7</xdr:row>
      <xdr:rowOff>127782</xdr:rowOff>
    </xdr:to>
    <xdr:grpSp>
      <xdr:nvGrpSpPr>
        <xdr:cNvPr id="142723" name="Grupo 5">
          <a:hlinkClick xmlns:r="http://schemas.openxmlformats.org/officeDocument/2006/relationships" r:id="rId2"/>
          <a:extLst>
            <a:ext uri="{FF2B5EF4-FFF2-40B4-BE49-F238E27FC236}">
              <a16:creationId xmlns:a16="http://schemas.microsoft.com/office/drawing/2014/main" id="{5030A49E-E6E7-4A9F-A0CE-293ED9C710A3}"/>
            </a:ext>
          </a:extLst>
        </xdr:cNvPr>
        <xdr:cNvGrpSpPr>
          <a:grpSpLocks/>
        </xdr:cNvGrpSpPr>
      </xdr:nvGrpSpPr>
      <xdr:grpSpPr bwMode="auto">
        <a:xfrm>
          <a:off x="5649843" y="896214"/>
          <a:ext cx="3750869" cy="533318"/>
          <a:chOff x="9420512" y="296980"/>
          <a:chExt cx="1338117" cy="635528"/>
        </a:xfrm>
      </xdr:grpSpPr>
      <xdr:sp macro="" textlink="">
        <xdr:nvSpPr>
          <xdr:cNvPr id="142724" name="Seta para a esquerda 8">
            <a:extLst>
              <a:ext uri="{FF2B5EF4-FFF2-40B4-BE49-F238E27FC236}">
                <a16:creationId xmlns:a16="http://schemas.microsoft.com/office/drawing/2014/main" id="{11693B2F-2638-4B78-8608-B8BDCB0F9ACF}"/>
              </a:ext>
            </a:extLst>
          </xdr:cNvPr>
          <xdr:cNvSpPr>
            <a:spLocks noChangeArrowheads="1"/>
          </xdr:cNvSpPr>
        </xdr:nvSpPr>
        <xdr:spPr bwMode="auto">
          <a:xfrm>
            <a:off x="9420512"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FE719C7E-ABA4-44BA-84BD-E39E0305B4C6}"/>
              </a:ext>
            </a:extLst>
          </xdr:cNvPr>
          <xdr:cNvSpPr txBox="1"/>
        </xdr:nvSpPr>
        <xdr:spPr>
          <a:xfrm>
            <a:off x="9872011" y="475683"/>
            <a:ext cx="816249" cy="235517"/>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53</xdr:col>
      <xdr:colOff>19050</xdr:colOff>
      <xdr:row>4</xdr:row>
      <xdr:rowOff>76200</xdr:rowOff>
    </xdr:to>
    <xdr:sp macro="" textlink="">
      <xdr:nvSpPr>
        <xdr:cNvPr id="143744" name="Retângulo 6">
          <a:extLst>
            <a:ext uri="{FF2B5EF4-FFF2-40B4-BE49-F238E27FC236}">
              <a16:creationId xmlns:a16="http://schemas.microsoft.com/office/drawing/2014/main" id="{84C97850-3693-4E68-9AC3-71C263C64BC2}"/>
            </a:ext>
          </a:extLst>
        </xdr:cNvPr>
        <xdr:cNvSpPr>
          <a:spLocks noChangeArrowheads="1"/>
        </xdr:cNvSpPr>
      </xdr:nvSpPr>
      <xdr:spPr bwMode="auto">
        <a:xfrm>
          <a:off x="0" y="0"/>
          <a:ext cx="2724150" cy="7620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104775</xdr:colOff>
      <xdr:row>0</xdr:row>
      <xdr:rowOff>130810</xdr:rowOff>
    </xdr:from>
    <xdr:ext cx="1696105" cy="412613"/>
    <xdr:sp macro="" textlink="">
      <xdr:nvSpPr>
        <xdr:cNvPr id="6153" name="Text Box 9">
          <a:extLst>
            <a:ext uri="{FF2B5EF4-FFF2-40B4-BE49-F238E27FC236}">
              <a16:creationId xmlns:a16="http://schemas.microsoft.com/office/drawing/2014/main" id="{A69A7F85-327A-4CFD-BAF2-36385445B619}"/>
            </a:ext>
          </a:extLst>
        </xdr:cNvPr>
        <xdr:cNvSpPr txBox="1">
          <a:spLocks noChangeArrowheads="1"/>
        </xdr:cNvSpPr>
      </xdr:nvSpPr>
      <xdr:spPr bwMode="auto">
        <a:xfrm>
          <a:off x="104775" y="130810"/>
          <a:ext cx="1696105"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5. Shipments</a:t>
          </a:r>
        </a:p>
      </xdr:txBody>
    </xdr:sp>
    <xdr:clientData/>
  </xdr:oneCellAnchor>
  <xdr:twoCellAnchor editAs="oneCell">
    <xdr:from>
      <xdr:col>53</xdr:col>
      <xdr:colOff>12700</xdr:colOff>
      <xdr:row>0</xdr:row>
      <xdr:rowOff>12700</xdr:rowOff>
    </xdr:from>
    <xdr:to>
      <xdr:col>59</xdr:col>
      <xdr:colOff>88901</xdr:colOff>
      <xdr:row>4</xdr:row>
      <xdr:rowOff>76200</xdr:rowOff>
    </xdr:to>
    <xdr:pic>
      <xdr:nvPicPr>
        <xdr:cNvPr id="143746" name="Imagem 27">
          <a:extLst>
            <a:ext uri="{FF2B5EF4-FFF2-40B4-BE49-F238E27FC236}">
              <a16:creationId xmlns:a16="http://schemas.microsoft.com/office/drawing/2014/main" id="{1A834DEC-9A1D-48C0-8D54-9F49BEE5A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150" y="12700"/>
          <a:ext cx="26543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61</xdr:col>
      <xdr:colOff>118002</xdr:colOff>
      <xdr:row>5</xdr:row>
      <xdr:rowOff>90232</xdr:rowOff>
    </xdr:from>
    <xdr:to>
      <xdr:col>65</xdr:col>
      <xdr:colOff>103072</xdr:colOff>
      <xdr:row>7</xdr:row>
      <xdr:rowOff>151921</xdr:rowOff>
    </xdr:to>
    <xdr:grpSp>
      <xdr:nvGrpSpPr>
        <xdr:cNvPr id="143747" name="Grupo 5">
          <a:hlinkClick xmlns:r="http://schemas.openxmlformats.org/officeDocument/2006/relationships" r:id="rId2"/>
          <a:extLst>
            <a:ext uri="{FF2B5EF4-FFF2-40B4-BE49-F238E27FC236}">
              <a16:creationId xmlns:a16="http://schemas.microsoft.com/office/drawing/2014/main" id="{D6D3D135-9137-4AEF-AC49-066C52B015F6}"/>
            </a:ext>
          </a:extLst>
        </xdr:cNvPr>
        <xdr:cNvGrpSpPr>
          <a:grpSpLocks/>
        </xdr:cNvGrpSpPr>
      </xdr:nvGrpSpPr>
      <xdr:grpSpPr bwMode="auto">
        <a:xfrm>
          <a:off x="34229047" y="1019641"/>
          <a:ext cx="2548161" cy="436916"/>
          <a:chOff x="9624615" y="296980"/>
          <a:chExt cx="1338117" cy="635528"/>
        </a:xfrm>
      </xdr:grpSpPr>
      <xdr:sp macro="" textlink="">
        <xdr:nvSpPr>
          <xdr:cNvPr id="143748" name="Seta para a esquerda 8">
            <a:extLst>
              <a:ext uri="{FF2B5EF4-FFF2-40B4-BE49-F238E27FC236}">
                <a16:creationId xmlns:a16="http://schemas.microsoft.com/office/drawing/2014/main" id="{5AC97F94-75D3-42B2-8E79-7D1AF4BDC1C3}"/>
              </a:ext>
            </a:extLst>
          </xdr:cNvPr>
          <xdr:cNvSpPr>
            <a:spLocks noChangeArrowheads="1"/>
          </xdr:cNvSpPr>
        </xdr:nvSpPr>
        <xdr:spPr bwMode="auto">
          <a:xfrm>
            <a:off x="962461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8BA740DE-B911-4EA2-B64A-B52125A8D1C2}"/>
              </a:ext>
            </a:extLst>
          </xdr:cNvPr>
          <xdr:cNvSpPr txBox="1"/>
        </xdr:nvSpPr>
        <xdr:spPr>
          <a:xfrm>
            <a:off x="10067345" y="470729"/>
            <a:ext cx="823113" cy="24047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12700</xdr:colOff>
      <xdr:row>3</xdr:row>
      <xdr:rowOff>0</xdr:rowOff>
    </xdr:to>
    <xdr:sp macro="" textlink="">
      <xdr:nvSpPr>
        <xdr:cNvPr id="144768" name="Retângulo 6">
          <a:extLst>
            <a:ext uri="{FF2B5EF4-FFF2-40B4-BE49-F238E27FC236}">
              <a16:creationId xmlns:a16="http://schemas.microsoft.com/office/drawing/2014/main" id="{D117ED10-556A-4B06-8C24-1F45AFE5394C}"/>
            </a:ext>
          </a:extLst>
        </xdr:cNvPr>
        <xdr:cNvSpPr>
          <a:spLocks noChangeArrowheads="1"/>
        </xdr:cNvSpPr>
      </xdr:nvSpPr>
      <xdr:spPr bwMode="auto">
        <a:xfrm>
          <a:off x="0" y="0"/>
          <a:ext cx="1860550" cy="7302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89535</xdr:colOff>
      <xdr:row>1</xdr:row>
      <xdr:rowOff>52705</xdr:rowOff>
    </xdr:from>
    <xdr:ext cx="1607748" cy="350032"/>
    <xdr:sp macro="" textlink="">
      <xdr:nvSpPr>
        <xdr:cNvPr id="9228" name="Text Box 12">
          <a:extLst>
            <a:ext uri="{FF2B5EF4-FFF2-40B4-BE49-F238E27FC236}">
              <a16:creationId xmlns:a16="http://schemas.microsoft.com/office/drawing/2014/main" id="{351AA45C-98BA-42D6-A3A5-3382D4403C85}"/>
            </a:ext>
          </a:extLst>
        </xdr:cNvPr>
        <xdr:cNvSpPr txBox="1">
          <a:spLocks noChangeArrowheads="1"/>
        </xdr:cNvSpPr>
      </xdr:nvSpPr>
      <xdr:spPr bwMode="auto">
        <a:xfrm>
          <a:off x="89535" y="222038"/>
          <a:ext cx="1607748"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6. Investments</a:t>
          </a:r>
        </a:p>
      </xdr:txBody>
    </xdr:sp>
    <xdr:clientData/>
  </xdr:oneCellAnchor>
  <xdr:twoCellAnchor editAs="oneCell">
    <xdr:from>
      <xdr:col>53</xdr:col>
      <xdr:colOff>641350</xdr:colOff>
      <xdr:row>0</xdr:row>
      <xdr:rowOff>0</xdr:rowOff>
    </xdr:from>
    <xdr:to>
      <xdr:col>61</xdr:col>
      <xdr:colOff>19050</xdr:colOff>
      <xdr:row>3</xdr:row>
      <xdr:rowOff>12700</xdr:rowOff>
    </xdr:to>
    <xdr:pic>
      <xdr:nvPicPr>
        <xdr:cNvPr id="144770" name="Imagem 27">
          <a:extLst>
            <a:ext uri="{FF2B5EF4-FFF2-40B4-BE49-F238E27FC236}">
              <a16:creationId xmlns:a16="http://schemas.microsoft.com/office/drawing/2014/main" id="{5B6B5B6A-781A-4B90-9C06-CA8A9296B3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0550" y="0"/>
          <a:ext cx="2584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62</xdr:col>
      <xdr:colOff>253109</xdr:colOff>
      <xdr:row>3</xdr:row>
      <xdr:rowOff>90986</xdr:rowOff>
    </xdr:from>
    <xdr:to>
      <xdr:col>65</xdr:col>
      <xdr:colOff>13623</xdr:colOff>
      <xdr:row>6</xdr:row>
      <xdr:rowOff>44547</xdr:rowOff>
    </xdr:to>
    <xdr:grpSp>
      <xdr:nvGrpSpPr>
        <xdr:cNvPr id="144771" name="Grupo 5">
          <a:hlinkClick xmlns:r="http://schemas.openxmlformats.org/officeDocument/2006/relationships" r:id="rId2"/>
          <a:extLst>
            <a:ext uri="{FF2B5EF4-FFF2-40B4-BE49-F238E27FC236}">
              <a16:creationId xmlns:a16="http://schemas.microsoft.com/office/drawing/2014/main" id="{003183AC-FEAF-48C7-AFEE-C459BB513EED}"/>
            </a:ext>
          </a:extLst>
        </xdr:cNvPr>
        <xdr:cNvGrpSpPr>
          <a:grpSpLocks/>
        </xdr:cNvGrpSpPr>
      </xdr:nvGrpSpPr>
      <xdr:grpSpPr bwMode="auto">
        <a:xfrm>
          <a:off x="5333109" y="829174"/>
          <a:ext cx="1689327" cy="477436"/>
          <a:chOff x="9654825" y="296980"/>
          <a:chExt cx="1338117" cy="635528"/>
        </a:xfrm>
      </xdr:grpSpPr>
      <xdr:sp macro="" textlink="">
        <xdr:nvSpPr>
          <xdr:cNvPr id="144772" name="Seta para a esquerda 8">
            <a:extLst>
              <a:ext uri="{FF2B5EF4-FFF2-40B4-BE49-F238E27FC236}">
                <a16:creationId xmlns:a16="http://schemas.microsoft.com/office/drawing/2014/main" id="{2257B7B0-ADE8-48D4-A5EA-FC87D7E15140}"/>
              </a:ext>
            </a:extLst>
          </xdr:cNvPr>
          <xdr:cNvSpPr>
            <a:spLocks noChangeArrowheads="1"/>
          </xdr:cNvSpPr>
        </xdr:nvSpPr>
        <xdr:spPr bwMode="auto">
          <a:xfrm>
            <a:off x="965482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044D5374-3B28-449D-9E1A-F7D9BEE8C718}"/>
              </a:ext>
            </a:extLst>
          </xdr:cNvPr>
          <xdr:cNvSpPr txBox="1"/>
        </xdr:nvSpPr>
        <xdr:spPr>
          <a:xfrm>
            <a:off x="10114047" y="470484"/>
            <a:ext cx="811491" cy="25191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12700</xdr:rowOff>
    </xdr:from>
    <xdr:to>
      <xdr:col>59</xdr:col>
      <xdr:colOff>31750</xdr:colOff>
      <xdr:row>5</xdr:row>
      <xdr:rowOff>6350</xdr:rowOff>
    </xdr:to>
    <xdr:sp macro="" textlink="">
      <xdr:nvSpPr>
        <xdr:cNvPr id="145794" name="Retângulo 6">
          <a:extLst>
            <a:ext uri="{FF2B5EF4-FFF2-40B4-BE49-F238E27FC236}">
              <a16:creationId xmlns:a16="http://schemas.microsoft.com/office/drawing/2014/main" id="{ECE4F022-5F18-4D7B-85B7-FB890F73C0FD}"/>
            </a:ext>
          </a:extLst>
        </xdr:cNvPr>
        <xdr:cNvSpPr>
          <a:spLocks noChangeArrowheads="1"/>
        </xdr:cNvSpPr>
      </xdr:nvSpPr>
      <xdr:spPr bwMode="auto">
        <a:xfrm>
          <a:off x="19050" y="12700"/>
          <a:ext cx="6788150" cy="8509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116205</xdr:colOff>
      <xdr:row>1</xdr:row>
      <xdr:rowOff>56661</xdr:rowOff>
    </xdr:from>
    <xdr:ext cx="1788695" cy="350032"/>
    <xdr:sp macro="" textlink="">
      <xdr:nvSpPr>
        <xdr:cNvPr id="12300" name="Text Box 12">
          <a:extLst>
            <a:ext uri="{FF2B5EF4-FFF2-40B4-BE49-F238E27FC236}">
              <a16:creationId xmlns:a16="http://schemas.microsoft.com/office/drawing/2014/main" id="{CF4E5E99-DF04-4124-B6D3-DCA7A41253A9}"/>
            </a:ext>
          </a:extLst>
        </xdr:cNvPr>
        <xdr:cNvSpPr txBox="1">
          <a:spLocks noChangeArrowheads="1"/>
        </xdr:cNvSpPr>
      </xdr:nvSpPr>
      <xdr:spPr bwMode="auto">
        <a:xfrm>
          <a:off x="222038" y="225994"/>
          <a:ext cx="1788695"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7. </a:t>
          </a:r>
          <a:r>
            <a:rPr lang="pt-BR" sz="2000" b="1" i="0" u="none" strike="noStrike" baseline="0">
              <a:solidFill>
                <a:schemeClr val="bg1"/>
              </a:solidFill>
              <a:latin typeface="Barlow"/>
              <a:ea typeface="+mn-ea"/>
              <a:cs typeface="+mn-cs"/>
            </a:rPr>
            <a:t>Indebtedness</a:t>
          </a:r>
          <a:r>
            <a:rPr lang="pt-BR" sz="2000" b="1" i="0" u="none" strike="noStrike" baseline="0">
              <a:solidFill>
                <a:schemeClr val="bg1"/>
              </a:solidFill>
              <a:latin typeface="Barlow"/>
            </a:rPr>
            <a:t> </a:t>
          </a:r>
        </a:p>
      </xdr:txBody>
    </xdr:sp>
    <xdr:clientData/>
  </xdr:oneCellAnchor>
  <xdr:twoCellAnchor editAs="oneCell">
    <xdr:from>
      <xdr:col>59</xdr:col>
      <xdr:colOff>31750</xdr:colOff>
      <xdr:row>0</xdr:row>
      <xdr:rowOff>0</xdr:rowOff>
    </xdr:from>
    <xdr:to>
      <xdr:col>63</xdr:col>
      <xdr:colOff>450849</xdr:colOff>
      <xdr:row>5</xdr:row>
      <xdr:rowOff>0</xdr:rowOff>
    </xdr:to>
    <xdr:pic>
      <xdr:nvPicPr>
        <xdr:cNvPr id="145796" name="Imagem 27">
          <a:extLst>
            <a:ext uri="{FF2B5EF4-FFF2-40B4-BE49-F238E27FC236}">
              <a16:creationId xmlns:a16="http://schemas.microsoft.com/office/drawing/2014/main" id="{8E19EBBF-84E2-4026-A8E4-FFDBA2147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7200" y="0"/>
          <a:ext cx="2984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276929</xdr:colOff>
      <xdr:row>5</xdr:row>
      <xdr:rowOff>147932</xdr:rowOff>
    </xdr:from>
    <xdr:to>
      <xdr:col>65</xdr:col>
      <xdr:colOff>209604</xdr:colOff>
      <xdr:row>11</xdr:row>
      <xdr:rowOff>63442</xdr:rowOff>
    </xdr:to>
    <xdr:grpSp>
      <xdr:nvGrpSpPr>
        <xdr:cNvPr id="145797" name="Grupo 5">
          <a:hlinkClick xmlns:r="http://schemas.openxmlformats.org/officeDocument/2006/relationships" r:id="rId2"/>
          <a:extLst>
            <a:ext uri="{FF2B5EF4-FFF2-40B4-BE49-F238E27FC236}">
              <a16:creationId xmlns:a16="http://schemas.microsoft.com/office/drawing/2014/main" id="{AF79D663-9B99-4FCB-AD3A-108F00C14C46}"/>
            </a:ext>
          </a:extLst>
        </xdr:cNvPr>
        <xdr:cNvGrpSpPr>
          <a:grpSpLocks/>
        </xdr:cNvGrpSpPr>
      </xdr:nvGrpSpPr>
      <xdr:grpSpPr bwMode="auto">
        <a:xfrm>
          <a:off x="7052379" y="1005182"/>
          <a:ext cx="3139425" cy="467960"/>
          <a:chOff x="9536760" y="296981"/>
          <a:chExt cx="1338117" cy="635528"/>
        </a:xfrm>
      </xdr:grpSpPr>
      <xdr:sp macro="" textlink="">
        <xdr:nvSpPr>
          <xdr:cNvPr id="145798" name="Seta para a esquerda 8">
            <a:extLst>
              <a:ext uri="{FF2B5EF4-FFF2-40B4-BE49-F238E27FC236}">
                <a16:creationId xmlns:a16="http://schemas.microsoft.com/office/drawing/2014/main" id="{3C86541A-7254-449C-ABA7-64C05BDE373F}"/>
              </a:ext>
            </a:extLst>
          </xdr:cNvPr>
          <xdr:cNvSpPr>
            <a:spLocks noChangeArrowheads="1"/>
          </xdr:cNvSpPr>
        </xdr:nvSpPr>
        <xdr:spPr bwMode="auto">
          <a:xfrm>
            <a:off x="9536760" y="296981"/>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5" name="CaixaDeTexto 24">
            <a:hlinkClick xmlns:r="http://schemas.openxmlformats.org/officeDocument/2006/relationships" r:id="rId3"/>
            <a:extLst>
              <a:ext uri="{FF2B5EF4-FFF2-40B4-BE49-F238E27FC236}">
                <a16:creationId xmlns:a16="http://schemas.microsoft.com/office/drawing/2014/main" id="{A05A806E-D720-469E-A409-15B364591DCD}"/>
              </a:ext>
            </a:extLst>
          </xdr:cNvPr>
          <xdr:cNvSpPr txBox="1"/>
        </xdr:nvSpPr>
        <xdr:spPr>
          <a:xfrm>
            <a:off x="9975551" y="466854"/>
            <a:ext cx="825394" cy="250096"/>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0</xdr:row>
      <xdr:rowOff>0</xdr:rowOff>
    </xdr:from>
    <xdr:to>
      <xdr:col>13</xdr:col>
      <xdr:colOff>654050</xdr:colOff>
      <xdr:row>4</xdr:row>
      <xdr:rowOff>12700</xdr:rowOff>
    </xdr:to>
    <xdr:sp macro="" textlink="">
      <xdr:nvSpPr>
        <xdr:cNvPr id="146882" name="Retângulo 6">
          <a:extLst>
            <a:ext uri="{FF2B5EF4-FFF2-40B4-BE49-F238E27FC236}">
              <a16:creationId xmlns:a16="http://schemas.microsoft.com/office/drawing/2014/main" id="{632D7952-1143-4692-B4F4-57E86B48A948}"/>
            </a:ext>
          </a:extLst>
        </xdr:cNvPr>
        <xdr:cNvSpPr>
          <a:spLocks noChangeArrowheads="1"/>
        </xdr:cNvSpPr>
      </xdr:nvSpPr>
      <xdr:spPr bwMode="auto">
        <a:xfrm>
          <a:off x="12700" y="0"/>
          <a:ext cx="48895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1193800</xdr:colOff>
      <xdr:row>0</xdr:row>
      <xdr:rowOff>0</xdr:rowOff>
    </xdr:from>
    <xdr:to>
      <xdr:col>62</xdr:col>
      <xdr:colOff>19050</xdr:colOff>
      <xdr:row>4</xdr:row>
      <xdr:rowOff>12700</xdr:rowOff>
    </xdr:to>
    <xdr:sp macro="" textlink="">
      <xdr:nvSpPr>
        <xdr:cNvPr id="146883" name="Retângulo 6">
          <a:extLst>
            <a:ext uri="{FF2B5EF4-FFF2-40B4-BE49-F238E27FC236}">
              <a16:creationId xmlns:a16="http://schemas.microsoft.com/office/drawing/2014/main" id="{F50030A5-A682-4B62-81F6-1AC463745534}"/>
            </a:ext>
          </a:extLst>
        </xdr:cNvPr>
        <xdr:cNvSpPr>
          <a:spLocks noChangeArrowheads="1"/>
        </xdr:cNvSpPr>
      </xdr:nvSpPr>
      <xdr:spPr bwMode="auto">
        <a:xfrm>
          <a:off x="3930650" y="0"/>
          <a:ext cx="548005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60325</xdr:colOff>
      <xdr:row>1</xdr:row>
      <xdr:rowOff>53975</xdr:rowOff>
    </xdr:from>
    <xdr:ext cx="2744778" cy="371226"/>
    <xdr:sp macro="" textlink="">
      <xdr:nvSpPr>
        <xdr:cNvPr id="20485" name="Text Box 5">
          <a:extLst>
            <a:ext uri="{FF2B5EF4-FFF2-40B4-BE49-F238E27FC236}">
              <a16:creationId xmlns:a16="http://schemas.microsoft.com/office/drawing/2014/main" id="{D743A631-BEDC-4764-9C79-F687A7D02F28}"/>
            </a:ext>
          </a:extLst>
        </xdr:cNvPr>
        <xdr:cNvSpPr txBox="1">
          <a:spLocks noChangeArrowheads="1"/>
        </xdr:cNvSpPr>
      </xdr:nvSpPr>
      <xdr:spPr bwMode="auto">
        <a:xfrm>
          <a:off x="182789" y="230414"/>
          <a:ext cx="2720488" cy="344710"/>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8. Financial Statements</a:t>
          </a:r>
        </a:p>
      </xdr:txBody>
    </xdr:sp>
    <xdr:clientData/>
  </xdr:oneCellAnchor>
  <xdr:twoCellAnchor editAs="oneCell">
    <xdr:from>
      <xdr:col>62</xdr:col>
      <xdr:colOff>0</xdr:colOff>
      <xdr:row>0</xdr:row>
      <xdr:rowOff>0</xdr:rowOff>
    </xdr:from>
    <xdr:to>
      <xdr:col>66</xdr:col>
      <xdr:colOff>82550</xdr:colOff>
      <xdr:row>4</xdr:row>
      <xdr:rowOff>12700</xdr:rowOff>
    </xdr:to>
    <xdr:pic>
      <xdr:nvPicPr>
        <xdr:cNvPr id="146885" name="Imagem 27">
          <a:extLst>
            <a:ext uri="{FF2B5EF4-FFF2-40B4-BE49-F238E27FC236}">
              <a16:creationId xmlns:a16="http://schemas.microsoft.com/office/drawing/2014/main" id="{0DB3FDF6-10CB-4A1E-913E-B2A94B376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1650" y="0"/>
          <a:ext cx="26479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63</xdr:col>
      <xdr:colOff>373162</xdr:colOff>
      <xdr:row>5</xdr:row>
      <xdr:rowOff>160637</xdr:rowOff>
    </xdr:from>
    <xdr:to>
      <xdr:col>68</xdr:col>
      <xdr:colOff>318726</xdr:colOff>
      <xdr:row>8</xdr:row>
      <xdr:rowOff>82495</xdr:rowOff>
    </xdr:to>
    <xdr:grpSp>
      <xdr:nvGrpSpPr>
        <xdr:cNvPr id="146886" name="Grupo 5">
          <a:hlinkClick xmlns:r="http://schemas.openxmlformats.org/officeDocument/2006/relationships" r:id="rId2"/>
          <a:extLst>
            <a:ext uri="{FF2B5EF4-FFF2-40B4-BE49-F238E27FC236}">
              <a16:creationId xmlns:a16="http://schemas.microsoft.com/office/drawing/2014/main" id="{E0AAC6BF-124E-46A9-8F68-6D2697DF1849}"/>
            </a:ext>
          </a:extLst>
        </xdr:cNvPr>
        <xdr:cNvGrpSpPr>
          <a:grpSpLocks/>
        </xdr:cNvGrpSpPr>
      </xdr:nvGrpSpPr>
      <xdr:grpSpPr bwMode="auto">
        <a:xfrm>
          <a:off x="9136162" y="1271887"/>
          <a:ext cx="3160252" cy="461608"/>
          <a:chOff x="9587834" y="296980"/>
          <a:chExt cx="1338117" cy="635527"/>
        </a:xfrm>
      </xdr:grpSpPr>
      <xdr:sp macro="" textlink="">
        <xdr:nvSpPr>
          <xdr:cNvPr id="146887" name="Seta para a esquerda 8">
            <a:extLst>
              <a:ext uri="{FF2B5EF4-FFF2-40B4-BE49-F238E27FC236}">
                <a16:creationId xmlns:a16="http://schemas.microsoft.com/office/drawing/2014/main" id="{4C52FAFE-5146-4C3D-A6A8-694C991FD578}"/>
              </a:ext>
            </a:extLst>
          </xdr:cNvPr>
          <xdr:cNvSpPr>
            <a:spLocks noChangeArrowheads="1"/>
          </xdr:cNvSpPr>
        </xdr:nvSpPr>
        <xdr:spPr bwMode="auto">
          <a:xfrm>
            <a:off x="9587834" y="296980"/>
            <a:ext cx="1338117" cy="635527"/>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8" name="CaixaDeTexto 27">
            <a:hlinkClick xmlns:r="http://schemas.openxmlformats.org/officeDocument/2006/relationships" r:id="rId3"/>
            <a:extLst>
              <a:ext uri="{FF2B5EF4-FFF2-40B4-BE49-F238E27FC236}">
                <a16:creationId xmlns:a16="http://schemas.microsoft.com/office/drawing/2014/main" id="{D030518D-E1B9-4293-968D-81655275EBE0}"/>
              </a:ext>
            </a:extLst>
          </xdr:cNvPr>
          <xdr:cNvSpPr txBox="1"/>
        </xdr:nvSpPr>
        <xdr:spPr>
          <a:xfrm>
            <a:off x="10038483" y="469335"/>
            <a:ext cx="813635" cy="2447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1T21/2020.12%20-%20Guia%20de%20modelagem%20gerda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2020.06%20-%20Guia%20de%20modelagem%20gerda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silv141/AppData/Local/Microsoft/Windows/INetCache/Content.Outlook/10P0CM4P/Informacoes%20Pro%20Forma%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sheetData sheetId="1"/>
      <sheetData sheetId="2"/>
      <sheetData sheetId="3"/>
      <sheetData sheetId="4">
        <row r="9">
          <cell r="BD9">
            <v>3374</v>
          </cell>
        </row>
        <row r="10">
          <cell r="BD10">
            <v>1565</v>
          </cell>
        </row>
        <row r="11">
          <cell r="BD11">
            <v>1177</v>
          </cell>
        </row>
        <row r="12">
          <cell r="BD12">
            <v>184</v>
          </cell>
        </row>
        <row r="13">
          <cell r="BD13">
            <v>448</v>
          </cell>
        </row>
        <row r="17">
          <cell r="BD17">
            <v>3052</v>
          </cell>
        </row>
        <row r="18">
          <cell r="BD18">
            <v>1333</v>
          </cell>
        </row>
        <row r="19">
          <cell r="BD19">
            <v>1080</v>
          </cell>
        </row>
        <row r="20">
          <cell r="BD20">
            <v>191</v>
          </cell>
        </row>
        <row r="21">
          <cell r="BD21">
            <v>448</v>
          </cell>
        </row>
      </sheetData>
      <sheetData sheetId="5">
        <row r="9">
          <cell r="BC9">
            <v>3217</v>
          </cell>
        </row>
        <row r="10">
          <cell r="BC10">
            <v>1419</v>
          </cell>
        </row>
        <row r="11">
          <cell r="BC11">
            <v>1226</v>
          </cell>
        </row>
        <row r="12">
          <cell r="BC12">
            <v>193</v>
          </cell>
        </row>
        <row r="13">
          <cell r="BC13">
            <v>1166</v>
          </cell>
        </row>
        <row r="14">
          <cell r="BC14">
            <v>331</v>
          </cell>
        </row>
        <row r="15">
          <cell r="BC15">
            <v>407</v>
          </cell>
        </row>
        <row r="16">
          <cell r="BC16">
            <v>-106</v>
          </cell>
        </row>
      </sheetData>
      <sheetData sheetId="6">
        <row r="17">
          <cell r="BH17">
            <v>548.90899999999999</v>
          </cell>
        </row>
        <row r="18">
          <cell r="BH18">
            <v>292.48599999999999</v>
          </cell>
        </row>
        <row r="19">
          <cell r="BH19">
            <v>161.14099999999999</v>
          </cell>
        </row>
        <row r="20">
          <cell r="BH20">
            <v>23.135000000000002</v>
          </cell>
        </row>
        <row r="21">
          <cell r="BH21">
            <v>72.147000000000006</v>
          </cell>
        </row>
      </sheetData>
      <sheetData sheetId="7">
        <row r="8">
          <cell r="BF8">
            <v>1432</v>
          </cell>
        </row>
        <row r="13">
          <cell r="BF13">
            <v>16084</v>
          </cell>
        </row>
        <row r="17">
          <cell r="BF17">
            <v>17516</v>
          </cell>
        </row>
        <row r="21">
          <cell r="BF21">
            <v>7658</v>
          </cell>
        </row>
        <row r="22">
          <cell r="BF22">
            <v>4365</v>
          </cell>
        </row>
        <row r="23">
          <cell r="BF23">
            <v>3293</v>
          </cell>
        </row>
        <row r="25">
          <cell r="BF25">
            <v>9858</v>
          </cell>
        </row>
        <row r="28">
          <cell r="BF28">
            <v>4148.4049999999997</v>
          </cell>
        </row>
        <row r="29">
          <cell r="BF29">
            <v>13366.946</v>
          </cell>
        </row>
        <row r="31">
          <cell r="BF31" t="str">
            <v>-</v>
          </cell>
        </row>
      </sheetData>
      <sheetData sheetId="8">
        <row r="7">
          <cell r="BE7">
            <v>13620</v>
          </cell>
        </row>
        <row r="8">
          <cell r="BE8">
            <v>-10960</v>
          </cell>
        </row>
        <row r="9">
          <cell r="BE9">
            <v>2660</v>
          </cell>
        </row>
        <row r="10">
          <cell r="BE10">
            <v>0.19530102790014683</v>
          </cell>
        </row>
        <row r="11">
          <cell r="BE11">
            <v>-483</v>
          </cell>
        </row>
        <row r="13">
          <cell r="BE13">
            <v>24</v>
          </cell>
        </row>
        <row r="16">
          <cell r="BE16" t="str">
            <v>-</v>
          </cell>
        </row>
        <row r="17">
          <cell r="BE17">
            <v>75</v>
          </cell>
        </row>
        <row r="18">
          <cell r="BE18">
            <v>2565</v>
          </cell>
        </row>
        <row r="19">
          <cell r="BE19">
            <v>-834</v>
          </cell>
        </row>
        <row r="20">
          <cell r="BE20">
            <v>1731</v>
          </cell>
        </row>
        <row r="21">
          <cell r="BE21">
            <v>-674</v>
          </cell>
        </row>
        <row r="22">
          <cell r="BE22">
            <v>1057</v>
          </cell>
        </row>
        <row r="27">
          <cell r="BE27">
            <v>0</v>
          </cell>
        </row>
        <row r="30">
          <cell r="BE30">
            <v>0</v>
          </cell>
        </row>
        <row r="31">
          <cell r="BE31">
            <v>0</v>
          </cell>
        </row>
        <row r="33">
          <cell r="BE33">
            <v>144.84399999999999</v>
          </cell>
        </row>
        <row r="35">
          <cell r="BE35">
            <v>1201.6400000000001</v>
          </cell>
        </row>
        <row r="45">
          <cell r="BE45">
            <v>23409.453000000001</v>
          </cell>
        </row>
        <row r="46">
          <cell r="BE46">
            <v>7658.3469999999998</v>
          </cell>
        </row>
        <row r="47">
          <cell r="BE47">
            <v>3737.27</v>
          </cell>
        </row>
        <row r="48">
          <cell r="BE48">
            <v>9169.4169999999995</v>
          </cell>
        </row>
        <row r="49">
          <cell r="BE49">
            <v>2844.4189999999999</v>
          </cell>
        </row>
        <row r="50">
          <cell r="BE50">
            <v>39713.556000000004</v>
          </cell>
        </row>
        <row r="51">
          <cell r="BE51">
            <v>3393.3539999999998</v>
          </cell>
        </row>
        <row r="52">
          <cell r="BE52">
            <v>2271.6289999999999</v>
          </cell>
        </row>
        <row r="53">
          <cell r="BE53">
            <v>12103.519</v>
          </cell>
        </row>
        <row r="54">
          <cell r="BE54">
            <v>622.57799999999997</v>
          </cell>
        </row>
        <row r="55">
          <cell r="BE55">
            <v>17252.915000000001</v>
          </cell>
        </row>
        <row r="56">
          <cell r="BE56">
            <v>4069.5610000000001</v>
          </cell>
        </row>
        <row r="57">
          <cell r="BE57">
            <v>63123.009000000005</v>
          </cell>
        </row>
        <row r="60">
          <cell r="BE60">
            <v>11482.143</v>
          </cell>
        </row>
        <row r="61">
          <cell r="BE61">
            <v>5437.9530000000004</v>
          </cell>
        </row>
        <row r="62">
          <cell r="BE62">
            <v>1431.5059999999999</v>
          </cell>
        </row>
        <row r="63">
          <cell r="BE63">
            <v>4612.6840000000002</v>
          </cell>
        </row>
        <row r="64">
          <cell r="BE64">
            <v>20555.655999999999</v>
          </cell>
        </row>
        <row r="65">
          <cell r="BE65">
            <v>16083.844999999999</v>
          </cell>
        </row>
        <row r="66">
          <cell r="BE66">
            <v>61.561999999999998</v>
          </cell>
        </row>
        <row r="67">
          <cell r="BE67">
            <v>1861.231</v>
          </cell>
        </row>
        <row r="68">
          <cell r="BE68">
            <v>2549.018</v>
          </cell>
        </row>
        <row r="69">
          <cell r="BE69">
            <v>31085.21</v>
          </cell>
        </row>
        <row r="70">
          <cell r="BE70">
            <v>19249.181</v>
          </cell>
        </row>
        <row r="71">
          <cell r="BE71">
            <v>11611.09</v>
          </cell>
        </row>
        <row r="72">
          <cell r="BE72">
            <v>224.93899999999999</v>
          </cell>
        </row>
        <row r="73">
          <cell r="BE73">
            <v>63123.008999999991</v>
          </cell>
        </row>
        <row r="76">
          <cell r="BE76">
            <v>5.3921000000000001</v>
          </cell>
        </row>
        <row r="77">
          <cell r="BE77">
            <v>5.1966999999999999</v>
          </cell>
        </row>
      </sheetData>
      <sheetData sheetId="9">
        <row r="9">
          <cell r="BB9">
            <v>13620.195919049653</v>
          </cell>
        </row>
        <row r="10">
          <cell r="BB10">
            <v>2660.2054933793152</v>
          </cell>
        </row>
        <row r="11">
          <cell r="BB11">
            <v>3056</v>
          </cell>
        </row>
        <row r="12">
          <cell r="BB12">
            <v>683.83781382446455</v>
          </cell>
        </row>
        <row r="14">
          <cell r="BB14">
            <v>949.95337270749144</v>
          </cell>
        </row>
        <row r="17">
          <cell r="BB17">
            <v>5787.0281787939175</v>
          </cell>
        </row>
        <row r="18">
          <cell r="BB18">
            <v>5258</v>
          </cell>
        </row>
        <row r="19">
          <cell r="BB19">
            <v>529</v>
          </cell>
        </row>
        <row r="20">
          <cell r="BB20">
            <v>1667.6125337419144</v>
          </cell>
        </row>
        <row r="21">
          <cell r="BB21">
            <v>1790</v>
          </cell>
        </row>
        <row r="22">
          <cell r="BB22">
            <v>302.59204889038494</v>
          </cell>
        </row>
        <row r="24">
          <cell r="BB24">
            <v>1261.4517265680056</v>
          </cell>
        </row>
        <row r="27">
          <cell r="BB27">
            <v>5030.3870877474301</v>
          </cell>
        </row>
        <row r="28">
          <cell r="BB28">
            <v>391.43246525038921</v>
          </cell>
        </row>
        <row r="29">
          <cell r="BB29">
            <v>562</v>
          </cell>
        </row>
        <row r="30">
          <cell r="BB30">
            <v>228.59991582297468</v>
          </cell>
        </row>
        <row r="32">
          <cell r="BB32">
            <v>481.98970840480274</v>
          </cell>
        </row>
        <row r="35">
          <cell r="BB35">
            <v>1325.8911215057374</v>
          </cell>
        </row>
        <row r="36">
          <cell r="BB36">
            <v>351.94692022774075</v>
          </cell>
        </row>
        <row r="37">
          <cell r="BB37">
            <v>454</v>
          </cell>
        </row>
        <row r="38">
          <cell r="BB38">
            <v>38.019250297333528</v>
          </cell>
        </row>
        <row r="40">
          <cell r="BB40">
            <v>1371.6012084592144</v>
          </cell>
        </row>
        <row r="43">
          <cell r="BB43">
            <v>2060.7706466626069</v>
          </cell>
        </row>
        <row r="44">
          <cell r="BB44">
            <v>221.65784640525908</v>
          </cell>
        </row>
        <row r="45">
          <cell r="BB45">
            <v>310</v>
          </cell>
        </row>
        <row r="46">
          <cell r="BB46">
            <v>114.62659881377147</v>
          </cell>
        </row>
        <row r="48">
          <cell r="BB48">
            <v>761.67076167076164</v>
          </cell>
        </row>
        <row r="51">
          <cell r="BB51">
            <v>5.3921000000000001</v>
          </cell>
        </row>
      </sheetData>
      <sheetData sheetId="10">
        <row r="9">
          <cell r="BB9">
            <v>18.100000000000001</v>
          </cell>
        </row>
        <row r="10">
          <cell r="BB10">
            <v>5.9</v>
          </cell>
        </row>
        <row r="11">
          <cell r="BB11">
            <v>4.0999999999999996</v>
          </cell>
        </row>
        <row r="12">
          <cell r="BB12">
            <v>48.9</v>
          </cell>
        </row>
        <row r="13">
          <cell r="BB13">
            <v>13</v>
          </cell>
        </row>
        <row r="14">
          <cell r="BB14">
            <v>10.4</v>
          </cell>
        </row>
        <row r="17">
          <cell r="BB17">
            <v>16.8</v>
          </cell>
        </row>
        <row r="18">
          <cell r="BB18">
            <v>5.2</v>
          </cell>
        </row>
        <row r="19">
          <cell r="BB19">
            <v>5.3</v>
          </cell>
        </row>
        <row r="20">
          <cell r="BB20">
            <v>39.1</v>
          </cell>
        </row>
        <row r="21">
          <cell r="BB21">
            <v>24.1</v>
          </cell>
        </row>
        <row r="22">
          <cell r="BB22">
            <v>9.5</v>
          </cell>
        </row>
        <row r="25">
          <cell r="BB25">
            <v>17.8</v>
          </cell>
        </row>
        <row r="26">
          <cell r="BB26">
            <v>7.2</v>
          </cell>
        </row>
        <row r="27">
          <cell r="BB27">
            <v>2.9</v>
          </cell>
        </row>
        <row r="28">
          <cell r="BB28">
            <v>55.5</v>
          </cell>
        </row>
        <row r="29">
          <cell r="BB29">
            <v>5.9</v>
          </cell>
        </row>
        <row r="30">
          <cell r="BB30">
            <v>10.7</v>
          </cell>
        </row>
        <row r="33">
          <cell r="BB33">
            <v>13.5</v>
          </cell>
        </row>
        <row r="34">
          <cell r="BB34">
            <v>4.4000000000000004</v>
          </cell>
        </row>
        <row r="35">
          <cell r="BB35">
            <v>2.2999999999999998</v>
          </cell>
        </row>
        <row r="36">
          <cell r="BB36">
            <v>61.8</v>
          </cell>
        </row>
        <row r="37">
          <cell r="BB37">
            <v>10.8</v>
          </cell>
        </row>
        <row r="38">
          <cell r="BB38">
            <v>7.2</v>
          </cell>
        </row>
        <row r="41">
          <cell r="BB41">
            <v>22.8</v>
          </cell>
        </row>
        <row r="42">
          <cell r="BB42">
            <v>4.7</v>
          </cell>
        </row>
        <row r="43">
          <cell r="BB43">
            <v>5</v>
          </cell>
        </row>
        <row r="44">
          <cell r="BB44">
            <v>45.9</v>
          </cell>
        </row>
        <row r="45">
          <cell r="BB45">
            <v>9.1999999999999993</v>
          </cell>
        </row>
        <row r="46">
          <cell r="BB46">
            <v>12.4</v>
          </cell>
        </row>
      </sheetData>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BD8">
            <v>3867</v>
          </cell>
        </row>
        <row r="13">
          <cell r="BD13">
            <v>17110</v>
          </cell>
        </row>
        <row r="17">
          <cell r="BD17">
            <v>20997</v>
          </cell>
        </row>
        <row r="21">
          <cell r="BD21">
            <v>6548</v>
          </cell>
        </row>
        <row r="22">
          <cell r="BD22">
            <v>2881.1199999999994</v>
          </cell>
        </row>
        <row r="23">
          <cell r="BD23">
            <v>3666.8800000000006</v>
          </cell>
        </row>
        <row r="25">
          <cell r="BD25">
            <v>14429</v>
          </cell>
        </row>
        <row r="28">
          <cell r="BC28">
            <v>3063.982</v>
          </cell>
          <cell r="BD28">
            <v>3023</v>
          </cell>
        </row>
        <row r="29">
          <cell r="BC29">
            <v>16895.472000000002</v>
          </cell>
          <cell r="BD29">
            <v>17934</v>
          </cell>
        </row>
        <row r="31">
          <cell r="BC31">
            <v>69.98</v>
          </cell>
          <cell r="BD31">
            <v>20</v>
          </cell>
        </row>
      </sheetData>
      <sheetData sheetId="8" refreshError="1">
        <row r="7">
          <cell r="BC7">
            <v>8745</v>
          </cell>
        </row>
        <row r="8">
          <cell r="BC8">
            <v>-8027</v>
          </cell>
        </row>
        <row r="9">
          <cell r="BC9">
            <v>718</v>
          </cell>
        </row>
        <row r="11">
          <cell r="BC11">
            <v>-306</v>
          </cell>
        </row>
        <row r="17">
          <cell r="BC17">
            <v>-4</v>
          </cell>
        </row>
        <row r="18">
          <cell r="BC18">
            <v>776</v>
          </cell>
        </row>
        <row r="19">
          <cell r="BC19">
            <v>-330</v>
          </cell>
        </row>
        <row r="20">
          <cell r="BC20">
            <v>446</v>
          </cell>
        </row>
        <row r="21">
          <cell r="BC21">
            <v>-131</v>
          </cell>
        </row>
        <row r="22">
          <cell r="BC22">
            <v>315</v>
          </cell>
        </row>
        <row r="27">
          <cell r="BC27">
            <v>0</v>
          </cell>
        </row>
        <row r="28">
          <cell r="BC28">
            <v>0</v>
          </cell>
        </row>
        <row r="30">
          <cell r="BC30">
            <v>119</v>
          </cell>
        </row>
        <row r="31">
          <cell r="BC31">
            <v>-308</v>
          </cell>
        </row>
        <row r="33">
          <cell r="BC33">
            <v>64</v>
          </cell>
        </row>
        <row r="34">
          <cell r="BC34" t="str">
            <v>-</v>
          </cell>
        </row>
        <row r="35">
          <cell r="BC35">
            <v>191</v>
          </cell>
        </row>
        <row r="38">
          <cell r="BC38">
            <v>611</v>
          </cell>
        </row>
        <row r="39">
          <cell r="BC39">
            <v>1318</v>
          </cell>
        </row>
        <row r="40">
          <cell r="BC40">
            <v>0.15</v>
          </cell>
        </row>
      </sheetData>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Proforma"/>
      <sheetName val="Proforma por Trimestre"/>
      <sheetName val="Inform Segmento Trimestral"/>
    </sheetNames>
    <sheetDataSet>
      <sheetData sheetId="0" refreshError="1"/>
      <sheetData sheetId="1" refreshError="1">
        <row r="7">
          <cell r="D7">
            <v>4165</v>
          </cell>
          <cell r="E7">
            <v>638</v>
          </cell>
          <cell r="G7">
            <v>3527</v>
          </cell>
          <cell r="I7">
            <v>3987</v>
          </cell>
          <cell r="J7">
            <v>575</v>
          </cell>
          <cell r="L7">
            <v>3412</v>
          </cell>
          <cell r="N7">
            <v>3969</v>
          </cell>
          <cell r="O7">
            <v>548</v>
          </cell>
          <cell r="Q7">
            <v>3421</v>
          </cell>
          <cell r="S7">
            <v>3221</v>
          </cell>
          <cell r="T7">
            <v>170</v>
          </cell>
          <cell r="V7">
            <v>3051</v>
          </cell>
        </row>
        <row r="8">
          <cell r="D8">
            <v>3871</v>
          </cell>
          <cell r="E8">
            <v>811</v>
          </cell>
          <cell r="G8">
            <v>3060</v>
          </cell>
          <cell r="I8">
            <v>3835</v>
          </cell>
          <cell r="J8">
            <v>718</v>
          </cell>
          <cell r="L8">
            <v>3117</v>
          </cell>
          <cell r="N8">
            <v>3688</v>
          </cell>
          <cell r="O8">
            <v>564</v>
          </cell>
          <cell r="Q8">
            <v>3124</v>
          </cell>
          <cell r="S8">
            <v>3167</v>
          </cell>
          <cell r="T8">
            <v>196</v>
          </cell>
          <cell r="V8">
            <v>2971</v>
          </cell>
        </row>
        <row r="10">
          <cell r="D10">
            <v>10389</v>
          </cell>
          <cell r="E10">
            <v>1946</v>
          </cell>
          <cell r="G10">
            <v>8443</v>
          </cell>
          <cell r="I10">
            <v>12034</v>
          </cell>
          <cell r="J10">
            <v>2097</v>
          </cell>
          <cell r="L10">
            <v>9937</v>
          </cell>
          <cell r="N10">
            <v>12836</v>
          </cell>
          <cell r="O10">
            <v>1909</v>
          </cell>
          <cell r="Q10">
            <v>10927</v>
          </cell>
          <cell r="S10">
            <v>10900</v>
          </cell>
          <cell r="T10">
            <v>630</v>
          </cell>
          <cell r="V10">
            <v>10270</v>
          </cell>
        </row>
        <row r="11">
          <cell r="D11">
            <v>-9050</v>
          </cell>
          <cell r="E11">
            <v>-1883</v>
          </cell>
          <cell r="G11">
            <v>-7167</v>
          </cell>
          <cell r="I11">
            <v>-10390</v>
          </cell>
          <cell r="J11">
            <v>-1993</v>
          </cell>
          <cell r="L11">
            <v>-8397</v>
          </cell>
          <cell r="N11">
            <v>-10974</v>
          </cell>
          <cell r="O11">
            <v>-1797</v>
          </cell>
          <cell r="Q11">
            <v>-9177</v>
          </cell>
          <cell r="S11">
            <v>-9596</v>
          </cell>
          <cell r="T11">
            <v>-590</v>
          </cell>
          <cell r="V11">
            <v>-9006</v>
          </cell>
        </row>
        <row r="18">
          <cell r="D18">
            <v>1484</v>
          </cell>
          <cell r="E18">
            <v>74</v>
          </cell>
          <cell r="G18">
            <v>1410</v>
          </cell>
          <cell r="I18">
            <v>1756</v>
          </cell>
          <cell r="J18">
            <v>99</v>
          </cell>
          <cell r="L18">
            <v>1657</v>
          </cell>
          <cell r="N18">
            <v>2013</v>
          </cell>
          <cell r="O18">
            <v>114</v>
          </cell>
          <cell r="Q18">
            <v>1899</v>
          </cell>
          <cell r="S18">
            <v>1404</v>
          </cell>
          <cell r="T18">
            <v>31</v>
          </cell>
          <cell r="V18">
            <v>1373</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ri.gerdau.com/enu/s-6-enu.html?idioma=enu" TargetMode="External"/><Relationship Id="rId1" Type="http://schemas.openxmlformats.org/officeDocument/2006/relationships/hyperlink" Target="http://ri.gerdau.com/enu/s-6-enu.html?idioma=enu"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2:K41"/>
  <sheetViews>
    <sheetView showGridLines="0" topLeftCell="A17" zoomScale="120" zoomScaleNormal="120" workbookViewId="0">
      <selection activeCell="L10" sqref="L10"/>
    </sheetView>
  </sheetViews>
  <sheetFormatPr defaultColWidth="9.1796875" defaultRowHeight="12.5"/>
  <cols>
    <col min="1" max="4" width="9.1796875" style="66"/>
    <col min="5" max="5" width="10.54296875" style="66" customWidth="1"/>
    <col min="6" max="6" width="5.54296875" style="66" customWidth="1"/>
    <col min="7" max="7" width="9.54296875" style="66" customWidth="1"/>
    <col min="8" max="8" width="31" style="66" customWidth="1"/>
    <col min="9" max="16384" width="9.1796875" style="66"/>
  </cols>
  <sheetData>
    <row r="12" spans="3:8" ht="13">
      <c r="C12" s="67"/>
      <c r="H12" s="69"/>
    </row>
    <row r="13" spans="3:8" ht="13">
      <c r="C13" s="67"/>
      <c r="H13" s="69"/>
    </row>
    <row r="14" spans="3:8" ht="13">
      <c r="C14" s="67"/>
      <c r="H14" s="69"/>
    </row>
    <row r="15" spans="3:8" ht="13">
      <c r="C15" s="67"/>
      <c r="H15" s="69"/>
    </row>
    <row r="16" spans="3:8" ht="13">
      <c r="C16" s="67"/>
      <c r="H16" s="69"/>
    </row>
    <row r="17" spans="1:11" ht="13">
      <c r="C17" s="67"/>
      <c r="H17" s="69"/>
    </row>
    <row r="18" spans="1:11" ht="13">
      <c r="C18" s="70"/>
    </row>
    <row r="19" spans="1:11" ht="13">
      <c r="C19" s="70"/>
    </row>
    <row r="20" spans="1:11" ht="21.65" customHeight="1">
      <c r="C20" s="70"/>
      <c r="D20" s="83"/>
      <c r="E20" s="566" t="s">
        <v>340</v>
      </c>
      <c r="F20" s="563"/>
      <c r="G20" s="562"/>
      <c r="H20" s="562"/>
      <c r="I20" s="139"/>
    </row>
    <row r="21" spans="1:11" ht="21.65" customHeight="1">
      <c r="C21" s="70"/>
      <c r="D21" s="83"/>
      <c r="E21" s="566" t="s">
        <v>341</v>
      </c>
      <c r="F21" s="562"/>
      <c r="G21" s="562"/>
      <c r="H21" s="562"/>
      <c r="I21" s="139"/>
      <c r="J21" s="70"/>
      <c r="K21" s="71"/>
    </row>
    <row r="22" spans="1:11" ht="21.65" customHeight="1">
      <c r="C22" s="70"/>
      <c r="D22" s="83"/>
      <c r="E22" s="566" t="s">
        <v>342</v>
      </c>
      <c r="F22" s="564"/>
      <c r="G22" s="564"/>
      <c r="H22" s="562"/>
      <c r="I22" s="139"/>
      <c r="J22" s="70"/>
      <c r="K22" s="71"/>
    </row>
    <row r="23" spans="1:11" ht="21.65" customHeight="1">
      <c r="D23" s="83"/>
      <c r="E23" s="568" t="s">
        <v>343</v>
      </c>
      <c r="F23" s="565"/>
      <c r="G23" s="565"/>
      <c r="H23" s="562"/>
      <c r="I23" s="139"/>
      <c r="J23" s="70"/>
      <c r="K23" s="71"/>
    </row>
    <row r="24" spans="1:11" ht="21.65" customHeight="1">
      <c r="C24" s="72"/>
      <c r="D24" s="83"/>
      <c r="E24" s="568" t="s">
        <v>344</v>
      </c>
      <c r="F24" s="565"/>
      <c r="G24" s="565"/>
      <c r="H24" s="562"/>
      <c r="I24" s="139"/>
      <c r="J24" s="75"/>
    </row>
    <row r="25" spans="1:11" ht="21.65" customHeight="1">
      <c r="C25" s="72"/>
      <c r="D25" s="83"/>
      <c r="E25" s="568" t="s">
        <v>345</v>
      </c>
      <c r="F25" s="565"/>
      <c r="G25" s="565"/>
      <c r="H25" s="562"/>
      <c r="I25" s="139"/>
    </row>
    <row r="26" spans="1:11" ht="21.65" customHeight="1">
      <c r="C26" s="72"/>
      <c r="D26" s="83"/>
      <c r="E26" s="568" t="s">
        <v>346</v>
      </c>
      <c r="F26" s="565"/>
      <c r="G26" s="565"/>
      <c r="H26" s="562"/>
      <c r="I26" s="139"/>
    </row>
    <row r="27" spans="1:11" ht="21.65" customHeight="1">
      <c r="C27" s="72"/>
      <c r="D27" s="83"/>
      <c r="E27" s="568" t="s">
        <v>347</v>
      </c>
      <c r="F27" s="565"/>
      <c r="G27" s="565"/>
      <c r="H27" s="562"/>
      <c r="I27" s="139"/>
    </row>
    <row r="28" spans="1:11" ht="21.65" customHeight="1">
      <c r="C28" s="72"/>
      <c r="D28" s="83"/>
      <c r="E28" s="568" t="s">
        <v>353</v>
      </c>
      <c r="F28" s="565"/>
      <c r="G28" s="565"/>
      <c r="H28" s="565"/>
      <c r="I28" s="139"/>
    </row>
    <row r="29" spans="1:11" ht="21.65" customHeight="1">
      <c r="C29" s="72"/>
      <c r="D29" s="566"/>
      <c r="E29" s="568" t="s">
        <v>348</v>
      </c>
      <c r="F29" s="565"/>
      <c r="G29" s="565"/>
      <c r="H29" s="567"/>
      <c r="I29" s="139"/>
    </row>
    <row r="30" spans="1:11" ht="21.65" customHeight="1">
      <c r="C30" s="72"/>
      <c r="D30" s="566"/>
      <c r="E30" s="568" t="s">
        <v>349</v>
      </c>
      <c r="F30" s="565"/>
      <c r="G30" s="565"/>
      <c r="H30" s="567"/>
      <c r="I30" s="139"/>
    </row>
    <row r="31" spans="1:11" ht="21.65" customHeight="1">
      <c r="C31" s="74"/>
      <c r="D31" s="80"/>
      <c r="E31" s="569" t="s">
        <v>350</v>
      </c>
      <c r="F31" s="73"/>
      <c r="G31" s="74"/>
    </row>
    <row r="32" spans="1:11" ht="22.5" customHeight="1">
      <c r="A32" s="76"/>
      <c r="B32" s="76"/>
      <c r="C32" s="77"/>
      <c r="D32" s="73"/>
      <c r="E32" s="73"/>
      <c r="F32" s="73"/>
      <c r="G32" s="77"/>
      <c r="H32" s="76"/>
      <c r="I32" s="78"/>
    </row>
    <row r="33" spans="1:9" ht="23.25" hidden="1" customHeight="1">
      <c r="A33" s="78"/>
      <c r="B33" s="78"/>
      <c r="C33" s="79"/>
      <c r="D33" s="81"/>
      <c r="E33" s="81"/>
      <c r="F33" s="81"/>
      <c r="G33" s="79"/>
      <c r="H33" s="78"/>
      <c r="I33" s="78"/>
    </row>
    <row r="34" spans="1:9" ht="22.5" hidden="1" customHeight="1">
      <c r="A34" s="78"/>
      <c r="B34" s="78"/>
      <c r="C34" s="79" t="s">
        <v>182</v>
      </c>
      <c r="D34" s="82"/>
      <c r="E34" s="82"/>
      <c r="F34" s="82"/>
      <c r="G34" s="79"/>
      <c r="H34" s="78"/>
      <c r="I34" s="78"/>
    </row>
    <row r="35" spans="1:9" ht="20.25" hidden="1" customHeight="1">
      <c r="A35" s="78"/>
      <c r="B35" s="78"/>
      <c r="C35" s="79"/>
      <c r="D35" s="82"/>
      <c r="E35" s="82"/>
      <c r="F35" s="82"/>
      <c r="G35" s="79"/>
      <c r="H35" s="78"/>
      <c r="I35" s="78"/>
    </row>
    <row r="36" spans="1:9" ht="16.5" hidden="1" customHeight="1">
      <c r="A36" s="78"/>
      <c r="B36" s="78"/>
      <c r="C36" s="79"/>
      <c r="D36" s="82"/>
      <c r="E36" s="82"/>
      <c r="F36" s="82"/>
      <c r="G36" s="79"/>
      <c r="H36" s="78"/>
      <c r="I36" s="78"/>
    </row>
    <row r="37" spans="1:9" ht="12" hidden="1" customHeight="1">
      <c r="A37" s="78"/>
      <c r="B37" s="78"/>
      <c r="C37" s="79"/>
      <c r="D37" s="82"/>
      <c r="E37" s="82"/>
      <c r="F37" s="82"/>
      <c r="G37" s="79"/>
      <c r="H37" s="78"/>
      <c r="I37" s="78"/>
    </row>
    <row r="38" spans="1:9" ht="2.25" hidden="1" customHeight="1">
      <c r="A38" s="78"/>
      <c r="B38" s="78"/>
      <c r="C38" s="79"/>
      <c r="D38" s="82"/>
      <c r="E38" s="82"/>
      <c r="F38" s="82"/>
      <c r="G38" s="79"/>
      <c r="H38" s="78"/>
      <c r="I38" s="78"/>
    </row>
    <row r="39" spans="1:9" ht="20.25" customHeight="1">
      <c r="C39" s="74"/>
      <c r="D39" s="83"/>
      <c r="E39" s="84"/>
      <c r="F39" s="82"/>
      <c r="G39" s="74"/>
    </row>
    <row r="40" spans="1:9" ht="22.5" customHeight="1">
      <c r="C40" s="74"/>
      <c r="D40" s="73"/>
      <c r="E40" s="73"/>
      <c r="F40" s="73"/>
      <c r="G40" s="74"/>
    </row>
    <row r="41" spans="1:9">
      <c r="C41" s="74"/>
      <c r="D41" s="74"/>
      <c r="E41" s="74"/>
      <c r="F41" s="74"/>
    </row>
  </sheetData>
  <phoneticPr fontId="0" type="noConversion"/>
  <hyperlinks>
    <hyperlink ref="E20" location="'1 - Assumptions'!A1" display="Assumptions " xr:uid="{00000000-0004-0000-0000-000000000000}"/>
    <hyperlink ref="E21" location="'2 - Steel Production Process'!A1" display="Production Process (metallic charge)" xr:uid="{00000000-0004-0000-0000-000001000000}"/>
    <hyperlink ref="E23" location="'4 - Production'!A1" display="Production" xr:uid="{00000000-0004-0000-0000-000002000000}"/>
    <hyperlink ref="E24" location="'5 - Shipments'!A1" display="Shipments" xr:uid="{00000000-0004-0000-0000-000003000000}"/>
    <hyperlink ref="E25" location="'6 - Investments'!A1" display="Investments" xr:uid="{00000000-0004-0000-0000-000004000000}"/>
    <hyperlink ref="E27" location="'8 - Financial Statements'!Area_de_impressao" display="Financial Statements" xr:uid="{00000000-0004-0000-0000-000005000000}"/>
    <hyperlink ref="E28" location="'9 - Operations Results '!Area_de_impressao" display="Business Operations Results" xr:uid="{00000000-0004-0000-0000-000006000000}"/>
    <hyperlink ref="E29" location="'10 - Costs '!A1" display="Costs" xr:uid="{00000000-0004-0000-0000-000007000000}"/>
    <hyperlink ref="E26" location="'8 - Indebtedness'!A1" display="Indebtedness" xr:uid="{00000000-0004-0000-0000-000008000000}"/>
    <hyperlink ref="E30" location="'11 - Pro forma Results '!A1" display="Pro forma Results" xr:uid="{00000000-0004-0000-0000-000009000000}"/>
    <hyperlink ref="E23:F23" location="'4 - Production '!Area_de_impressao" display="Production" xr:uid="{00000000-0004-0000-0000-00000A000000}"/>
    <hyperlink ref="E24:F24" location="'5 - Shipments '!Area_de_impressao" display="Shipments" xr:uid="{00000000-0004-0000-0000-00000B000000}"/>
    <hyperlink ref="E25:F25" location="'6 - Investments'!Area_de_impressao" display="Investments" xr:uid="{00000000-0004-0000-0000-00000C000000}"/>
    <hyperlink ref="E26:F26" location="'7 - Indebtedness '!Area_de_impressao" display="Indebtedness" xr:uid="{00000000-0004-0000-0000-00000D000000}"/>
    <hyperlink ref="E31" location="'12 - Lab Capacity'!A1" display="Lab Data Science Capacity" xr:uid="{00000000-0004-0000-0000-00000E000000}"/>
    <hyperlink ref="E22" location="'3 - Production Capacity'!A1" display="Production Capacity" xr:uid="{00000000-0004-0000-0000-00000F000000}"/>
  </hyperlinks>
  <pageMargins left="0.78740157499999996" right="0.78740157499999996" top="0.984251969" bottom="0.984251969" header="0.49212598499999999" footer="0.49212598499999999"/>
  <pageSetup paperSize="9" scale="5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pageSetUpPr fitToPage="1"/>
  </sheetPr>
  <dimension ref="A4:BK52"/>
  <sheetViews>
    <sheetView showGridLines="0" topLeftCell="B1" zoomScale="80" zoomScaleNormal="80" workbookViewId="0">
      <pane xSplit="1" ySplit="4" topLeftCell="AR5" activePane="bottomRight" state="frozen"/>
      <selection activeCell="B1" sqref="B1"/>
      <selection pane="topRight" activeCell="C1" sqref="C1"/>
      <selection pane="bottomLeft" activeCell="B5" sqref="B5"/>
      <selection pane="bottomRight" activeCell="BM34" sqref="BM34"/>
    </sheetView>
  </sheetViews>
  <sheetFormatPr defaultColWidth="9.1796875" defaultRowHeight="13.5"/>
  <cols>
    <col min="1" max="1" width="3.453125" style="1" customWidth="1"/>
    <col min="2" max="2" width="50.1796875" style="1" customWidth="1"/>
    <col min="3" max="14" width="10.54296875" style="1" customWidth="1"/>
    <col min="15" max="15" width="4.453125" style="26" customWidth="1"/>
    <col min="16" max="19" width="10.54296875" style="1" customWidth="1"/>
    <col min="20" max="20" width="10" style="1" customWidth="1"/>
    <col min="21" max="23" width="9.81640625" style="1" customWidth="1"/>
    <col min="24" max="24" width="4.453125" style="1" customWidth="1"/>
    <col min="25" max="25" width="9.1796875" style="1" customWidth="1"/>
    <col min="26" max="28" width="10.453125" style="1" customWidth="1"/>
    <col min="29" max="29" width="4.453125" style="1" customWidth="1"/>
    <col min="30" max="31" width="10.54296875" style="1" customWidth="1"/>
    <col min="32" max="33" width="11.453125" style="1" customWidth="1"/>
    <col min="34" max="34" width="4.453125" style="1" customWidth="1"/>
    <col min="35" max="38" width="11.453125" style="1" customWidth="1"/>
    <col min="39" max="39" width="4.453125" style="1" customWidth="1"/>
    <col min="40" max="41" width="10.54296875" style="1" customWidth="1"/>
    <col min="42" max="43" width="10.453125" style="1" customWidth="1"/>
    <col min="44" max="44" width="3.453125" style="1" hidden="1" customWidth="1"/>
    <col min="45" max="45" width="11.54296875" style="1" hidden="1" customWidth="1"/>
    <col min="46" max="46" width="11.453125" style="1" hidden="1" customWidth="1"/>
    <col min="47" max="47" width="9.1796875" style="1" hidden="1" customWidth="1"/>
    <col min="48" max="48" width="10.453125" style="1" hidden="1" customWidth="1"/>
    <col min="49" max="49" width="9.1796875" style="1" hidden="1" customWidth="1"/>
    <col min="50" max="50" width="10.1796875" style="1" hidden="1" customWidth="1"/>
    <col min="51" max="53" width="9.1796875" style="1" hidden="1" customWidth="1"/>
    <col min="54" max="56" width="0" style="1" hidden="1" customWidth="1"/>
    <col min="57" max="57" width="9.7265625" style="1" hidden="1" customWidth="1"/>
    <col min="58" max="16384" width="9.1796875" style="1"/>
  </cols>
  <sheetData>
    <row r="4" spans="1:63" ht="19.5" customHeight="1"/>
    <row r="5" spans="1:63" s="296" customFormat="1" ht="20.25" customHeight="1" thickBot="1">
      <c r="B5" s="297" t="s">
        <v>29</v>
      </c>
      <c r="C5" s="298" t="s">
        <v>20</v>
      </c>
      <c r="D5" s="298" t="s">
        <v>21</v>
      </c>
      <c r="E5" s="298" t="s">
        <v>22</v>
      </c>
      <c r="F5" s="298" t="s">
        <v>6</v>
      </c>
      <c r="G5" s="299" t="s">
        <v>23</v>
      </c>
      <c r="H5" s="299" t="s">
        <v>24</v>
      </c>
      <c r="I5" s="299" t="s">
        <v>91</v>
      </c>
      <c r="J5" s="299" t="s">
        <v>102</v>
      </c>
      <c r="K5" s="299" t="s">
        <v>103</v>
      </c>
      <c r="L5" s="299" t="s">
        <v>105</v>
      </c>
      <c r="M5" s="299" t="s">
        <v>106</v>
      </c>
      <c r="N5" s="299" t="s">
        <v>112</v>
      </c>
      <c r="O5" s="299"/>
      <c r="P5" s="299" t="s">
        <v>113</v>
      </c>
      <c r="Q5" s="299" t="s">
        <v>114</v>
      </c>
      <c r="R5" s="299" t="s">
        <v>118</v>
      </c>
      <c r="S5" s="299" t="s">
        <v>119</v>
      </c>
      <c r="T5" s="299" t="s">
        <v>120</v>
      </c>
      <c r="U5" s="299" t="s">
        <v>124</v>
      </c>
      <c r="V5" s="299" t="s">
        <v>127</v>
      </c>
      <c r="W5" s="299" t="s">
        <v>129</v>
      </c>
      <c r="X5" s="299"/>
      <c r="Y5" s="299" t="s">
        <v>130</v>
      </c>
      <c r="Z5" s="299" t="s">
        <v>132</v>
      </c>
      <c r="AA5" s="299" t="s">
        <v>137</v>
      </c>
      <c r="AB5" s="299" t="s">
        <v>138</v>
      </c>
      <c r="AC5" s="299"/>
      <c r="AD5" s="299" t="s">
        <v>139</v>
      </c>
      <c r="AE5" s="300" t="s">
        <v>142</v>
      </c>
      <c r="AF5" s="299" t="s">
        <v>148</v>
      </c>
      <c r="AG5" s="299" t="s">
        <v>151</v>
      </c>
      <c r="AH5" s="299"/>
      <c r="AI5" s="299" t="s">
        <v>156</v>
      </c>
      <c r="AJ5" s="301" t="s">
        <v>157</v>
      </c>
      <c r="AK5" s="299" t="s">
        <v>161</v>
      </c>
      <c r="AL5" s="302" t="s">
        <v>166</v>
      </c>
      <c r="AM5" s="302"/>
      <c r="AN5" s="302" t="s">
        <v>180</v>
      </c>
      <c r="AO5" s="301" t="s">
        <v>181</v>
      </c>
      <c r="AP5" s="302" t="s">
        <v>193</v>
      </c>
      <c r="AQ5" s="302" t="s">
        <v>194</v>
      </c>
      <c r="AR5" s="302"/>
      <c r="AS5" s="302" t="s">
        <v>198</v>
      </c>
      <c r="AT5" s="301" t="s">
        <v>202</v>
      </c>
      <c r="AU5" s="302" t="s">
        <v>203</v>
      </c>
      <c r="AV5" s="302" t="s">
        <v>204</v>
      </c>
      <c r="AW5" s="302" t="s">
        <v>205</v>
      </c>
      <c r="AX5" s="302" t="s">
        <v>206</v>
      </c>
      <c r="AY5" s="302" t="s">
        <v>207</v>
      </c>
      <c r="AZ5" s="302" t="s">
        <v>212</v>
      </c>
      <c r="BA5" s="302" t="s">
        <v>228</v>
      </c>
      <c r="BB5" s="302" t="s">
        <v>247</v>
      </c>
      <c r="BC5" s="302" t="s">
        <v>249</v>
      </c>
      <c r="BD5" s="302" t="s">
        <v>254</v>
      </c>
      <c r="BE5" s="302" t="s">
        <v>258</v>
      </c>
      <c r="BF5" s="302" t="s">
        <v>260</v>
      </c>
      <c r="BG5" s="302" t="s">
        <v>338</v>
      </c>
      <c r="BH5" s="302" t="s">
        <v>366</v>
      </c>
      <c r="BI5" s="302" t="s">
        <v>373</v>
      </c>
      <c r="BJ5" s="302" t="s">
        <v>378</v>
      </c>
    </row>
    <row r="6" spans="1:63" s="307" customFormat="1" ht="6.65" customHeight="1" thickTop="1">
      <c r="A6" s="303"/>
      <c r="B6" s="304"/>
      <c r="C6" s="305"/>
      <c r="D6" s="305"/>
      <c r="E6" s="305"/>
      <c r="F6" s="305"/>
      <c r="G6" s="305"/>
      <c r="H6" s="305"/>
      <c r="I6" s="305"/>
      <c r="J6" s="305"/>
      <c r="K6" s="305"/>
      <c r="L6" s="305"/>
      <c r="M6" s="305"/>
      <c r="N6" s="305"/>
      <c r="O6" s="306"/>
      <c r="P6" s="305"/>
      <c r="Q6" s="305"/>
      <c r="R6" s="305"/>
      <c r="S6" s="305"/>
      <c r="T6" s="305"/>
      <c r="U6" s="305"/>
      <c r="V6" s="305"/>
      <c r="W6" s="305"/>
      <c r="X6" s="306"/>
      <c r="Y6" s="305"/>
      <c r="Z6" s="305"/>
      <c r="AA6" s="305"/>
      <c r="AB6" s="305"/>
      <c r="AD6" s="305"/>
      <c r="AE6" s="305"/>
      <c r="AF6" s="305"/>
      <c r="AG6" s="305"/>
      <c r="AH6" s="306"/>
      <c r="AI6" s="305"/>
      <c r="AJ6" s="305"/>
      <c r="AK6" s="305"/>
      <c r="AL6" s="305"/>
      <c r="AM6" s="306"/>
      <c r="AN6" s="305"/>
      <c r="AO6" s="305"/>
      <c r="AP6" s="305"/>
      <c r="AQ6" s="305"/>
      <c r="AS6" s="305"/>
      <c r="AT6" s="305"/>
      <c r="AU6" s="305"/>
      <c r="AV6" s="305"/>
      <c r="AW6" s="305"/>
      <c r="AX6" s="305"/>
      <c r="AY6" s="305"/>
      <c r="AZ6" s="305"/>
      <c r="BA6" s="305"/>
      <c r="BB6" s="305"/>
      <c r="BC6" s="305"/>
      <c r="BD6" s="305"/>
      <c r="BE6" s="305"/>
      <c r="BF6" s="305"/>
      <c r="BG6" s="305"/>
      <c r="BH6" s="305"/>
      <c r="BI6" s="305"/>
      <c r="BJ6" s="305"/>
    </row>
    <row r="7" spans="1:63" s="307" customFormat="1" ht="14.5" customHeight="1">
      <c r="A7" s="303"/>
      <c r="B7" s="308" t="s">
        <v>178</v>
      </c>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09"/>
      <c r="AC7" s="310"/>
      <c r="AD7" s="309"/>
      <c r="AE7" s="309"/>
      <c r="AF7" s="309"/>
      <c r="AG7" s="309"/>
      <c r="AH7" s="309"/>
      <c r="AI7" s="309"/>
      <c r="AJ7" s="309"/>
      <c r="AK7" s="309"/>
      <c r="AL7" s="309"/>
      <c r="AM7" s="309"/>
      <c r="AN7" s="309"/>
      <c r="AO7" s="309"/>
      <c r="AP7" s="309"/>
      <c r="AQ7" s="309"/>
      <c r="AR7" s="310"/>
      <c r="AS7" s="309"/>
      <c r="AT7" s="309"/>
      <c r="AU7" s="309"/>
      <c r="AV7" s="309"/>
      <c r="AW7" s="309"/>
      <c r="AX7" s="309"/>
      <c r="AY7" s="309"/>
      <c r="AZ7" s="309"/>
      <c r="BA7" s="309"/>
      <c r="BB7" s="309"/>
      <c r="BC7" s="309"/>
      <c r="BD7" s="309"/>
      <c r="BE7" s="309"/>
      <c r="BF7" s="309"/>
      <c r="BG7" s="309"/>
      <c r="BH7" s="309"/>
      <c r="BI7" s="309"/>
      <c r="BJ7" s="309"/>
    </row>
    <row r="8" spans="1:63" s="311" customFormat="1" ht="14">
      <c r="B8" s="312" t="s">
        <v>140</v>
      </c>
      <c r="C8" s="312">
        <v>8944</v>
      </c>
      <c r="D8" s="312">
        <v>11100</v>
      </c>
      <c r="E8" s="312">
        <v>12444</v>
      </c>
      <c r="F8" s="312">
        <v>9419</v>
      </c>
      <c r="G8" s="313">
        <v>6968</v>
      </c>
      <c r="H8" s="313">
        <v>6401</v>
      </c>
      <c r="I8" s="313">
        <v>6808</v>
      </c>
      <c r="J8" s="313">
        <v>6363</v>
      </c>
      <c r="K8" s="313">
        <v>7108</v>
      </c>
      <c r="L8" s="313">
        <v>8296</v>
      </c>
      <c r="M8" s="313">
        <v>8190</v>
      </c>
      <c r="N8" s="313">
        <v>7800</v>
      </c>
      <c r="O8" s="313"/>
      <c r="P8" s="313">
        <v>8364</v>
      </c>
      <c r="Q8" s="313">
        <v>9010</v>
      </c>
      <c r="R8" s="313">
        <v>8967</v>
      </c>
      <c r="S8" s="313">
        <v>9066</v>
      </c>
      <c r="T8" s="313">
        <v>9199</v>
      </c>
      <c r="U8" s="313">
        <v>9975</v>
      </c>
      <c r="V8" s="313">
        <v>9819</v>
      </c>
      <c r="W8" s="313">
        <v>8988</v>
      </c>
      <c r="X8" s="313"/>
      <c r="Y8" s="313">
        <v>9166</v>
      </c>
      <c r="Z8" s="313">
        <v>9882</v>
      </c>
      <c r="AA8" s="313">
        <v>10494</v>
      </c>
      <c r="AB8" s="313">
        <v>10321</v>
      </c>
      <c r="AC8" s="313"/>
      <c r="AD8" s="313">
        <v>10554</v>
      </c>
      <c r="AE8" s="312">
        <v>10443</v>
      </c>
      <c r="AF8" s="313">
        <v>10706</v>
      </c>
      <c r="AG8" s="313">
        <v>10843</v>
      </c>
      <c r="AH8" s="313"/>
      <c r="AI8" s="313">
        <v>10447</v>
      </c>
      <c r="AJ8" s="313">
        <v>10759</v>
      </c>
      <c r="AK8" s="313">
        <v>11925</v>
      </c>
      <c r="AL8" s="313">
        <v>10449</v>
      </c>
      <c r="AM8" s="313"/>
      <c r="AN8" s="313">
        <v>10085</v>
      </c>
      <c r="AO8" s="313">
        <v>10249</v>
      </c>
      <c r="AP8" s="313">
        <v>8699</v>
      </c>
      <c r="AQ8" s="313">
        <v>8620</v>
      </c>
      <c r="AR8" s="313"/>
      <c r="AS8" s="313">
        <v>8459</v>
      </c>
      <c r="AT8" s="313">
        <v>9166</v>
      </c>
      <c r="AU8" s="313">
        <v>9476</v>
      </c>
      <c r="AV8" s="313">
        <v>9817</v>
      </c>
      <c r="AW8" s="313">
        <v>10389</v>
      </c>
      <c r="AX8" s="313">
        <v>12035</v>
      </c>
      <c r="AY8" s="313">
        <v>12836</v>
      </c>
      <c r="AZ8" s="313">
        <v>10900</v>
      </c>
      <c r="BA8" s="313">
        <v>10026</v>
      </c>
      <c r="BB8" s="313">
        <v>10154</v>
      </c>
      <c r="BC8" s="313">
        <v>9931</v>
      </c>
      <c r="BD8" s="432">
        <v>9533</v>
      </c>
      <c r="BE8" s="459">
        <v>9228</v>
      </c>
      <c r="BF8" s="432">
        <v>8745</v>
      </c>
      <c r="BG8" s="432">
        <v>12222</v>
      </c>
      <c r="BH8" s="432">
        <f>'[1]9 - Resultados por operação'!$BB$9</f>
        <v>13620.195919049653</v>
      </c>
      <c r="BI8" s="597">
        <v>16342.9843191</v>
      </c>
      <c r="BJ8" s="597">
        <v>19130.151599260003</v>
      </c>
    </row>
    <row r="9" spans="1:63" s="307" customFormat="1" ht="14">
      <c r="B9" s="314" t="s">
        <v>141</v>
      </c>
      <c r="C9" s="315">
        <v>2132</v>
      </c>
      <c r="D9" s="315">
        <v>2980</v>
      </c>
      <c r="E9" s="315">
        <v>4090</v>
      </c>
      <c r="F9" s="315">
        <v>1686</v>
      </c>
      <c r="G9" s="315">
        <v>741</v>
      </c>
      <c r="H9" s="315">
        <v>758</v>
      </c>
      <c r="I9" s="315">
        <v>1456</v>
      </c>
      <c r="J9" s="315">
        <v>1279</v>
      </c>
      <c r="K9" s="315">
        <v>1407</v>
      </c>
      <c r="L9" s="315">
        <v>1814</v>
      </c>
      <c r="M9" s="315">
        <v>1350</v>
      </c>
      <c r="N9" s="315">
        <v>949</v>
      </c>
      <c r="O9" s="315"/>
      <c r="P9" s="315">
        <v>1165</v>
      </c>
      <c r="Q9" s="315">
        <v>1404</v>
      </c>
      <c r="R9" s="315">
        <v>1339</v>
      </c>
      <c r="S9" s="315">
        <v>1201</v>
      </c>
      <c r="T9" s="315">
        <v>1107</v>
      </c>
      <c r="U9" s="315">
        <v>1425</v>
      </c>
      <c r="V9" s="315">
        <v>1198</v>
      </c>
      <c r="W9" s="315">
        <v>1018</v>
      </c>
      <c r="X9" s="315"/>
      <c r="Y9" s="315">
        <v>908</v>
      </c>
      <c r="Z9" s="315">
        <v>1342</v>
      </c>
      <c r="AA9" s="315">
        <v>1534</v>
      </c>
      <c r="AB9" s="315">
        <v>1350</v>
      </c>
      <c r="AC9" s="310"/>
      <c r="AD9" s="315">
        <v>1316</v>
      </c>
      <c r="AE9" s="315">
        <v>1264</v>
      </c>
      <c r="AF9" s="315">
        <v>1276</v>
      </c>
      <c r="AG9" s="315">
        <v>1284</v>
      </c>
      <c r="AH9" s="315"/>
      <c r="AI9" s="315">
        <v>1112</v>
      </c>
      <c r="AJ9" s="315">
        <v>1181</v>
      </c>
      <c r="AK9" s="315">
        <v>1211</v>
      </c>
      <c r="AL9" s="315">
        <v>787</v>
      </c>
      <c r="AM9" s="315"/>
      <c r="AN9" s="315">
        <v>813</v>
      </c>
      <c r="AO9" s="315">
        <v>1083</v>
      </c>
      <c r="AP9" s="315">
        <v>1046</v>
      </c>
      <c r="AQ9" s="315">
        <v>522</v>
      </c>
      <c r="AR9" s="310"/>
      <c r="AS9" s="315">
        <v>654</v>
      </c>
      <c r="AT9" s="315">
        <v>937</v>
      </c>
      <c r="AU9" s="315">
        <v>974</v>
      </c>
      <c r="AV9" s="315">
        <v>1040</v>
      </c>
      <c r="AW9" s="315">
        <v>1339</v>
      </c>
      <c r="AX9" s="315">
        <v>1645</v>
      </c>
      <c r="AY9" s="315">
        <v>1862</v>
      </c>
      <c r="AZ9" s="315">
        <v>1304</v>
      </c>
      <c r="BA9" s="315">
        <v>1269</v>
      </c>
      <c r="BB9" s="315">
        <v>1273</v>
      </c>
      <c r="BC9" s="315">
        <v>985</v>
      </c>
      <c r="BD9" s="433">
        <v>676</v>
      </c>
      <c r="BE9" s="460">
        <v>855</v>
      </c>
      <c r="BF9" s="433">
        <v>718</v>
      </c>
      <c r="BG9" s="433">
        <v>1697</v>
      </c>
      <c r="BH9" s="433">
        <f>'[1]9 - Resultados por operação'!$BB$10</f>
        <v>2660.2054933793152</v>
      </c>
      <c r="BI9" s="598">
        <v>3796.9102317547204</v>
      </c>
      <c r="BJ9" s="598">
        <v>5414.2383839419817</v>
      </c>
    </row>
    <row r="10" spans="1:63" s="307" customFormat="1" ht="14.5">
      <c r="A10" s="316"/>
      <c r="B10" s="317" t="s">
        <v>163</v>
      </c>
      <c r="C10" s="318">
        <v>1985</v>
      </c>
      <c r="D10" s="318">
        <v>2747</v>
      </c>
      <c r="E10" s="318">
        <v>3841</v>
      </c>
      <c r="F10" s="318">
        <v>1451</v>
      </c>
      <c r="G10" s="318">
        <v>599</v>
      </c>
      <c r="H10" s="318">
        <v>595</v>
      </c>
      <c r="I10" s="318">
        <v>1375</v>
      </c>
      <c r="J10" s="318">
        <v>1246</v>
      </c>
      <c r="K10" s="318">
        <v>1401</v>
      </c>
      <c r="L10" s="318">
        <v>1720</v>
      </c>
      <c r="M10" s="318">
        <v>1265</v>
      </c>
      <c r="N10" s="318">
        <v>815</v>
      </c>
      <c r="O10" s="319"/>
      <c r="P10" s="318">
        <v>1102</v>
      </c>
      <c r="Q10" s="318">
        <v>1309</v>
      </c>
      <c r="R10" s="318">
        <v>1215</v>
      </c>
      <c r="S10" s="318">
        <v>1025</v>
      </c>
      <c r="T10" s="318">
        <v>1008</v>
      </c>
      <c r="U10" s="318">
        <v>1244</v>
      </c>
      <c r="V10" s="318">
        <v>1033</v>
      </c>
      <c r="W10" s="318">
        <v>891</v>
      </c>
      <c r="X10" s="319"/>
      <c r="Y10" s="318">
        <v>805</v>
      </c>
      <c r="Z10" s="318">
        <v>1196</v>
      </c>
      <c r="AA10" s="318">
        <v>1413</v>
      </c>
      <c r="AB10" s="318">
        <v>1370</v>
      </c>
      <c r="AC10" s="320"/>
      <c r="AD10" s="318">
        <v>1221</v>
      </c>
      <c r="AE10" s="318">
        <v>1198</v>
      </c>
      <c r="AF10" s="318">
        <v>1241</v>
      </c>
      <c r="AG10" s="321">
        <v>1247</v>
      </c>
      <c r="AH10" s="321"/>
      <c r="AI10" s="321">
        <v>1106</v>
      </c>
      <c r="AJ10" s="321">
        <v>1192</v>
      </c>
      <c r="AK10" s="321">
        <v>1291</v>
      </c>
      <c r="AL10" s="321">
        <v>911</v>
      </c>
      <c r="AM10" s="321"/>
      <c r="AN10" s="321">
        <v>930</v>
      </c>
      <c r="AO10" s="321">
        <v>1201</v>
      </c>
      <c r="AP10" s="321">
        <v>1200</v>
      </c>
      <c r="AQ10" s="321">
        <v>716</v>
      </c>
      <c r="AR10" s="320"/>
      <c r="AS10" s="321">
        <v>853</v>
      </c>
      <c r="AT10" s="321">
        <v>1121</v>
      </c>
      <c r="AU10" s="321">
        <v>1166</v>
      </c>
      <c r="AV10" s="321">
        <v>1181</v>
      </c>
      <c r="AW10" s="321">
        <v>1484</v>
      </c>
      <c r="AX10" s="321">
        <v>1756</v>
      </c>
      <c r="AY10" s="321">
        <v>2013</v>
      </c>
      <c r="AZ10" s="321">
        <v>1404</v>
      </c>
      <c r="BA10" s="321">
        <v>1558</v>
      </c>
      <c r="BB10" s="321">
        <v>1574</v>
      </c>
      <c r="BC10" s="321">
        <v>1465</v>
      </c>
      <c r="BD10" s="434">
        <v>1136</v>
      </c>
      <c r="BE10" s="461">
        <v>1177</v>
      </c>
      <c r="BF10" s="434">
        <v>1318</v>
      </c>
      <c r="BG10" s="434">
        <v>2139</v>
      </c>
      <c r="BH10" s="434">
        <f>'[1]9 - Resultados por operação'!$BB$11</f>
        <v>3056</v>
      </c>
      <c r="BI10" s="599">
        <v>4318.3484635083123</v>
      </c>
      <c r="BJ10" s="599">
        <v>5896.6851028459305</v>
      </c>
    </row>
    <row r="11" spans="1:63" s="307" customFormat="1" ht="14">
      <c r="B11" s="314" t="s">
        <v>49</v>
      </c>
      <c r="C11" s="315">
        <v>423</v>
      </c>
      <c r="D11" s="315">
        <v>409</v>
      </c>
      <c r="E11" s="315">
        <v>434</v>
      </c>
      <c r="F11" s="315">
        <v>631</v>
      </c>
      <c r="G11" s="315">
        <v>474</v>
      </c>
      <c r="H11" s="315">
        <v>442</v>
      </c>
      <c r="I11" s="315">
        <v>402</v>
      </c>
      <c r="J11" s="315">
        <v>427</v>
      </c>
      <c r="K11" s="315">
        <v>459</v>
      </c>
      <c r="L11" s="315">
        <v>472</v>
      </c>
      <c r="M11" s="315">
        <v>485</v>
      </c>
      <c r="N11" s="315">
        <v>476</v>
      </c>
      <c r="O11" s="315"/>
      <c r="P11" s="315">
        <v>448</v>
      </c>
      <c r="Q11" s="315">
        <v>431</v>
      </c>
      <c r="R11" s="315">
        <v>437</v>
      </c>
      <c r="S11" s="315">
        <v>456</v>
      </c>
      <c r="T11" s="315">
        <v>438</v>
      </c>
      <c r="U11" s="315">
        <v>459</v>
      </c>
      <c r="V11" s="315">
        <v>465</v>
      </c>
      <c r="W11" s="315">
        <v>465</v>
      </c>
      <c r="X11" s="315"/>
      <c r="Y11" s="315">
        <v>464</v>
      </c>
      <c r="Z11" s="315">
        <v>476</v>
      </c>
      <c r="AA11" s="315">
        <v>528</v>
      </c>
      <c r="AB11" s="315">
        <v>561</v>
      </c>
      <c r="AC11" s="310"/>
      <c r="AD11" s="315">
        <v>542</v>
      </c>
      <c r="AE11" s="315">
        <v>541</v>
      </c>
      <c r="AF11" s="315">
        <v>555</v>
      </c>
      <c r="AG11" s="315">
        <v>590</v>
      </c>
      <c r="AH11" s="315"/>
      <c r="AI11" s="315">
        <v>604</v>
      </c>
      <c r="AJ11" s="315">
        <v>626</v>
      </c>
      <c r="AK11" s="315">
        <v>671</v>
      </c>
      <c r="AL11" s="315">
        <v>707</v>
      </c>
      <c r="AM11" s="315"/>
      <c r="AN11" s="315">
        <v>681</v>
      </c>
      <c r="AO11" s="315">
        <v>617</v>
      </c>
      <c r="AP11" s="315">
        <v>567</v>
      </c>
      <c r="AQ11" s="315">
        <v>671</v>
      </c>
      <c r="AR11" s="310"/>
      <c r="AS11" s="315">
        <v>528</v>
      </c>
      <c r="AT11" s="315">
        <v>526</v>
      </c>
      <c r="AU11" s="315">
        <v>514</v>
      </c>
      <c r="AV11" s="315">
        <v>524</v>
      </c>
      <c r="AW11" s="315">
        <v>453</v>
      </c>
      <c r="AX11" s="315">
        <v>453</v>
      </c>
      <c r="AY11" s="315">
        <v>478</v>
      </c>
      <c r="AZ11" s="315">
        <v>504</v>
      </c>
      <c r="BA11" s="315">
        <v>506</v>
      </c>
      <c r="BB11" s="315">
        <v>527</v>
      </c>
      <c r="BC11" s="315">
        <v>502</v>
      </c>
      <c r="BD11" s="433">
        <v>538</v>
      </c>
      <c r="BE11" s="460">
        <v>557</v>
      </c>
      <c r="BF11" s="433">
        <v>611</v>
      </c>
      <c r="BG11" s="433">
        <v>647</v>
      </c>
      <c r="BH11" s="433">
        <f>'[1]9 - Resultados por operação'!$BB$12</f>
        <v>683.83781382446455</v>
      </c>
      <c r="BI11" s="598">
        <v>648.82934737527842</v>
      </c>
      <c r="BJ11" s="598">
        <v>630.49909063801965</v>
      </c>
    </row>
    <row r="12" spans="1:63" s="307" customFormat="1" ht="5.15" customHeight="1">
      <c r="B12" s="314"/>
      <c r="C12" s="315"/>
      <c r="D12" s="31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0"/>
      <c r="AD12" s="315"/>
      <c r="AE12" s="315"/>
      <c r="AF12" s="315"/>
      <c r="AG12" s="315"/>
      <c r="AH12" s="315"/>
      <c r="AI12" s="315"/>
      <c r="AJ12" s="315"/>
      <c r="AK12" s="315"/>
      <c r="AL12" s="315"/>
      <c r="AM12" s="315"/>
      <c r="AN12" s="315"/>
      <c r="AO12" s="315"/>
      <c r="AP12" s="315"/>
      <c r="AQ12" s="315"/>
      <c r="AR12" s="310"/>
      <c r="AS12" s="315"/>
      <c r="AT12" s="315"/>
      <c r="AU12" s="315"/>
      <c r="AV12" s="315"/>
      <c r="AW12" s="315"/>
      <c r="AX12" s="315"/>
      <c r="AY12" s="315"/>
      <c r="AZ12" s="315"/>
      <c r="BA12" s="315"/>
      <c r="BB12" s="315"/>
      <c r="BC12" s="315"/>
      <c r="BD12" s="433"/>
      <c r="BE12" s="460"/>
      <c r="BF12" s="433"/>
      <c r="BG12" s="433"/>
      <c r="BH12" s="433"/>
      <c r="BI12" s="598"/>
      <c r="BJ12" s="598"/>
    </row>
    <row r="13" spans="1:63" s="307" customFormat="1" ht="14.5">
      <c r="A13" s="316"/>
      <c r="B13" s="404" t="s">
        <v>248</v>
      </c>
      <c r="C13" s="318"/>
      <c r="D13" s="318"/>
      <c r="E13" s="318"/>
      <c r="F13" s="318"/>
      <c r="G13" s="318"/>
      <c r="H13" s="318"/>
      <c r="I13" s="318"/>
      <c r="J13" s="318"/>
      <c r="K13" s="318"/>
      <c r="L13" s="318"/>
      <c r="M13" s="318"/>
      <c r="N13" s="318"/>
      <c r="O13" s="319"/>
      <c r="P13" s="318"/>
      <c r="Q13" s="318"/>
      <c r="R13" s="318"/>
      <c r="S13" s="318"/>
      <c r="T13" s="318"/>
      <c r="U13" s="318"/>
      <c r="V13" s="318"/>
      <c r="W13" s="318"/>
      <c r="X13" s="319"/>
      <c r="Y13" s="318"/>
      <c r="Z13" s="318"/>
      <c r="AA13" s="318"/>
      <c r="AB13" s="318"/>
      <c r="AC13" s="320"/>
      <c r="AD13" s="318"/>
      <c r="AE13" s="318"/>
      <c r="AF13" s="318"/>
      <c r="AG13" s="321"/>
      <c r="AH13" s="321"/>
      <c r="AI13" s="321"/>
      <c r="AJ13" s="321"/>
      <c r="AK13" s="321"/>
      <c r="AL13" s="321"/>
      <c r="AM13" s="321"/>
      <c r="AN13" s="321"/>
      <c r="AO13" s="321"/>
      <c r="AP13" s="321"/>
      <c r="AQ13" s="321"/>
      <c r="AR13" s="320"/>
      <c r="AS13" s="321"/>
      <c r="AT13" s="321"/>
      <c r="AU13" s="321"/>
      <c r="AV13" s="321"/>
      <c r="AW13" s="321"/>
      <c r="AX13" s="403">
        <v>458</v>
      </c>
      <c r="AY13" s="403">
        <v>546</v>
      </c>
      <c r="AZ13" s="403">
        <v>443</v>
      </c>
      <c r="BA13" s="403">
        <v>521.94304857621444</v>
      </c>
      <c r="BB13" s="403">
        <v>529.60969044414537</v>
      </c>
      <c r="BC13" s="403">
        <v>479.44557991070673</v>
      </c>
      <c r="BD13" s="435">
        <v>369.07082521117604</v>
      </c>
      <c r="BE13" s="556">
        <v>437.44399193724701</v>
      </c>
      <c r="BF13" s="435">
        <v>557.29386892177592</v>
      </c>
      <c r="BG13" s="435">
        <v>670.74317968015055</v>
      </c>
      <c r="BH13" s="435">
        <f>'[1]9 - Resultados por operação'!$BB$14</f>
        <v>949.95337270749144</v>
      </c>
      <c r="BI13" s="600">
        <v>1398.6795131728556</v>
      </c>
      <c r="BJ13" s="600">
        <v>1833.279380481137</v>
      </c>
    </row>
    <row r="14" spans="1:63" s="307" customFormat="1" ht="14">
      <c r="B14" s="322"/>
      <c r="C14" s="323"/>
      <c r="D14" s="324"/>
      <c r="E14" s="324"/>
      <c r="F14" s="324"/>
      <c r="G14" s="324"/>
      <c r="H14" s="324"/>
      <c r="I14" s="324"/>
      <c r="J14" s="324"/>
      <c r="K14" s="324"/>
      <c r="L14" s="324"/>
      <c r="M14" s="324"/>
      <c r="N14" s="324"/>
      <c r="O14" s="325"/>
      <c r="P14" s="324"/>
      <c r="Q14" s="324"/>
      <c r="R14" s="324"/>
      <c r="S14" s="324"/>
      <c r="T14" s="324"/>
      <c r="U14" s="324"/>
      <c r="V14" s="324"/>
      <c r="W14" s="324"/>
      <c r="X14" s="325"/>
      <c r="Y14" s="324"/>
      <c r="Z14" s="324"/>
      <c r="AA14" s="324"/>
      <c r="AB14" s="324"/>
      <c r="AD14" s="324"/>
      <c r="AE14" s="324"/>
      <c r="AF14" s="324"/>
      <c r="AG14" s="324"/>
      <c r="AH14" s="325"/>
      <c r="AI14" s="324"/>
      <c r="AJ14" s="324"/>
      <c r="AK14" s="324"/>
      <c r="AL14" s="324"/>
      <c r="AM14" s="325"/>
      <c r="AN14" s="324"/>
      <c r="AO14" s="324"/>
      <c r="AP14" s="324"/>
      <c r="AQ14" s="324"/>
      <c r="AS14" s="324"/>
      <c r="AT14" s="324"/>
      <c r="AU14" s="324"/>
      <c r="AV14" s="324"/>
      <c r="AW14" s="324"/>
      <c r="AX14" s="324"/>
      <c r="AY14" s="324"/>
      <c r="AZ14" s="324"/>
      <c r="BA14" s="324"/>
      <c r="BB14" s="324"/>
      <c r="BC14" s="324"/>
      <c r="BD14" s="324"/>
      <c r="BE14" s="324"/>
      <c r="BF14" s="324"/>
      <c r="BG14" s="324"/>
      <c r="BH14" s="324"/>
      <c r="BI14" s="324"/>
      <c r="BJ14" s="324"/>
    </row>
    <row r="15" spans="1:63" s="307" customFormat="1" ht="14">
      <c r="B15" s="326" t="s">
        <v>215</v>
      </c>
      <c r="C15" s="327"/>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0"/>
      <c r="AD15" s="328"/>
      <c r="AE15" s="328"/>
      <c r="AF15" s="328"/>
      <c r="AG15" s="328"/>
      <c r="AH15" s="328"/>
      <c r="AI15" s="328"/>
      <c r="AJ15" s="328"/>
      <c r="AK15" s="328"/>
      <c r="AL15" s="328"/>
      <c r="AM15" s="328"/>
      <c r="AN15" s="328"/>
      <c r="AO15" s="328"/>
      <c r="AP15" s="328"/>
      <c r="AQ15" s="328"/>
      <c r="AR15" s="320"/>
      <c r="AS15" s="328"/>
      <c r="AT15" s="328"/>
      <c r="AU15" s="328"/>
      <c r="AV15" s="328"/>
      <c r="AW15" s="328"/>
      <c r="AX15" s="328"/>
      <c r="AY15" s="328"/>
      <c r="AZ15" s="328"/>
      <c r="BA15" s="328"/>
      <c r="BB15" s="328"/>
      <c r="BC15" s="328"/>
      <c r="BD15" s="328"/>
      <c r="BE15" s="328"/>
      <c r="BF15" s="328"/>
      <c r="BG15" s="328"/>
      <c r="BH15" s="328"/>
      <c r="BI15" s="328"/>
      <c r="BJ15" s="328"/>
    </row>
    <row r="16" spans="1:63" s="307" customFormat="1" ht="14">
      <c r="B16" s="314" t="s">
        <v>140</v>
      </c>
      <c r="C16" s="329">
        <v>2906</v>
      </c>
      <c r="D16" s="329">
        <v>3576</v>
      </c>
      <c r="E16" s="329">
        <v>4662</v>
      </c>
      <c r="F16" s="329">
        <v>3289</v>
      </c>
      <c r="G16" s="329">
        <v>2366</v>
      </c>
      <c r="H16" s="329">
        <v>2408</v>
      </c>
      <c r="I16" s="329">
        <v>2781</v>
      </c>
      <c r="J16" s="329">
        <v>2777</v>
      </c>
      <c r="K16" s="329">
        <v>2871</v>
      </c>
      <c r="L16" s="329">
        <v>3296</v>
      </c>
      <c r="M16" s="329">
        <v>3244</v>
      </c>
      <c r="N16" s="329">
        <v>3048</v>
      </c>
      <c r="O16" s="329"/>
      <c r="P16" s="329">
        <v>3187</v>
      </c>
      <c r="Q16" s="329">
        <v>3582</v>
      </c>
      <c r="R16" s="329">
        <v>3606</v>
      </c>
      <c r="S16" s="329">
        <v>3558</v>
      </c>
      <c r="T16" s="329">
        <v>3220</v>
      </c>
      <c r="U16" s="329">
        <v>3724</v>
      </c>
      <c r="V16" s="329">
        <v>3567</v>
      </c>
      <c r="W16" s="329">
        <v>3589</v>
      </c>
      <c r="X16" s="329"/>
      <c r="Y16" s="329">
        <v>3457</v>
      </c>
      <c r="Z16" s="329">
        <v>3666</v>
      </c>
      <c r="AA16" s="329">
        <v>3967</v>
      </c>
      <c r="AB16" s="329">
        <v>3747</v>
      </c>
      <c r="AC16" s="310"/>
      <c r="AD16" s="330">
        <v>3866</v>
      </c>
      <c r="AE16" s="330">
        <v>3543</v>
      </c>
      <c r="AF16" s="330">
        <v>3653</v>
      </c>
      <c r="AG16" s="331">
        <v>3751</v>
      </c>
      <c r="AH16" s="331"/>
      <c r="AI16" s="331">
        <v>3314</v>
      </c>
      <c r="AJ16" s="331">
        <v>3262</v>
      </c>
      <c r="AK16" s="331">
        <v>3723</v>
      </c>
      <c r="AL16" s="331">
        <v>2678</v>
      </c>
      <c r="AM16" s="331"/>
      <c r="AN16" s="331">
        <v>2694</v>
      </c>
      <c r="AO16" s="331">
        <v>3047</v>
      </c>
      <c r="AP16" s="331">
        <v>2971</v>
      </c>
      <c r="AQ16" s="331">
        <v>2923</v>
      </c>
      <c r="AR16" s="310"/>
      <c r="AS16" s="331">
        <v>2784</v>
      </c>
      <c r="AT16" s="331">
        <v>3060</v>
      </c>
      <c r="AU16" s="331">
        <v>3244</v>
      </c>
      <c r="AV16" s="331">
        <v>3475</v>
      </c>
      <c r="AW16" s="330">
        <v>3611</v>
      </c>
      <c r="AX16" s="330">
        <v>3798</v>
      </c>
      <c r="AY16" s="330">
        <v>4390</v>
      </c>
      <c r="AZ16" s="330">
        <v>3945.8471660600003</v>
      </c>
      <c r="BA16" s="330">
        <v>3849</v>
      </c>
      <c r="BB16" s="330">
        <v>4017</v>
      </c>
      <c r="BC16" s="330">
        <v>4198</v>
      </c>
      <c r="BD16" s="330">
        <v>4057</v>
      </c>
      <c r="BE16" s="462">
        <v>3414</v>
      </c>
      <c r="BF16" s="462">
        <v>3561</v>
      </c>
      <c r="BG16" s="462">
        <v>4990</v>
      </c>
      <c r="BH16" s="462">
        <f>'[1]9 - Resultados por operação'!$BB$17</f>
        <v>5787.0281787939175</v>
      </c>
      <c r="BI16" s="462">
        <v>6883.1810690399998</v>
      </c>
      <c r="BJ16" s="462">
        <v>8940.2469098700003</v>
      </c>
      <c r="BK16" s="307" t="s">
        <v>257</v>
      </c>
    </row>
    <row r="17" spans="1:62" s="307" customFormat="1" ht="14">
      <c r="B17" s="326" t="s">
        <v>30</v>
      </c>
      <c r="C17" s="327">
        <v>2385</v>
      </c>
      <c r="D17" s="332">
        <v>2765</v>
      </c>
      <c r="E17" s="332">
        <v>3761</v>
      </c>
      <c r="F17" s="332">
        <v>2776</v>
      </c>
      <c r="G17" s="332">
        <v>1969</v>
      </c>
      <c r="H17" s="332">
        <v>2019</v>
      </c>
      <c r="I17" s="332">
        <v>2415</v>
      </c>
      <c r="J17" s="332">
        <v>2459</v>
      </c>
      <c r="K17" s="332">
        <v>2518</v>
      </c>
      <c r="L17" s="332">
        <v>2853</v>
      </c>
      <c r="M17" s="332">
        <v>2779</v>
      </c>
      <c r="N17" s="332">
        <v>2291</v>
      </c>
      <c r="O17" s="332"/>
      <c r="P17" s="327">
        <v>2344</v>
      </c>
      <c r="Q17" s="327">
        <v>2720</v>
      </c>
      <c r="R17" s="327">
        <v>2869</v>
      </c>
      <c r="S17" s="327">
        <v>2629</v>
      </c>
      <c r="T17" s="327">
        <v>2623</v>
      </c>
      <c r="U17" s="327">
        <v>2997</v>
      </c>
      <c r="V17" s="327">
        <v>2931</v>
      </c>
      <c r="W17" s="327">
        <v>2792</v>
      </c>
      <c r="X17" s="332"/>
      <c r="Y17" s="327">
        <v>3001</v>
      </c>
      <c r="Z17" s="327">
        <v>3234</v>
      </c>
      <c r="AA17" s="327">
        <v>3453</v>
      </c>
      <c r="AB17" s="327">
        <v>3175</v>
      </c>
      <c r="AC17" s="320"/>
      <c r="AD17" s="332">
        <v>3457</v>
      </c>
      <c r="AE17" s="332">
        <v>3148</v>
      </c>
      <c r="AF17" s="332">
        <v>3165</v>
      </c>
      <c r="AG17" s="332">
        <v>3067</v>
      </c>
      <c r="AH17" s="332"/>
      <c r="AI17" s="332">
        <v>2782</v>
      </c>
      <c r="AJ17" s="332">
        <v>2573</v>
      </c>
      <c r="AK17" s="332">
        <v>2563</v>
      </c>
      <c r="AL17" s="332">
        <v>1883</v>
      </c>
      <c r="AM17" s="332"/>
      <c r="AN17" s="332">
        <v>2011</v>
      </c>
      <c r="AO17" s="332">
        <v>2270</v>
      </c>
      <c r="AP17" s="332">
        <v>2213.5662459636201</v>
      </c>
      <c r="AQ17" s="332">
        <v>2074</v>
      </c>
      <c r="AR17" s="320"/>
      <c r="AS17" s="332">
        <v>2210</v>
      </c>
      <c r="AT17" s="332">
        <v>2295</v>
      </c>
      <c r="AU17" s="332">
        <v>2473</v>
      </c>
      <c r="AV17" s="332">
        <v>2530</v>
      </c>
      <c r="AW17" s="332">
        <v>2794</v>
      </c>
      <c r="AX17" s="332">
        <v>2931</v>
      </c>
      <c r="AY17" s="332">
        <v>3572</v>
      </c>
      <c r="AZ17" s="332">
        <v>3022.6881414600002</v>
      </c>
      <c r="BA17" s="332">
        <v>3010</v>
      </c>
      <c r="BB17" s="332">
        <v>3280</v>
      </c>
      <c r="BC17" s="332">
        <v>3446</v>
      </c>
      <c r="BD17" s="332">
        <v>3175</v>
      </c>
      <c r="BE17" s="463">
        <v>3008</v>
      </c>
      <c r="BF17" s="463">
        <v>2994</v>
      </c>
      <c r="BG17" s="463">
        <v>4464.7</v>
      </c>
      <c r="BH17" s="463">
        <f>'[1]9 - Resultados por operação'!$BB$18</f>
        <v>5258</v>
      </c>
      <c r="BI17" s="463">
        <v>6690.9570474399998</v>
      </c>
      <c r="BJ17" s="463">
        <v>8524.4523072699994</v>
      </c>
    </row>
    <row r="18" spans="1:62" s="307" customFormat="1" ht="14">
      <c r="B18" s="308" t="s">
        <v>31</v>
      </c>
      <c r="C18" s="333">
        <v>521</v>
      </c>
      <c r="D18" s="331">
        <v>811</v>
      </c>
      <c r="E18" s="331">
        <v>901</v>
      </c>
      <c r="F18" s="331">
        <v>513</v>
      </c>
      <c r="G18" s="331">
        <v>397</v>
      </c>
      <c r="H18" s="331">
        <v>389</v>
      </c>
      <c r="I18" s="331">
        <v>366</v>
      </c>
      <c r="J18" s="331">
        <v>318</v>
      </c>
      <c r="K18" s="331">
        <v>353</v>
      </c>
      <c r="L18" s="331">
        <v>443</v>
      </c>
      <c r="M18" s="331">
        <v>465</v>
      </c>
      <c r="N18" s="331">
        <v>757</v>
      </c>
      <c r="O18" s="331"/>
      <c r="P18" s="333">
        <v>843</v>
      </c>
      <c r="Q18" s="333">
        <v>862</v>
      </c>
      <c r="R18" s="333">
        <v>737</v>
      </c>
      <c r="S18" s="333">
        <v>929</v>
      </c>
      <c r="T18" s="333">
        <v>597</v>
      </c>
      <c r="U18" s="333">
        <v>727</v>
      </c>
      <c r="V18" s="333">
        <v>636</v>
      </c>
      <c r="W18" s="333">
        <v>797</v>
      </c>
      <c r="X18" s="331"/>
      <c r="Y18" s="333">
        <v>456</v>
      </c>
      <c r="Z18" s="333">
        <v>432</v>
      </c>
      <c r="AA18" s="333">
        <v>514</v>
      </c>
      <c r="AB18" s="333">
        <v>572</v>
      </c>
      <c r="AC18" s="310"/>
      <c r="AD18" s="331">
        <v>409</v>
      </c>
      <c r="AE18" s="331">
        <v>395</v>
      </c>
      <c r="AF18" s="331">
        <v>488</v>
      </c>
      <c r="AG18" s="331">
        <v>684</v>
      </c>
      <c r="AH18" s="331"/>
      <c r="AI18" s="331">
        <v>532</v>
      </c>
      <c r="AJ18" s="331">
        <v>688</v>
      </c>
      <c r="AK18" s="331">
        <v>1160</v>
      </c>
      <c r="AL18" s="331">
        <v>795</v>
      </c>
      <c r="AM18" s="331"/>
      <c r="AN18" s="331">
        <v>683</v>
      </c>
      <c r="AO18" s="331">
        <v>777</v>
      </c>
      <c r="AP18" s="331">
        <v>757.44056692639333</v>
      </c>
      <c r="AQ18" s="331">
        <v>849</v>
      </c>
      <c r="AR18" s="310"/>
      <c r="AS18" s="331">
        <v>574</v>
      </c>
      <c r="AT18" s="331">
        <v>765</v>
      </c>
      <c r="AU18" s="331">
        <v>771</v>
      </c>
      <c r="AV18" s="331">
        <v>945</v>
      </c>
      <c r="AW18" s="331">
        <v>817</v>
      </c>
      <c r="AX18" s="331">
        <v>867</v>
      </c>
      <c r="AY18" s="331">
        <v>818</v>
      </c>
      <c r="AZ18" s="331">
        <v>923.15902460000007</v>
      </c>
      <c r="BA18" s="331">
        <v>839</v>
      </c>
      <c r="BB18" s="331">
        <v>737</v>
      </c>
      <c r="BC18" s="331">
        <v>752</v>
      </c>
      <c r="BD18" s="331">
        <v>882</v>
      </c>
      <c r="BE18" s="464">
        <v>406</v>
      </c>
      <c r="BF18" s="464">
        <v>567</v>
      </c>
      <c r="BG18" s="558">
        <v>525.5</v>
      </c>
      <c r="BH18" s="558">
        <f>'[1]9 - Resultados por operação'!$BB$19</f>
        <v>529</v>
      </c>
      <c r="BI18" s="558">
        <v>192.22402160000001</v>
      </c>
      <c r="BJ18" s="558">
        <v>415.79460259999996</v>
      </c>
    </row>
    <row r="19" spans="1:62" s="334" customFormat="1" ht="14">
      <c r="B19" s="317" t="s">
        <v>141</v>
      </c>
      <c r="C19" s="318">
        <v>960</v>
      </c>
      <c r="D19" s="318">
        <v>1426</v>
      </c>
      <c r="E19" s="318">
        <v>2137</v>
      </c>
      <c r="F19" s="318">
        <v>1493</v>
      </c>
      <c r="G19" s="327">
        <v>713</v>
      </c>
      <c r="H19" s="327">
        <v>647</v>
      </c>
      <c r="I19" s="327">
        <v>913</v>
      </c>
      <c r="J19" s="327">
        <v>910</v>
      </c>
      <c r="K19" s="327">
        <v>804</v>
      </c>
      <c r="L19" s="327">
        <v>953</v>
      </c>
      <c r="M19" s="327">
        <v>713</v>
      </c>
      <c r="N19" s="327">
        <v>446</v>
      </c>
      <c r="O19" s="327"/>
      <c r="P19" s="327">
        <v>488</v>
      </c>
      <c r="Q19" s="327">
        <v>627</v>
      </c>
      <c r="R19" s="327">
        <v>631</v>
      </c>
      <c r="S19" s="327">
        <v>563</v>
      </c>
      <c r="T19" s="327">
        <v>427</v>
      </c>
      <c r="U19" s="327">
        <v>610</v>
      </c>
      <c r="V19" s="327">
        <v>715</v>
      </c>
      <c r="W19" s="327">
        <v>717</v>
      </c>
      <c r="X19" s="327"/>
      <c r="Y19" s="327">
        <v>514</v>
      </c>
      <c r="Z19" s="327">
        <v>725</v>
      </c>
      <c r="AA19" s="327">
        <v>950</v>
      </c>
      <c r="AB19" s="327">
        <v>765</v>
      </c>
      <c r="AC19" s="320"/>
      <c r="AD19" s="332">
        <v>869</v>
      </c>
      <c r="AE19" s="332">
        <v>645</v>
      </c>
      <c r="AF19" s="332">
        <v>600</v>
      </c>
      <c r="AG19" s="332">
        <v>696</v>
      </c>
      <c r="AH19" s="332"/>
      <c r="AI19" s="332">
        <v>509</v>
      </c>
      <c r="AJ19" s="332">
        <v>453</v>
      </c>
      <c r="AK19" s="332">
        <v>440</v>
      </c>
      <c r="AL19" s="332">
        <v>143</v>
      </c>
      <c r="AM19" s="332"/>
      <c r="AN19" s="332">
        <v>222</v>
      </c>
      <c r="AO19" s="332">
        <v>344</v>
      </c>
      <c r="AP19" s="332">
        <v>518</v>
      </c>
      <c r="AQ19" s="332">
        <v>146</v>
      </c>
      <c r="AR19" s="320"/>
      <c r="AS19" s="332">
        <v>300</v>
      </c>
      <c r="AT19" s="332">
        <v>376</v>
      </c>
      <c r="AU19" s="332">
        <v>366</v>
      </c>
      <c r="AV19" s="332">
        <v>525</v>
      </c>
      <c r="AW19" s="328">
        <v>682</v>
      </c>
      <c r="AX19" s="328">
        <v>659</v>
      </c>
      <c r="AY19" s="328">
        <v>788</v>
      </c>
      <c r="AZ19" s="328">
        <v>571.3689206799022</v>
      </c>
      <c r="BA19" s="328">
        <v>528</v>
      </c>
      <c r="BB19" s="328">
        <v>592</v>
      </c>
      <c r="BC19" s="328">
        <v>363</v>
      </c>
      <c r="BD19" s="328">
        <v>275</v>
      </c>
      <c r="BE19" s="465">
        <v>405</v>
      </c>
      <c r="BF19" s="465">
        <v>413</v>
      </c>
      <c r="BG19" s="559">
        <v>1087</v>
      </c>
      <c r="BH19" s="559">
        <f>'[1]9 - Resultados por operação'!$BB$20</f>
        <v>1667.6125337419144</v>
      </c>
      <c r="BI19" s="559">
        <v>2397.1382041099987</v>
      </c>
      <c r="BJ19" s="559">
        <v>3497.7014919100011</v>
      </c>
    </row>
    <row r="20" spans="1:62" s="334" customFormat="1" ht="14">
      <c r="B20" s="314" t="s">
        <v>0</v>
      </c>
      <c r="C20" s="329">
        <v>821</v>
      </c>
      <c r="D20" s="329">
        <v>1208</v>
      </c>
      <c r="E20" s="329">
        <v>1917</v>
      </c>
      <c r="F20" s="329">
        <v>1326</v>
      </c>
      <c r="G20" s="333">
        <v>653</v>
      </c>
      <c r="H20" s="333">
        <v>571</v>
      </c>
      <c r="I20" s="333">
        <v>830</v>
      </c>
      <c r="J20" s="333">
        <v>833</v>
      </c>
      <c r="K20" s="333">
        <v>796</v>
      </c>
      <c r="L20" s="333">
        <v>876</v>
      </c>
      <c r="M20" s="333">
        <v>654</v>
      </c>
      <c r="N20" s="333">
        <v>383</v>
      </c>
      <c r="O20" s="333"/>
      <c r="P20" s="333">
        <v>504</v>
      </c>
      <c r="Q20" s="333">
        <v>567</v>
      </c>
      <c r="R20" s="333">
        <v>618</v>
      </c>
      <c r="S20" s="333">
        <v>531</v>
      </c>
      <c r="T20" s="333">
        <v>411</v>
      </c>
      <c r="U20" s="333">
        <v>589</v>
      </c>
      <c r="V20" s="333">
        <v>691</v>
      </c>
      <c r="W20" s="333">
        <v>703</v>
      </c>
      <c r="X20" s="333"/>
      <c r="Y20" s="333">
        <v>496</v>
      </c>
      <c r="Z20" s="333">
        <v>702</v>
      </c>
      <c r="AA20" s="333">
        <v>933</v>
      </c>
      <c r="AB20" s="333">
        <v>848</v>
      </c>
      <c r="AC20" s="310"/>
      <c r="AD20" s="331">
        <v>853</v>
      </c>
      <c r="AE20" s="331">
        <v>651</v>
      </c>
      <c r="AF20" s="331">
        <v>596</v>
      </c>
      <c r="AG20" s="331">
        <v>715</v>
      </c>
      <c r="AH20" s="331"/>
      <c r="AI20" s="331">
        <v>521</v>
      </c>
      <c r="AJ20" s="331">
        <v>479</v>
      </c>
      <c r="AK20" s="331">
        <v>470</v>
      </c>
      <c r="AL20" s="331">
        <v>186</v>
      </c>
      <c r="AM20" s="331"/>
      <c r="AN20" s="331">
        <v>248</v>
      </c>
      <c r="AO20" s="331">
        <v>402</v>
      </c>
      <c r="AP20" s="331">
        <v>585</v>
      </c>
      <c r="AQ20" s="331">
        <v>264</v>
      </c>
      <c r="AR20" s="310"/>
      <c r="AS20" s="331">
        <v>389</v>
      </c>
      <c r="AT20" s="331">
        <v>473</v>
      </c>
      <c r="AU20" s="331">
        <v>458</v>
      </c>
      <c r="AV20" s="331">
        <v>605</v>
      </c>
      <c r="AW20" s="330">
        <v>751</v>
      </c>
      <c r="AX20" s="330">
        <v>743</v>
      </c>
      <c r="AY20" s="330">
        <v>891</v>
      </c>
      <c r="AZ20" s="330">
        <v>646.66360937990214</v>
      </c>
      <c r="BA20" s="330">
        <v>674</v>
      </c>
      <c r="BB20" s="330">
        <v>716</v>
      </c>
      <c r="BC20" s="330">
        <v>706</v>
      </c>
      <c r="BD20" s="330">
        <v>543</v>
      </c>
      <c r="BE20" s="466">
        <v>537</v>
      </c>
      <c r="BF20" s="466">
        <v>663</v>
      </c>
      <c r="BG20" s="560">
        <v>1253</v>
      </c>
      <c r="BH20" s="560">
        <f>'[1]9 - Resultados por operação'!$BB$21</f>
        <v>1790</v>
      </c>
      <c r="BI20" s="560">
        <v>2537.1682575999989</v>
      </c>
      <c r="BJ20" s="560">
        <v>3634.435931550001</v>
      </c>
    </row>
    <row r="21" spans="1:62" s="334" customFormat="1" ht="14">
      <c r="B21" s="317" t="s">
        <v>49</v>
      </c>
      <c r="C21" s="318">
        <v>206</v>
      </c>
      <c r="D21" s="318">
        <v>163</v>
      </c>
      <c r="E21" s="318">
        <v>212</v>
      </c>
      <c r="F21" s="318">
        <v>208</v>
      </c>
      <c r="G21" s="327">
        <v>175</v>
      </c>
      <c r="H21" s="327">
        <v>172</v>
      </c>
      <c r="I21" s="327">
        <v>175</v>
      </c>
      <c r="J21" s="327">
        <v>190</v>
      </c>
      <c r="K21" s="327">
        <v>223</v>
      </c>
      <c r="L21" s="327">
        <v>236</v>
      </c>
      <c r="M21" s="327">
        <v>239</v>
      </c>
      <c r="N21" s="327">
        <v>241</v>
      </c>
      <c r="O21" s="327"/>
      <c r="P21" s="327">
        <v>220</v>
      </c>
      <c r="Q21" s="327">
        <v>204</v>
      </c>
      <c r="R21" s="327">
        <v>214</v>
      </c>
      <c r="S21" s="327">
        <v>211</v>
      </c>
      <c r="T21" s="327">
        <v>203</v>
      </c>
      <c r="U21" s="327">
        <v>185</v>
      </c>
      <c r="V21" s="327">
        <v>191</v>
      </c>
      <c r="W21" s="327">
        <v>189</v>
      </c>
      <c r="X21" s="327"/>
      <c r="Y21" s="327">
        <v>188</v>
      </c>
      <c r="Z21" s="327">
        <v>186</v>
      </c>
      <c r="AA21" s="327">
        <v>206</v>
      </c>
      <c r="AB21" s="327">
        <v>217</v>
      </c>
      <c r="AC21" s="320"/>
      <c r="AD21" s="332">
        <v>212</v>
      </c>
      <c r="AE21" s="332">
        <v>221</v>
      </c>
      <c r="AF21" s="332">
        <v>235</v>
      </c>
      <c r="AG21" s="332">
        <v>239</v>
      </c>
      <c r="AH21" s="332"/>
      <c r="AI21" s="332">
        <v>228</v>
      </c>
      <c r="AJ21" s="332">
        <v>238</v>
      </c>
      <c r="AK21" s="332">
        <v>227</v>
      </c>
      <c r="AL21" s="332">
        <v>236</v>
      </c>
      <c r="AM21" s="332"/>
      <c r="AN21" s="332">
        <v>215</v>
      </c>
      <c r="AO21" s="332">
        <v>220</v>
      </c>
      <c r="AP21" s="332">
        <v>227</v>
      </c>
      <c r="AQ21" s="332">
        <v>283</v>
      </c>
      <c r="AR21" s="320"/>
      <c r="AS21" s="332">
        <v>227</v>
      </c>
      <c r="AT21" s="332">
        <v>230</v>
      </c>
      <c r="AU21" s="332">
        <v>226</v>
      </c>
      <c r="AV21" s="332">
        <v>226</v>
      </c>
      <c r="AW21" s="328">
        <v>217</v>
      </c>
      <c r="AX21" s="328">
        <v>214</v>
      </c>
      <c r="AY21" s="328">
        <v>231</v>
      </c>
      <c r="AZ21" s="328">
        <v>266</v>
      </c>
      <c r="BA21" s="328">
        <v>255</v>
      </c>
      <c r="BB21" s="328">
        <v>259</v>
      </c>
      <c r="BC21" s="328">
        <v>236</v>
      </c>
      <c r="BD21" s="328">
        <v>259</v>
      </c>
      <c r="BE21" s="465">
        <v>260</v>
      </c>
      <c r="BF21" s="465">
        <v>275</v>
      </c>
      <c r="BG21" s="559">
        <v>297</v>
      </c>
      <c r="BH21" s="559">
        <f>'[1]9 - Resultados por operação'!$BB$22</f>
        <v>302.59204889038494</v>
      </c>
      <c r="BI21" s="559">
        <v>309.55314450000003</v>
      </c>
      <c r="BJ21" s="559">
        <v>318.52056004999986</v>
      </c>
    </row>
    <row r="22" spans="1:62" s="334" customFormat="1" ht="4" customHeight="1">
      <c r="B22" s="317"/>
      <c r="C22" s="318"/>
      <c r="D22" s="318"/>
      <c r="E22" s="318"/>
      <c r="F22" s="318"/>
      <c r="G22" s="327"/>
      <c r="H22" s="327"/>
      <c r="I22" s="327"/>
      <c r="J22" s="327"/>
      <c r="K22" s="327"/>
      <c r="L22" s="327"/>
      <c r="M22" s="327"/>
      <c r="N22" s="327"/>
      <c r="O22" s="327"/>
      <c r="P22" s="327"/>
      <c r="Q22" s="327"/>
      <c r="R22" s="327"/>
      <c r="S22" s="327"/>
      <c r="T22" s="327"/>
      <c r="U22" s="327"/>
      <c r="V22" s="327"/>
      <c r="W22" s="327"/>
      <c r="X22" s="327"/>
      <c r="Y22" s="327"/>
      <c r="Z22" s="327"/>
      <c r="AA22" s="327"/>
      <c r="AB22" s="327"/>
      <c r="AC22" s="320"/>
      <c r="AD22" s="332"/>
      <c r="AE22" s="332"/>
      <c r="AF22" s="332"/>
      <c r="AG22" s="332"/>
      <c r="AH22" s="332"/>
      <c r="AI22" s="332"/>
      <c r="AJ22" s="332"/>
      <c r="AK22" s="332"/>
      <c r="AL22" s="332"/>
      <c r="AM22" s="332"/>
      <c r="AN22" s="332"/>
      <c r="AO22" s="332"/>
      <c r="AP22" s="332"/>
      <c r="AQ22" s="332"/>
      <c r="AR22" s="320"/>
      <c r="AS22" s="332"/>
      <c r="AT22" s="332"/>
      <c r="AU22" s="332"/>
      <c r="AV22" s="332"/>
      <c r="AW22" s="328"/>
      <c r="AX22" s="328"/>
      <c r="AY22" s="328"/>
      <c r="AZ22" s="328"/>
      <c r="BA22" s="328"/>
      <c r="BB22" s="328"/>
      <c r="BC22" s="328"/>
      <c r="BD22" s="328"/>
      <c r="BE22" s="328"/>
      <c r="BF22" s="328"/>
      <c r="BG22" s="328"/>
      <c r="BH22" s="328"/>
      <c r="BI22" s="328"/>
      <c r="BJ22" s="328"/>
    </row>
    <row r="23" spans="1:62" s="334" customFormat="1" ht="14">
      <c r="B23" s="405" t="s">
        <v>248</v>
      </c>
      <c r="C23" s="329"/>
      <c r="D23" s="329"/>
      <c r="E23" s="329"/>
      <c r="F23" s="329"/>
      <c r="G23" s="333"/>
      <c r="H23" s="333"/>
      <c r="I23" s="333"/>
      <c r="J23" s="333"/>
      <c r="K23" s="333"/>
      <c r="L23" s="333"/>
      <c r="M23" s="333"/>
      <c r="N23" s="333"/>
      <c r="O23" s="333"/>
      <c r="P23" s="333"/>
      <c r="Q23" s="333"/>
      <c r="R23" s="333"/>
      <c r="S23" s="333"/>
      <c r="T23" s="333"/>
      <c r="U23" s="333"/>
      <c r="V23" s="333"/>
      <c r="W23" s="333"/>
      <c r="X23" s="333"/>
      <c r="Y23" s="333"/>
      <c r="Z23" s="333"/>
      <c r="AA23" s="333"/>
      <c r="AB23" s="333"/>
      <c r="AC23" s="310"/>
      <c r="AD23" s="331"/>
      <c r="AE23" s="331"/>
      <c r="AF23" s="331"/>
      <c r="AG23" s="331"/>
      <c r="AH23" s="331"/>
      <c r="AI23" s="331"/>
      <c r="AJ23" s="331"/>
      <c r="AK23" s="331"/>
      <c r="AL23" s="331"/>
      <c r="AM23" s="331"/>
      <c r="AN23" s="331"/>
      <c r="AO23" s="331"/>
      <c r="AP23" s="331"/>
      <c r="AQ23" s="331"/>
      <c r="AR23" s="310"/>
      <c r="AS23" s="331"/>
      <c r="AT23" s="331"/>
      <c r="AU23" s="331"/>
      <c r="AV23" s="331"/>
      <c r="AW23" s="330"/>
      <c r="AX23" s="406">
        <v>545</v>
      </c>
      <c r="AY23" s="406">
        <v>627</v>
      </c>
      <c r="AZ23" s="406">
        <v>493</v>
      </c>
      <c r="BA23" s="406">
        <v>497</v>
      </c>
      <c r="BB23" s="406">
        <v>533</v>
      </c>
      <c r="BC23" s="406">
        <v>499</v>
      </c>
      <c r="BD23" s="406">
        <v>364</v>
      </c>
      <c r="BE23" s="466">
        <v>481</v>
      </c>
      <c r="BF23" s="607">
        <f>567.151411462789</f>
        <v>567.15141146278904</v>
      </c>
      <c r="BG23" s="607">
        <v>827.60898282694848</v>
      </c>
      <c r="BH23" s="607">
        <f>'[1]9 - Resultados por operação'!$BB$24</f>
        <v>1261.4517265680056</v>
      </c>
      <c r="BI23" s="607">
        <v>1975.1217009987042</v>
      </c>
      <c r="BJ23" s="607">
        <v>2463.0691904901969</v>
      </c>
    </row>
    <row r="24" spans="1:62" s="334" customFormat="1" ht="14">
      <c r="B24" s="335"/>
      <c r="C24" s="336"/>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D24" s="337"/>
      <c r="AE24" s="337"/>
      <c r="AF24" s="337"/>
      <c r="AG24" s="337"/>
      <c r="AH24" s="337"/>
      <c r="AI24" s="337"/>
      <c r="AJ24" s="337"/>
      <c r="AK24" s="337"/>
      <c r="AL24" s="337"/>
      <c r="AM24" s="337"/>
      <c r="AN24" s="337"/>
      <c r="AO24" s="337"/>
      <c r="AP24" s="337"/>
      <c r="AQ24" s="337"/>
      <c r="AS24" s="337"/>
      <c r="AT24" s="337"/>
      <c r="AU24" s="337"/>
      <c r="AV24" s="337"/>
      <c r="AW24" s="337"/>
      <c r="AX24" s="337"/>
      <c r="AY24" s="337"/>
      <c r="AZ24" s="337"/>
      <c r="BA24" s="337"/>
      <c r="BB24" s="337"/>
      <c r="BC24" s="337"/>
      <c r="BD24" s="337"/>
      <c r="BE24" s="337"/>
      <c r="BF24" s="337"/>
      <c r="BG24" s="337"/>
      <c r="BH24" s="337"/>
      <c r="BI24" s="337"/>
      <c r="BJ24" s="337"/>
    </row>
    <row r="25" spans="1:62" s="307" customFormat="1" ht="14.5" customHeight="1">
      <c r="A25" s="303"/>
      <c r="B25" s="308" t="s">
        <v>216</v>
      </c>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309"/>
      <c r="AE25" s="309"/>
      <c r="AF25" s="309"/>
      <c r="AG25" s="309"/>
      <c r="AH25" s="309"/>
      <c r="AI25" s="309"/>
      <c r="AJ25" s="309"/>
      <c r="AK25" s="309"/>
      <c r="AL25" s="309"/>
      <c r="AM25" s="309"/>
      <c r="AN25" s="309"/>
      <c r="AO25" s="309"/>
      <c r="AP25" s="309"/>
      <c r="AQ25" s="309"/>
      <c r="AR25" s="310"/>
      <c r="AS25" s="309"/>
      <c r="AT25" s="309"/>
      <c r="AU25" s="309"/>
      <c r="AV25" s="309"/>
      <c r="AW25" s="309"/>
      <c r="AX25" s="309"/>
      <c r="AY25" s="309"/>
      <c r="AZ25" s="309"/>
      <c r="BA25" s="309"/>
      <c r="BB25" s="309"/>
      <c r="BC25" s="309"/>
      <c r="BD25" s="309"/>
      <c r="BE25" s="309"/>
      <c r="BF25" s="309"/>
      <c r="BG25" s="309"/>
      <c r="BH25" s="309"/>
      <c r="BI25" s="309"/>
      <c r="BJ25" s="309"/>
    </row>
    <row r="26" spans="1:62" s="311" customFormat="1" ht="14">
      <c r="B26" s="312" t="s">
        <v>140</v>
      </c>
      <c r="C26" s="312">
        <v>3509</v>
      </c>
      <c r="D26" s="312">
        <v>4170</v>
      </c>
      <c r="E26" s="312">
        <v>4144</v>
      </c>
      <c r="F26" s="312">
        <v>3194</v>
      </c>
      <c r="G26" s="313">
        <v>2398</v>
      </c>
      <c r="H26" s="313">
        <v>2112</v>
      </c>
      <c r="I26" s="313">
        <v>2130</v>
      </c>
      <c r="J26" s="313">
        <v>1653</v>
      </c>
      <c r="K26" s="313">
        <v>1999</v>
      </c>
      <c r="L26" s="313">
        <v>2317</v>
      </c>
      <c r="M26" s="313">
        <v>2332</v>
      </c>
      <c r="N26" s="313">
        <v>2188</v>
      </c>
      <c r="O26" s="313"/>
      <c r="P26" s="313">
        <v>2628</v>
      </c>
      <c r="Q26" s="313">
        <v>2690</v>
      </c>
      <c r="R26" s="313">
        <v>2676</v>
      </c>
      <c r="S26" s="313">
        <v>2817</v>
      </c>
      <c r="T26" s="313">
        <v>3141</v>
      </c>
      <c r="U26" s="313">
        <v>3184</v>
      </c>
      <c r="V26" s="313">
        <v>3415</v>
      </c>
      <c r="W26" s="313">
        <v>2709</v>
      </c>
      <c r="X26" s="313"/>
      <c r="Y26" s="313">
        <v>2925</v>
      </c>
      <c r="Z26" s="313">
        <v>3092</v>
      </c>
      <c r="AA26" s="313">
        <v>3443</v>
      </c>
      <c r="AB26" s="313">
        <v>3102</v>
      </c>
      <c r="AC26" s="313"/>
      <c r="AD26" s="313">
        <v>3420</v>
      </c>
      <c r="AE26" s="312">
        <v>3709</v>
      </c>
      <c r="AF26" s="313">
        <v>3819</v>
      </c>
      <c r="AG26" s="313">
        <v>3693</v>
      </c>
      <c r="AH26" s="313"/>
      <c r="AI26" s="313">
        <v>3837</v>
      </c>
      <c r="AJ26" s="313">
        <v>4332</v>
      </c>
      <c r="AK26" s="313">
        <v>4833</v>
      </c>
      <c r="AL26" s="313">
        <v>4311</v>
      </c>
      <c r="AM26" s="313"/>
      <c r="AN26" s="313">
        <v>4297</v>
      </c>
      <c r="AO26" s="313">
        <v>4291</v>
      </c>
      <c r="AP26" s="313">
        <v>3470</v>
      </c>
      <c r="AQ26" s="313">
        <v>3373</v>
      </c>
      <c r="AR26" s="313"/>
      <c r="AS26" s="313">
        <v>3624</v>
      </c>
      <c r="AT26" s="313">
        <v>3903</v>
      </c>
      <c r="AU26" s="313">
        <v>4003</v>
      </c>
      <c r="AV26" s="313">
        <v>3903</v>
      </c>
      <c r="AW26" s="313">
        <v>4428</v>
      </c>
      <c r="AX26" s="313">
        <v>5411</v>
      </c>
      <c r="AY26" s="313">
        <v>5753</v>
      </c>
      <c r="AZ26" s="313">
        <v>4334.7418344398993</v>
      </c>
      <c r="BA26" s="313">
        <v>3842</v>
      </c>
      <c r="BB26" s="313">
        <v>3812</v>
      </c>
      <c r="BC26" s="313">
        <v>3627</v>
      </c>
      <c r="BD26" s="432">
        <v>3375</v>
      </c>
      <c r="BE26" s="459">
        <v>3966</v>
      </c>
      <c r="BF26" s="432">
        <v>3979</v>
      </c>
      <c r="BG26" s="432">
        <v>4483</v>
      </c>
      <c r="BH26" s="432">
        <f>'[1]9 - Resultados por operação'!$BB$27</f>
        <v>5030.3870877474301</v>
      </c>
      <c r="BI26" s="432">
        <v>5887.9537092700011</v>
      </c>
      <c r="BJ26" s="432">
        <v>6611.6774514600002</v>
      </c>
    </row>
    <row r="27" spans="1:62" s="307" customFormat="1" ht="14">
      <c r="B27" s="314" t="s">
        <v>141</v>
      </c>
      <c r="C27" s="315">
        <v>644</v>
      </c>
      <c r="D27" s="315">
        <v>839</v>
      </c>
      <c r="E27" s="315">
        <v>927</v>
      </c>
      <c r="F27" s="315">
        <v>0</v>
      </c>
      <c r="G27" s="315">
        <v>100</v>
      </c>
      <c r="H27" s="315">
        <v>134</v>
      </c>
      <c r="I27" s="315">
        <v>281</v>
      </c>
      <c r="J27" s="315">
        <v>75</v>
      </c>
      <c r="K27" s="315">
        <v>192</v>
      </c>
      <c r="L27" s="315">
        <v>250</v>
      </c>
      <c r="M27" s="315">
        <v>213</v>
      </c>
      <c r="N27" s="315">
        <v>182</v>
      </c>
      <c r="O27" s="315"/>
      <c r="P27" s="315">
        <v>307</v>
      </c>
      <c r="Q27" s="315">
        <v>314</v>
      </c>
      <c r="R27" s="315">
        <v>292</v>
      </c>
      <c r="S27" s="315">
        <v>216</v>
      </c>
      <c r="T27" s="315">
        <v>335</v>
      </c>
      <c r="U27" s="315">
        <v>351</v>
      </c>
      <c r="V27" s="315">
        <v>223</v>
      </c>
      <c r="W27" s="315">
        <v>88</v>
      </c>
      <c r="X27" s="315"/>
      <c r="Y27" s="315">
        <v>171</v>
      </c>
      <c r="Z27" s="315">
        <v>187</v>
      </c>
      <c r="AA27" s="315">
        <v>147</v>
      </c>
      <c r="AB27" s="315">
        <v>138</v>
      </c>
      <c r="AC27" s="310"/>
      <c r="AD27" s="315">
        <v>101</v>
      </c>
      <c r="AE27" s="315">
        <v>276</v>
      </c>
      <c r="AF27" s="315">
        <v>345</v>
      </c>
      <c r="AG27" s="315">
        <v>225</v>
      </c>
      <c r="AH27" s="315"/>
      <c r="AI27" s="315">
        <v>237</v>
      </c>
      <c r="AJ27" s="315">
        <v>440</v>
      </c>
      <c r="AK27" s="315">
        <v>472</v>
      </c>
      <c r="AL27" s="315">
        <v>363</v>
      </c>
      <c r="AM27" s="315"/>
      <c r="AN27" s="315">
        <v>302</v>
      </c>
      <c r="AO27" s="315">
        <v>349</v>
      </c>
      <c r="AP27" s="315">
        <v>207</v>
      </c>
      <c r="AQ27" s="315">
        <v>59</v>
      </c>
      <c r="AR27" s="310"/>
      <c r="AS27" s="315">
        <v>110</v>
      </c>
      <c r="AT27" s="315">
        <v>191</v>
      </c>
      <c r="AU27" s="315">
        <v>193</v>
      </c>
      <c r="AV27" s="315">
        <v>116</v>
      </c>
      <c r="AW27" s="315">
        <v>240</v>
      </c>
      <c r="AX27" s="315">
        <v>505</v>
      </c>
      <c r="AY27" s="315">
        <v>598</v>
      </c>
      <c r="AZ27" s="315">
        <v>419.97716676222808</v>
      </c>
      <c r="BA27" s="315">
        <v>442</v>
      </c>
      <c r="BB27" s="315">
        <v>371</v>
      </c>
      <c r="BC27" s="315">
        <v>317</v>
      </c>
      <c r="BD27" s="433">
        <v>174</v>
      </c>
      <c r="BE27" s="460">
        <v>318</v>
      </c>
      <c r="BF27" s="433">
        <v>249</v>
      </c>
      <c r="BG27" s="433">
        <v>288</v>
      </c>
      <c r="BH27" s="433">
        <f>'[1]9 - Resultados por operação'!$BB$28</f>
        <v>391.43246525038921</v>
      </c>
      <c r="BI27" s="433">
        <v>735.47944932209793</v>
      </c>
      <c r="BJ27" s="433">
        <v>1192.5274986551458</v>
      </c>
    </row>
    <row r="28" spans="1:62" s="307" customFormat="1" ht="14.5">
      <c r="A28" s="316"/>
      <c r="B28" s="317" t="s">
        <v>163</v>
      </c>
      <c r="C28" s="318">
        <v>683</v>
      </c>
      <c r="D28" s="318">
        <v>875</v>
      </c>
      <c r="E28" s="318">
        <v>990</v>
      </c>
      <c r="F28" s="318">
        <v>-56</v>
      </c>
      <c r="G28" s="318">
        <v>88</v>
      </c>
      <c r="H28" s="318">
        <v>125</v>
      </c>
      <c r="I28" s="318">
        <v>306</v>
      </c>
      <c r="J28" s="318">
        <v>120</v>
      </c>
      <c r="K28" s="318">
        <v>207</v>
      </c>
      <c r="L28" s="318">
        <v>249</v>
      </c>
      <c r="M28" s="318">
        <v>196</v>
      </c>
      <c r="N28" s="318">
        <v>136</v>
      </c>
      <c r="O28" s="319"/>
      <c r="P28" s="318">
        <v>332</v>
      </c>
      <c r="Q28" s="318">
        <v>352</v>
      </c>
      <c r="R28" s="318">
        <v>306</v>
      </c>
      <c r="S28" s="318">
        <v>187</v>
      </c>
      <c r="T28" s="318">
        <v>330</v>
      </c>
      <c r="U28" s="318">
        <v>328</v>
      </c>
      <c r="V28" s="318">
        <v>205</v>
      </c>
      <c r="W28" s="318">
        <v>59</v>
      </c>
      <c r="X28" s="319"/>
      <c r="Y28" s="318">
        <v>148</v>
      </c>
      <c r="Z28" s="318">
        <v>158</v>
      </c>
      <c r="AA28" s="318">
        <v>129</v>
      </c>
      <c r="AB28" s="318">
        <v>140</v>
      </c>
      <c r="AC28" s="320"/>
      <c r="AD28" s="318">
        <v>79</v>
      </c>
      <c r="AE28" s="318">
        <v>289</v>
      </c>
      <c r="AF28" s="318">
        <v>342</v>
      </c>
      <c r="AG28" s="321">
        <v>192</v>
      </c>
      <c r="AH28" s="321"/>
      <c r="AI28" s="321">
        <v>238</v>
      </c>
      <c r="AJ28" s="321">
        <v>430</v>
      </c>
      <c r="AK28" s="321">
        <v>495</v>
      </c>
      <c r="AL28" s="321">
        <v>377</v>
      </c>
      <c r="AM28" s="321"/>
      <c r="AN28" s="321">
        <v>331</v>
      </c>
      <c r="AO28" s="321">
        <v>383</v>
      </c>
      <c r="AP28" s="321">
        <v>261</v>
      </c>
      <c r="AQ28" s="321">
        <v>127</v>
      </c>
      <c r="AR28" s="320"/>
      <c r="AS28" s="321">
        <v>157</v>
      </c>
      <c r="AT28" s="321">
        <v>234</v>
      </c>
      <c r="AU28" s="321">
        <v>239</v>
      </c>
      <c r="AV28" s="321">
        <v>167</v>
      </c>
      <c r="AW28" s="321">
        <v>248</v>
      </c>
      <c r="AX28" s="321">
        <v>497</v>
      </c>
      <c r="AY28" s="321">
        <v>605</v>
      </c>
      <c r="AZ28" s="321">
        <v>437.24986652427759</v>
      </c>
      <c r="BA28" s="321">
        <v>506</v>
      </c>
      <c r="BB28" s="321">
        <v>425</v>
      </c>
      <c r="BC28" s="321">
        <v>380</v>
      </c>
      <c r="BD28" s="434">
        <v>257</v>
      </c>
      <c r="BE28" s="459">
        <v>425</v>
      </c>
      <c r="BF28" s="434">
        <v>418</v>
      </c>
      <c r="BG28" s="434">
        <v>461</v>
      </c>
      <c r="BH28" s="434">
        <f>'[1]9 - Resultados por operação'!$BB$29</f>
        <v>562</v>
      </c>
      <c r="BI28" s="434">
        <v>843.05476348183538</v>
      </c>
      <c r="BJ28" s="434">
        <v>1351.6834305440786</v>
      </c>
    </row>
    <row r="29" spans="1:62" s="307" customFormat="1" ht="14">
      <c r="B29" s="314" t="s">
        <v>49</v>
      </c>
      <c r="C29" s="315">
        <v>130</v>
      </c>
      <c r="D29" s="315">
        <v>127</v>
      </c>
      <c r="E29" s="315">
        <v>117</v>
      </c>
      <c r="F29" s="315">
        <v>218</v>
      </c>
      <c r="G29" s="315">
        <v>159</v>
      </c>
      <c r="H29" s="315">
        <v>144</v>
      </c>
      <c r="I29" s="315">
        <v>129</v>
      </c>
      <c r="J29" s="315">
        <v>126</v>
      </c>
      <c r="K29" s="315">
        <v>110</v>
      </c>
      <c r="L29" s="315">
        <v>110</v>
      </c>
      <c r="M29" s="315">
        <v>108</v>
      </c>
      <c r="N29" s="315">
        <v>107</v>
      </c>
      <c r="O29" s="315"/>
      <c r="P29" s="315">
        <v>107</v>
      </c>
      <c r="Q29" s="315">
        <v>102</v>
      </c>
      <c r="R29" s="315">
        <v>103</v>
      </c>
      <c r="S29" s="315">
        <v>112</v>
      </c>
      <c r="T29" s="315">
        <v>106</v>
      </c>
      <c r="U29" s="315">
        <v>117</v>
      </c>
      <c r="V29" s="315">
        <v>122</v>
      </c>
      <c r="W29" s="315">
        <v>126</v>
      </c>
      <c r="X29" s="315"/>
      <c r="Y29" s="315">
        <v>115</v>
      </c>
      <c r="Z29" s="315">
        <v>119</v>
      </c>
      <c r="AA29" s="315">
        <v>133</v>
      </c>
      <c r="AB29" s="315">
        <v>149</v>
      </c>
      <c r="AC29" s="310"/>
      <c r="AD29" s="315">
        <v>142</v>
      </c>
      <c r="AE29" s="315">
        <v>141</v>
      </c>
      <c r="AF29" s="315">
        <v>143</v>
      </c>
      <c r="AG29" s="315">
        <v>164</v>
      </c>
      <c r="AH29" s="315"/>
      <c r="AI29" s="315">
        <v>175</v>
      </c>
      <c r="AJ29" s="315">
        <v>195</v>
      </c>
      <c r="AK29" s="315">
        <v>226</v>
      </c>
      <c r="AL29" s="315">
        <v>238</v>
      </c>
      <c r="AM29" s="315"/>
      <c r="AN29" s="315">
        <v>238</v>
      </c>
      <c r="AO29" s="315">
        <v>215</v>
      </c>
      <c r="AP29" s="315">
        <v>198</v>
      </c>
      <c r="AQ29" s="315">
        <v>224</v>
      </c>
      <c r="AR29" s="310"/>
      <c r="AS29" s="315">
        <v>172</v>
      </c>
      <c r="AT29" s="315">
        <v>172</v>
      </c>
      <c r="AU29" s="315">
        <v>170</v>
      </c>
      <c r="AV29" s="315">
        <v>170</v>
      </c>
      <c r="AW29" s="315">
        <v>124</v>
      </c>
      <c r="AX29" s="315">
        <v>123</v>
      </c>
      <c r="AY29" s="315">
        <v>136</v>
      </c>
      <c r="AZ29" s="315">
        <v>129</v>
      </c>
      <c r="BA29" s="315">
        <v>134</v>
      </c>
      <c r="BB29" s="315">
        <v>140</v>
      </c>
      <c r="BC29" s="315">
        <v>144</v>
      </c>
      <c r="BD29" s="433">
        <v>152</v>
      </c>
      <c r="BE29" s="460">
        <v>161</v>
      </c>
      <c r="BF29" s="433">
        <v>190</v>
      </c>
      <c r="BG29" s="433">
        <v>199</v>
      </c>
      <c r="BH29" s="433">
        <f>'[1]9 - Resultados por operação'!$BB$30</f>
        <v>228.59991582297468</v>
      </c>
      <c r="BI29" s="433">
        <v>169.10480145790345</v>
      </c>
      <c r="BJ29" s="433">
        <v>142.55784184485265</v>
      </c>
    </row>
    <row r="30" spans="1:62" s="307" customFormat="1" ht="4.5" customHeight="1">
      <c r="B30" s="314"/>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0"/>
      <c r="AD30" s="315"/>
      <c r="AE30" s="315"/>
      <c r="AF30" s="315"/>
      <c r="AG30" s="315"/>
      <c r="AH30" s="315"/>
      <c r="AI30" s="315"/>
      <c r="AJ30" s="315"/>
      <c r="AK30" s="315"/>
      <c r="AL30" s="315"/>
      <c r="AM30" s="315"/>
      <c r="AN30" s="315"/>
      <c r="AO30" s="315"/>
      <c r="AP30" s="315"/>
      <c r="AQ30" s="315"/>
      <c r="AR30" s="310"/>
      <c r="AS30" s="315"/>
      <c r="AT30" s="315"/>
      <c r="AU30" s="315"/>
      <c r="AV30" s="315"/>
      <c r="AW30" s="315"/>
      <c r="AX30" s="315"/>
      <c r="AY30" s="315"/>
      <c r="AZ30" s="315"/>
      <c r="BA30" s="315"/>
      <c r="BB30" s="315"/>
      <c r="BC30" s="315"/>
      <c r="BD30" s="433"/>
      <c r="BE30" s="460"/>
      <c r="BF30" s="433"/>
      <c r="BG30" s="433"/>
      <c r="BH30" s="433"/>
      <c r="BI30" s="433"/>
      <c r="BJ30" s="433"/>
    </row>
    <row r="31" spans="1:62" s="307" customFormat="1" ht="14.5">
      <c r="A31" s="316"/>
      <c r="B31" s="404" t="s">
        <v>248</v>
      </c>
      <c r="C31" s="407"/>
      <c r="D31" s="407"/>
      <c r="E31" s="407"/>
      <c r="F31" s="407"/>
      <c r="G31" s="407"/>
      <c r="H31" s="407"/>
      <c r="I31" s="407"/>
      <c r="J31" s="407"/>
      <c r="K31" s="407"/>
      <c r="L31" s="407"/>
      <c r="M31" s="407"/>
      <c r="N31" s="407"/>
      <c r="O31" s="408"/>
      <c r="P31" s="407"/>
      <c r="Q31" s="407"/>
      <c r="R31" s="407"/>
      <c r="S31" s="407"/>
      <c r="T31" s="407"/>
      <c r="U31" s="407"/>
      <c r="V31" s="407"/>
      <c r="W31" s="407"/>
      <c r="X31" s="408"/>
      <c r="Y31" s="407"/>
      <c r="Z31" s="407"/>
      <c r="AA31" s="407"/>
      <c r="AB31" s="407"/>
      <c r="AC31" s="409"/>
      <c r="AD31" s="407"/>
      <c r="AE31" s="407"/>
      <c r="AF31" s="407"/>
      <c r="AG31" s="410"/>
      <c r="AH31" s="410"/>
      <c r="AI31" s="410"/>
      <c r="AJ31" s="410"/>
      <c r="AK31" s="410"/>
      <c r="AL31" s="410"/>
      <c r="AM31" s="410"/>
      <c r="AN31" s="410"/>
      <c r="AO31" s="410"/>
      <c r="AP31" s="410"/>
      <c r="AQ31" s="410"/>
      <c r="AR31" s="409"/>
      <c r="AS31" s="410"/>
      <c r="AT31" s="410"/>
      <c r="AU31" s="410"/>
      <c r="AV31" s="410"/>
      <c r="AW31" s="410"/>
      <c r="AX31" s="410">
        <v>298.49849849849852</v>
      </c>
      <c r="AY31" s="410">
        <v>394.90861618798954</v>
      </c>
      <c r="AZ31" s="410">
        <v>364.89291795957706</v>
      </c>
      <c r="BA31" s="410">
        <v>470.26022304832713</v>
      </c>
      <c r="BB31" s="410">
        <v>398.68601402379272</v>
      </c>
      <c r="BC31" s="411">
        <v>351</v>
      </c>
      <c r="BD31" s="411">
        <v>244</v>
      </c>
      <c r="BE31" s="459">
        <v>379</v>
      </c>
      <c r="BF31" s="606">
        <v>435</v>
      </c>
      <c r="BG31" s="606">
        <v>424.10303587856487</v>
      </c>
      <c r="BH31" s="606">
        <f>'[1]9 - Resultados por operação'!$BB$32</f>
        <v>481.98970840480274</v>
      </c>
      <c r="BI31" s="606">
        <v>750.49617623924371</v>
      </c>
      <c r="BJ31" s="606">
        <v>1182.7485243430526</v>
      </c>
    </row>
    <row r="32" spans="1:62" s="334" customFormat="1" ht="14">
      <c r="B32" s="335"/>
      <c r="C32" s="336"/>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D32" s="337"/>
      <c r="AE32" s="337"/>
      <c r="AF32" s="337"/>
      <c r="AG32" s="337"/>
      <c r="AH32" s="337"/>
      <c r="AI32" s="337"/>
      <c r="AJ32" s="337"/>
      <c r="AK32" s="337"/>
      <c r="AL32" s="337"/>
      <c r="AM32" s="337"/>
      <c r="AN32" s="337"/>
      <c r="AO32" s="337"/>
      <c r="AP32" s="337"/>
      <c r="AQ32" s="337"/>
      <c r="AS32" s="337"/>
      <c r="AT32" s="337"/>
      <c r="AU32" s="337"/>
      <c r="AV32" s="337"/>
      <c r="AW32" s="337"/>
      <c r="AX32" s="337"/>
      <c r="AY32" s="337"/>
      <c r="AZ32" s="337"/>
      <c r="BA32" s="337"/>
      <c r="BB32" s="337"/>
      <c r="BC32" s="337"/>
      <c r="BD32" s="337"/>
      <c r="BE32" s="337"/>
      <c r="BF32" s="337"/>
      <c r="BG32" s="337"/>
      <c r="BH32" s="337"/>
      <c r="BI32" s="337"/>
      <c r="BJ32" s="337"/>
    </row>
    <row r="33" spans="1:62" s="307" customFormat="1" ht="14.5" customHeight="1">
      <c r="A33" s="303"/>
      <c r="B33" s="308" t="s">
        <v>217</v>
      </c>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10"/>
      <c r="AD33" s="309"/>
      <c r="AE33" s="309"/>
      <c r="AF33" s="309"/>
      <c r="AG33" s="309"/>
      <c r="AH33" s="309"/>
      <c r="AI33" s="309"/>
      <c r="AJ33" s="309"/>
      <c r="AK33" s="309"/>
      <c r="AL33" s="309"/>
      <c r="AM33" s="309"/>
      <c r="AN33" s="309"/>
      <c r="AO33" s="309"/>
      <c r="AP33" s="309"/>
      <c r="AQ33" s="309"/>
      <c r="AR33" s="310"/>
      <c r="AS33" s="309"/>
      <c r="AT33" s="309"/>
      <c r="AU33" s="309"/>
      <c r="AV33" s="309"/>
      <c r="AW33" s="309"/>
      <c r="AX33" s="309"/>
      <c r="AY33" s="309"/>
      <c r="AZ33" s="309"/>
      <c r="BA33" s="309"/>
      <c r="BB33" s="309"/>
      <c r="BC33" s="309"/>
      <c r="BD33" s="309"/>
      <c r="BE33" s="309"/>
      <c r="BF33" s="309"/>
      <c r="BG33" s="309"/>
      <c r="BH33" s="309"/>
      <c r="BI33" s="309"/>
      <c r="BJ33" s="309"/>
    </row>
    <row r="34" spans="1:62" s="311" customFormat="1" ht="14">
      <c r="B34" s="312" t="s">
        <v>140</v>
      </c>
      <c r="C34" s="312">
        <v>950</v>
      </c>
      <c r="D34" s="312">
        <v>1113</v>
      </c>
      <c r="E34" s="312">
        <v>1447</v>
      </c>
      <c r="F34" s="312">
        <v>963</v>
      </c>
      <c r="G34" s="313">
        <v>912</v>
      </c>
      <c r="H34" s="313">
        <v>798</v>
      </c>
      <c r="I34" s="313">
        <v>778</v>
      </c>
      <c r="J34" s="313">
        <v>650</v>
      </c>
      <c r="K34" s="313">
        <v>803</v>
      </c>
      <c r="L34" s="313">
        <v>903</v>
      </c>
      <c r="M34" s="313">
        <v>919</v>
      </c>
      <c r="N34" s="313">
        <v>863</v>
      </c>
      <c r="O34" s="313"/>
      <c r="P34" s="313">
        <v>949</v>
      </c>
      <c r="Q34" s="313">
        <v>958</v>
      </c>
      <c r="R34" s="313">
        <v>1039</v>
      </c>
      <c r="S34" s="313">
        <v>1068</v>
      </c>
      <c r="T34" s="313">
        <v>1149</v>
      </c>
      <c r="U34" s="313">
        <v>1274</v>
      </c>
      <c r="V34" s="313">
        <v>1322</v>
      </c>
      <c r="W34" s="313">
        <v>1219</v>
      </c>
      <c r="X34" s="313"/>
      <c r="Y34" s="313">
        <v>1144</v>
      </c>
      <c r="Z34" s="313">
        <v>1332</v>
      </c>
      <c r="AA34" s="313">
        <v>1426</v>
      </c>
      <c r="AB34" s="313">
        <v>1464</v>
      </c>
      <c r="AC34" s="313"/>
      <c r="AD34" s="313">
        <v>1237</v>
      </c>
      <c r="AE34" s="312">
        <v>1174</v>
      </c>
      <c r="AF34" s="313">
        <v>1303</v>
      </c>
      <c r="AG34" s="313">
        <v>1364</v>
      </c>
      <c r="AH34" s="313"/>
      <c r="AI34" s="313">
        <v>1320</v>
      </c>
      <c r="AJ34" s="313">
        <v>1243</v>
      </c>
      <c r="AK34" s="313">
        <v>1434</v>
      </c>
      <c r="AL34" s="313">
        <v>1481</v>
      </c>
      <c r="AM34" s="313"/>
      <c r="AN34" s="313">
        <v>1236</v>
      </c>
      <c r="AO34" s="313">
        <v>1210</v>
      </c>
      <c r="AP34" s="313">
        <v>1120</v>
      </c>
      <c r="AQ34" s="313">
        <v>1210</v>
      </c>
      <c r="AR34" s="313"/>
      <c r="AS34" s="313">
        <v>1003</v>
      </c>
      <c r="AT34" s="313">
        <v>968</v>
      </c>
      <c r="AU34" s="313">
        <v>930</v>
      </c>
      <c r="AV34" s="313">
        <v>1125</v>
      </c>
      <c r="AW34" s="313">
        <v>967</v>
      </c>
      <c r="AX34" s="313">
        <v>1108</v>
      </c>
      <c r="AY34" s="313">
        <v>908</v>
      </c>
      <c r="AZ34" s="313">
        <v>818.79834890994516</v>
      </c>
      <c r="BA34" s="313">
        <v>739</v>
      </c>
      <c r="BB34" s="313">
        <v>840</v>
      </c>
      <c r="BC34" s="313">
        <v>771</v>
      </c>
      <c r="BD34" s="432">
        <v>908</v>
      </c>
      <c r="BE34" s="469">
        <v>699</v>
      </c>
      <c r="BF34" s="432">
        <v>554</v>
      </c>
      <c r="BG34" s="432">
        <v>1252</v>
      </c>
      <c r="BH34" s="432">
        <f>'[1]9 - Resultados por operação'!$BB$35</f>
        <v>1325.8911215057374</v>
      </c>
      <c r="BI34" s="432">
        <v>1448.9008698100001</v>
      </c>
      <c r="BJ34" s="432">
        <v>1307.6327518099997</v>
      </c>
    </row>
    <row r="35" spans="1:62" s="307" customFormat="1" ht="14">
      <c r="B35" s="314" t="s">
        <v>141</v>
      </c>
      <c r="C35" s="315">
        <v>181</v>
      </c>
      <c r="D35" s="315">
        <v>296</v>
      </c>
      <c r="E35" s="315">
        <v>438</v>
      </c>
      <c r="F35" s="315">
        <v>39</v>
      </c>
      <c r="G35" s="315">
        <v>-52</v>
      </c>
      <c r="H35" s="315">
        <v>-26</v>
      </c>
      <c r="I35" s="315">
        <v>82</v>
      </c>
      <c r="J35" s="315">
        <v>63</v>
      </c>
      <c r="K35" s="315">
        <v>115</v>
      </c>
      <c r="L35" s="315">
        <v>191</v>
      </c>
      <c r="M35" s="315">
        <v>92</v>
      </c>
      <c r="N35" s="315">
        <v>70</v>
      </c>
      <c r="O35" s="315"/>
      <c r="P35" s="315">
        <v>132</v>
      </c>
      <c r="Q35" s="315">
        <v>121</v>
      </c>
      <c r="R35" s="315">
        <v>113</v>
      </c>
      <c r="S35" s="315">
        <v>145</v>
      </c>
      <c r="T35" s="315">
        <v>114</v>
      </c>
      <c r="U35" s="315">
        <v>113</v>
      </c>
      <c r="V35" s="315">
        <v>58</v>
      </c>
      <c r="W35" s="315">
        <v>44</v>
      </c>
      <c r="X35" s="315"/>
      <c r="Y35" s="315">
        <v>95</v>
      </c>
      <c r="Z35" s="315">
        <v>139</v>
      </c>
      <c r="AA35" s="315">
        <v>162</v>
      </c>
      <c r="AB35" s="315">
        <v>169</v>
      </c>
      <c r="AC35" s="310"/>
      <c r="AD35" s="315">
        <v>181</v>
      </c>
      <c r="AE35" s="315">
        <v>149</v>
      </c>
      <c r="AF35" s="315">
        <v>154</v>
      </c>
      <c r="AG35" s="315">
        <v>171</v>
      </c>
      <c r="AH35" s="315"/>
      <c r="AI35" s="315">
        <v>156</v>
      </c>
      <c r="AJ35" s="315">
        <v>127</v>
      </c>
      <c r="AK35" s="315">
        <v>165</v>
      </c>
      <c r="AL35" s="315">
        <v>229</v>
      </c>
      <c r="AM35" s="315"/>
      <c r="AN35" s="315">
        <v>205</v>
      </c>
      <c r="AO35" s="315">
        <v>185</v>
      </c>
      <c r="AP35" s="315">
        <v>139</v>
      </c>
      <c r="AQ35" s="315">
        <v>145</v>
      </c>
      <c r="AR35" s="310"/>
      <c r="AS35" s="315">
        <v>102</v>
      </c>
      <c r="AT35" s="315">
        <v>118</v>
      </c>
      <c r="AU35" s="315">
        <v>129</v>
      </c>
      <c r="AV35" s="315">
        <v>153</v>
      </c>
      <c r="AW35" s="315">
        <v>156</v>
      </c>
      <c r="AX35" s="315">
        <v>151</v>
      </c>
      <c r="AY35" s="315">
        <v>146</v>
      </c>
      <c r="AZ35" s="315">
        <v>117.7818730442948</v>
      </c>
      <c r="BA35" s="315">
        <v>110</v>
      </c>
      <c r="BB35" s="315">
        <v>121</v>
      </c>
      <c r="BC35" s="315">
        <v>128</v>
      </c>
      <c r="BD35" s="433">
        <v>138</v>
      </c>
      <c r="BE35" s="460">
        <v>105</v>
      </c>
      <c r="BF35" s="433">
        <v>83</v>
      </c>
      <c r="BG35" s="433">
        <v>275</v>
      </c>
      <c r="BH35" s="433">
        <f>'[1]9 - Resultados por operação'!$BB$36</f>
        <v>351.94692022774075</v>
      </c>
      <c r="BI35" s="433">
        <v>386.7988497626252</v>
      </c>
      <c r="BJ35" s="433">
        <v>305.41466793683219</v>
      </c>
    </row>
    <row r="36" spans="1:62" s="307" customFormat="1" ht="14.5">
      <c r="A36" s="316"/>
      <c r="B36" s="317" t="s">
        <v>163</v>
      </c>
      <c r="C36" s="318">
        <v>156</v>
      </c>
      <c r="D36" s="318">
        <v>289</v>
      </c>
      <c r="E36" s="318">
        <v>403</v>
      </c>
      <c r="F36" s="318">
        <v>-42</v>
      </c>
      <c r="G36" s="318">
        <v>-139</v>
      </c>
      <c r="H36" s="318">
        <v>-95</v>
      </c>
      <c r="I36" s="318">
        <v>40</v>
      </c>
      <c r="J36" s="318">
        <v>29</v>
      </c>
      <c r="K36" s="318">
        <v>108</v>
      </c>
      <c r="L36" s="318">
        <v>191</v>
      </c>
      <c r="M36" s="318">
        <v>72</v>
      </c>
      <c r="N36" s="318">
        <v>48</v>
      </c>
      <c r="O36" s="319"/>
      <c r="P36" s="318">
        <v>115</v>
      </c>
      <c r="Q36" s="318">
        <v>121</v>
      </c>
      <c r="R36" s="318">
        <v>79</v>
      </c>
      <c r="S36" s="318">
        <v>95</v>
      </c>
      <c r="T36" s="318">
        <v>92</v>
      </c>
      <c r="U36" s="318">
        <v>70</v>
      </c>
      <c r="V36" s="318">
        <v>-3</v>
      </c>
      <c r="W36" s="318">
        <v>21</v>
      </c>
      <c r="X36" s="319"/>
      <c r="Y36" s="318">
        <v>53</v>
      </c>
      <c r="Z36" s="318">
        <v>109</v>
      </c>
      <c r="AA36" s="318">
        <v>131</v>
      </c>
      <c r="AB36" s="318">
        <v>135</v>
      </c>
      <c r="AC36" s="320"/>
      <c r="AD36" s="318">
        <v>158</v>
      </c>
      <c r="AE36" s="318">
        <v>127</v>
      </c>
      <c r="AF36" s="318">
        <v>119</v>
      </c>
      <c r="AG36" s="321">
        <v>125</v>
      </c>
      <c r="AH36" s="321"/>
      <c r="AI36" s="321">
        <v>143</v>
      </c>
      <c r="AJ36" s="321">
        <v>114</v>
      </c>
      <c r="AK36" s="321">
        <v>154</v>
      </c>
      <c r="AL36" s="321">
        <v>225</v>
      </c>
      <c r="AM36" s="321"/>
      <c r="AN36" s="321">
        <v>208</v>
      </c>
      <c r="AO36" s="321">
        <v>212</v>
      </c>
      <c r="AP36" s="321">
        <v>170</v>
      </c>
      <c r="AQ36" s="321">
        <v>132</v>
      </c>
      <c r="AR36" s="320"/>
      <c r="AS36" s="321">
        <v>119</v>
      </c>
      <c r="AT36" s="321">
        <v>126</v>
      </c>
      <c r="AU36" s="321">
        <v>147</v>
      </c>
      <c r="AV36" s="321">
        <v>175</v>
      </c>
      <c r="AW36" s="321">
        <v>187</v>
      </c>
      <c r="AX36" s="321">
        <v>179</v>
      </c>
      <c r="AY36" s="321">
        <v>185</v>
      </c>
      <c r="AZ36" s="321">
        <v>128.06965703602907</v>
      </c>
      <c r="BA36" s="321">
        <v>157</v>
      </c>
      <c r="BB36" s="321">
        <v>168</v>
      </c>
      <c r="BC36" s="321">
        <v>165</v>
      </c>
      <c r="BD36" s="434">
        <v>182</v>
      </c>
      <c r="BE36" s="468">
        <v>164</v>
      </c>
      <c r="BF36" s="434">
        <v>145</v>
      </c>
      <c r="BG36" s="434">
        <v>376</v>
      </c>
      <c r="BH36" s="434">
        <f>'[1]9 - Resultados por operação'!$BB$37</f>
        <v>454</v>
      </c>
      <c r="BI36" s="434">
        <v>550.47403867442142</v>
      </c>
      <c r="BJ36" s="434">
        <v>493.96972984631901</v>
      </c>
    </row>
    <row r="37" spans="1:62" s="307" customFormat="1" ht="14">
      <c r="B37" s="314" t="s">
        <v>49</v>
      </c>
      <c r="C37" s="315">
        <v>27</v>
      </c>
      <c r="D37" s="315">
        <v>26</v>
      </c>
      <c r="E37" s="315">
        <v>25</v>
      </c>
      <c r="F37" s="315">
        <v>36</v>
      </c>
      <c r="G37" s="315">
        <v>17</v>
      </c>
      <c r="H37" s="315">
        <v>24</v>
      </c>
      <c r="I37" s="315">
        <v>22</v>
      </c>
      <c r="J37" s="315">
        <v>22</v>
      </c>
      <c r="K37" s="315">
        <v>33</v>
      </c>
      <c r="L37" s="315">
        <v>36</v>
      </c>
      <c r="M37" s="315">
        <v>35</v>
      </c>
      <c r="N37" s="315">
        <v>33</v>
      </c>
      <c r="O37" s="315"/>
      <c r="P37" s="315">
        <v>31</v>
      </c>
      <c r="Q37" s="315">
        <v>30</v>
      </c>
      <c r="R37" s="315">
        <v>30</v>
      </c>
      <c r="S37" s="315">
        <v>34</v>
      </c>
      <c r="T37" s="315">
        <v>38</v>
      </c>
      <c r="U37" s="315">
        <v>42</v>
      </c>
      <c r="V37" s="315">
        <v>40</v>
      </c>
      <c r="W37" s="315">
        <v>34</v>
      </c>
      <c r="X37" s="315"/>
      <c r="Y37" s="315">
        <v>41</v>
      </c>
      <c r="Z37" s="315">
        <v>46</v>
      </c>
      <c r="AA37" s="315">
        <v>50</v>
      </c>
      <c r="AB37" s="315">
        <v>49</v>
      </c>
      <c r="AC37" s="310"/>
      <c r="AD37" s="315">
        <v>46</v>
      </c>
      <c r="AE37" s="315">
        <v>45</v>
      </c>
      <c r="AF37" s="315">
        <v>45</v>
      </c>
      <c r="AG37" s="315">
        <v>50</v>
      </c>
      <c r="AH37" s="315"/>
      <c r="AI37" s="315">
        <v>53</v>
      </c>
      <c r="AJ37" s="315">
        <v>43</v>
      </c>
      <c r="AK37" s="315">
        <v>44</v>
      </c>
      <c r="AL37" s="315">
        <v>52</v>
      </c>
      <c r="AM37" s="315"/>
      <c r="AN37" s="315">
        <v>50</v>
      </c>
      <c r="AO37" s="315">
        <v>46</v>
      </c>
      <c r="AP37" s="315">
        <v>42</v>
      </c>
      <c r="AQ37" s="315">
        <v>48</v>
      </c>
      <c r="AR37" s="310"/>
      <c r="AS37" s="315">
        <v>43</v>
      </c>
      <c r="AT37" s="315">
        <v>38</v>
      </c>
      <c r="AU37" s="315">
        <v>32</v>
      </c>
      <c r="AV37" s="315">
        <v>41</v>
      </c>
      <c r="AW37" s="315">
        <v>26</v>
      </c>
      <c r="AX37" s="315">
        <v>27</v>
      </c>
      <c r="AY37" s="315">
        <v>23</v>
      </c>
      <c r="AZ37" s="315">
        <v>21</v>
      </c>
      <c r="BA37" s="315">
        <v>28</v>
      </c>
      <c r="BB37" s="315">
        <v>31</v>
      </c>
      <c r="BC37" s="315">
        <v>29</v>
      </c>
      <c r="BD37" s="433">
        <v>31</v>
      </c>
      <c r="BE37" s="460">
        <v>32</v>
      </c>
      <c r="BF37" s="433">
        <v>37</v>
      </c>
      <c r="BG37" s="433">
        <v>35</v>
      </c>
      <c r="BH37" s="433">
        <f>'[1]9 - Resultados por operação'!$BB$38</f>
        <v>38.019250297333528</v>
      </c>
      <c r="BI37" s="433">
        <v>52.522110757375003</v>
      </c>
      <c r="BJ37" s="433">
        <v>49.947539223167013</v>
      </c>
    </row>
    <row r="38" spans="1:62" s="307" customFormat="1" ht="4.5" customHeight="1">
      <c r="B38" s="314"/>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0"/>
      <c r="AD38" s="315"/>
      <c r="AE38" s="315"/>
      <c r="AF38" s="315"/>
      <c r="AG38" s="315"/>
      <c r="AH38" s="315"/>
      <c r="AI38" s="315"/>
      <c r="AJ38" s="315"/>
      <c r="AK38" s="315"/>
      <c r="AL38" s="315"/>
      <c r="AM38" s="315"/>
      <c r="AN38" s="315"/>
      <c r="AO38" s="315"/>
      <c r="AP38" s="315"/>
      <c r="AQ38" s="315"/>
      <c r="AR38" s="310"/>
      <c r="AS38" s="315"/>
      <c r="AT38" s="315"/>
      <c r="AU38" s="315"/>
      <c r="AV38" s="315"/>
      <c r="AW38" s="315"/>
      <c r="AX38" s="315"/>
      <c r="AY38" s="315"/>
      <c r="AZ38" s="315"/>
      <c r="BA38" s="315"/>
      <c r="BB38" s="315"/>
      <c r="BC38" s="315"/>
      <c r="BD38" s="433"/>
      <c r="BE38" s="460"/>
      <c r="BF38" s="433"/>
      <c r="BG38" s="433"/>
      <c r="BH38" s="433"/>
      <c r="BI38" s="433"/>
      <c r="BJ38" s="433"/>
    </row>
    <row r="39" spans="1:62" s="307" customFormat="1" ht="14.5">
      <c r="A39" s="316"/>
      <c r="B39" s="404" t="s">
        <v>248</v>
      </c>
      <c r="C39" s="407"/>
      <c r="D39" s="407"/>
      <c r="E39" s="407"/>
      <c r="F39" s="407"/>
      <c r="G39" s="407"/>
      <c r="H39" s="407"/>
      <c r="I39" s="407"/>
      <c r="J39" s="407"/>
      <c r="K39" s="407"/>
      <c r="L39" s="407"/>
      <c r="M39" s="407"/>
      <c r="N39" s="407"/>
      <c r="O39" s="408"/>
      <c r="P39" s="407"/>
      <c r="Q39" s="407"/>
      <c r="R39" s="407"/>
      <c r="S39" s="407"/>
      <c r="T39" s="407"/>
      <c r="U39" s="407"/>
      <c r="V39" s="407"/>
      <c r="W39" s="407"/>
      <c r="X39" s="408"/>
      <c r="Y39" s="407"/>
      <c r="Z39" s="407"/>
      <c r="AA39" s="407"/>
      <c r="AB39" s="407"/>
      <c r="AC39" s="409"/>
      <c r="AD39" s="407"/>
      <c r="AE39" s="407"/>
      <c r="AF39" s="407"/>
      <c r="AG39" s="410"/>
      <c r="AH39" s="410"/>
      <c r="AI39" s="410"/>
      <c r="AJ39" s="410"/>
      <c r="AK39" s="410"/>
      <c r="AL39" s="410"/>
      <c r="AM39" s="410"/>
      <c r="AN39" s="410"/>
      <c r="AO39" s="410"/>
      <c r="AP39" s="410"/>
      <c r="AQ39" s="410"/>
      <c r="AR39" s="409"/>
      <c r="AS39" s="410"/>
      <c r="AT39" s="410"/>
      <c r="AU39" s="410"/>
      <c r="AV39" s="410"/>
      <c r="AW39" s="410"/>
      <c r="AX39" s="410">
        <v>463.73056994818648</v>
      </c>
      <c r="AY39" s="410">
        <v>653.71024734982325</v>
      </c>
      <c r="AZ39" s="410">
        <v>488.1412537557303</v>
      </c>
      <c r="BA39" s="410">
        <v>643.44262295081967</v>
      </c>
      <c r="BB39" s="410">
        <v>641.02326912703359</v>
      </c>
      <c r="BC39" s="411">
        <v>592</v>
      </c>
      <c r="BD39" s="411">
        <v>664</v>
      </c>
      <c r="BE39" s="467">
        <v>812</v>
      </c>
      <c r="BF39" s="411">
        <f>1133</f>
        <v>1133</v>
      </c>
      <c r="BG39" s="411">
        <v>1253.3333333333335</v>
      </c>
      <c r="BH39" s="411">
        <f>'[1]9 - Resultados por operação'!$BB$40</f>
        <v>1371.6012084592144</v>
      </c>
      <c r="BI39" s="411">
        <v>1857.3104387539856</v>
      </c>
      <c r="BJ39" s="411">
        <v>1842.185663011822</v>
      </c>
    </row>
    <row r="40" spans="1:62" s="334" customFormat="1" ht="14">
      <c r="B40" s="335"/>
      <c r="C40" s="336"/>
      <c r="D40" s="337"/>
      <c r="E40" s="337"/>
      <c r="F40" s="337"/>
      <c r="G40" s="337"/>
      <c r="H40" s="337"/>
      <c r="I40" s="337"/>
      <c r="J40" s="337"/>
      <c r="K40" s="337"/>
      <c r="L40" s="337"/>
      <c r="M40" s="337"/>
      <c r="N40" s="337"/>
      <c r="O40" s="337"/>
      <c r="P40" s="337"/>
      <c r="Q40" s="337"/>
      <c r="R40" s="337"/>
      <c r="S40" s="337"/>
      <c r="T40" s="337"/>
      <c r="U40" s="337"/>
      <c r="V40" s="337"/>
      <c r="W40" s="337"/>
      <c r="X40" s="337"/>
      <c r="Y40" s="337"/>
      <c r="Z40" s="337"/>
      <c r="AA40" s="337"/>
      <c r="AB40" s="337"/>
      <c r="AD40" s="337"/>
      <c r="AE40" s="337"/>
      <c r="AF40" s="337"/>
      <c r="AG40" s="337"/>
      <c r="AH40" s="337"/>
      <c r="AI40" s="337"/>
      <c r="AJ40" s="337"/>
      <c r="AK40" s="337"/>
      <c r="AL40" s="337"/>
      <c r="AM40" s="337"/>
      <c r="AN40" s="337"/>
      <c r="AO40" s="337"/>
      <c r="AP40" s="337"/>
      <c r="AQ40" s="337"/>
      <c r="AS40" s="337"/>
      <c r="AT40" s="337"/>
      <c r="AU40" s="337"/>
      <c r="AV40" s="337"/>
      <c r="AW40" s="337"/>
      <c r="AX40" s="337"/>
      <c r="AY40" s="337"/>
      <c r="AZ40" s="337"/>
      <c r="BA40" s="337"/>
      <c r="BB40" s="337"/>
      <c r="BC40" s="337"/>
      <c r="BD40" s="337"/>
      <c r="BE40" s="337"/>
      <c r="BF40" s="337"/>
      <c r="BG40" s="337"/>
      <c r="BH40" s="337"/>
      <c r="BI40" s="337"/>
      <c r="BJ40" s="337"/>
    </row>
    <row r="41" spans="1:62" s="307" customFormat="1" ht="14.5" customHeight="1">
      <c r="A41" s="303"/>
      <c r="B41" s="308" t="s">
        <v>218</v>
      </c>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309"/>
      <c r="AE41" s="309"/>
      <c r="AF41" s="309"/>
      <c r="AG41" s="309"/>
      <c r="AH41" s="309"/>
      <c r="AI41" s="309"/>
      <c r="AJ41" s="309"/>
      <c r="AK41" s="309"/>
      <c r="AL41" s="309"/>
      <c r="AM41" s="309"/>
      <c r="AN41" s="309"/>
      <c r="AO41" s="309"/>
      <c r="AP41" s="309"/>
      <c r="AQ41" s="309"/>
      <c r="AR41" s="310"/>
      <c r="AS41" s="309"/>
      <c r="AT41" s="309"/>
      <c r="AU41" s="309"/>
      <c r="AV41" s="309"/>
      <c r="AW41" s="309"/>
      <c r="AX41" s="309"/>
      <c r="AY41" s="309"/>
      <c r="AZ41" s="309"/>
      <c r="BA41" s="309"/>
      <c r="BB41" s="309"/>
      <c r="BC41" s="309"/>
      <c r="BD41" s="309"/>
      <c r="BE41" s="309"/>
      <c r="BF41" s="309"/>
      <c r="BG41" s="309"/>
      <c r="BH41" s="309"/>
      <c r="BI41" s="309"/>
      <c r="BJ41" s="309"/>
    </row>
    <row r="42" spans="1:62" s="311" customFormat="1" ht="14">
      <c r="B42" s="312" t="s">
        <v>140</v>
      </c>
      <c r="C42" s="312">
        <v>1579</v>
      </c>
      <c r="D42" s="312">
        <v>2241</v>
      </c>
      <c r="E42" s="312">
        <v>2190</v>
      </c>
      <c r="F42" s="312">
        <v>1973</v>
      </c>
      <c r="G42" s="313">
        <v>1292</v>
      </c>
      <c r="H42" s="313">
        <v>1083</v>
      </c>
      <c r="I42" s="313">
        <v>1119</v>
      </c>
      <c r="J42" s="313">
        <v>1283</v>
      </c>
      <c r="K42" s="313">
        <v>1435</v>
      </c>
      <c r="L42" s="313">
        <v>1780</v>
      </c>
      <c r="M42" s="313">
        <v>1695</v>
      </c>
      <c r="N42" s="313">
        <v>1701</v>
      </c>
      <c r="O42" s="313"/>
      <c r="P42" s="313">
        <v>1754</v>
      </c>
      <c r="Q42" s="313">
        <v>2032</v>
      </c>
      <c r="R42" s="313">
        <v>1868</v>
      </c>
      <c r="S42" s="313">
        <v>1863</v>
      </c>
      <c r="T42" s="313">
        <v>1855</v>
      </c>
      <c r="U42" s="313">
        <v>2070</v>
      </c>
      <c r="V42" s="313">
        <v>1750</v>
      </c>
      <c r="W42" s="313">
        <v>1713</v>
      </c>
      <c r="X42" s="313"/>
      <c r="Y42" s="313">
        <v>1813</v>
      </c>
      <c r="Z42" s="313">
        <v>2122</v>
      </c>
      <c r="AA42" s="313">
        <v>2045</v>
      </c>
      <c r="AB42" s="313">
        <v>2044</v>
      </c>
      <c r="AC42" s="313"/>
      <c r="AD42" s="313">
        <v>2263</v>
      </c>
      <c r="AE42" s="312">
        <v>2182</v>
      </c>
      <c r="AF42" s="313">
        <v>2095</v>
      </c>
      <c r="AG42" s="313">
        <v>2104</v>
      </c>
      <c r="AH42" s="313"/>
      <c r="AI42" s="313">
        <v>2246</v>
      </c>
      <c r="AJ42" s="313">
        <v>2257</v>
      </c>
      <c r="AK42" s="313">
        <v>2194</v>
      </c>
      <c r="AL42" s="313">
        <v>2185</v>
      </c>
      <c r="AM42" s="313"/>
      <c r="AN42" s="313">
        <v>2170</v>
      </c>
      <c r="AO42" s="313">
        <v>1963</v>
      </c>
      <c r="AP42" s="313">
        <v>1386</v>
      </c>
      <c r="AQ42" s="313">
        <v>1366</v>
      </c>
      <c r="AR42" s="313"/>
      <c r="AS42" s="313">
        <v>1357</v>
      </c>
      <c r="AT42" s="313">
        <v>1616</v>
      </c>
      <c r="AU42" s="313">
        <v>1648</v>
      </c>
      <c r="AV42" s="313">
        <v>1608</v>
      </c>
      <c r="AW42" s="313">
        <v>1732</v>
      </c>
      <c r="AX42" s="313">
        <v>2133</v>
      </c>
      <c r="AY42" s="313">
        <v>2305</v>
      </c>
      <c r="AZ42" s="313">
        <v>1988.6270488200016</v>
      </c>
      <c r="BA42" s="313">
        <v>1840</v>
      </c>
      <c r="BB42" s="313">
        <v>1844</v>
      </c>
      <c r="BC42" s="313">
        <v>1621</v>
      </c>
      <c r="BD42" s="432">
        <v>1397</v>
      </c>
      <c r="BE42" s="459">
        <v>1437</v>
      </c>
      <c r="BF42" s="432">
        <v>893</v>
      </c>
      <c r="BG42" s="432">
        <v>1705</v>
      </c>
      <c r="BH42" s="432">
        <f>'[1]9 - Resultados por operação'!$BB$43</f>
        <v>2060.7706466626069</v>
      </c>
      <c r="BI42" s="432">
        <v>2430.12033428</v>
      </c>
      <c r="BJ42" s="432">
        <v>2649.82005966</v>
      </c>
    </row>
    <row r="43" spans="1:62" s="307" customFormat="1" ht="14">
      <c r="B43" s="314" t="s">
        <v>141</v>
      </c>
      <c r="C43" s="315">
        <v>347</v>
      </c>
      <c r="D43" s="315">
        <v>419</v>
      </c>
      <c r="E43" s="315">
        <v>588</v>
      </c>
      <c r="F43" s="315">
        <v>154</v>
      </c>
      <c r="G43" s="315">
        <v>-20</v>
      </c>
      <c r="H43" s="315">
        <v>3</v>
      </c>
      <c r="I43" s="315">
        <v>180</v>
      </c>
      <c r="J43" s="315">
        <v>231</v>
      </c>
      <c r="K43" s="315">
        <v>296</v>
      </c>
      <c r="L43" s="315">
        <v>420</v>
      </c>
      <c r="M43" s="315">
        <v>332</v>
      </c>
      <c r="N43" s="315">
        <v>251</v>
      </c>
      <c r="O43" s="315"/>
      <c r="P43" s="315">
        <v>244</v>
      </c>
      <c r="Q43" s="315">
        <v>361</v>
      </c>
      <c r="R43" s="315">
        <v>294</v>
      </c>
      <c r="S43" s="315">
        <v>246</v>
      </c>
      <c r="T43" s="315">
        <v>238</v>
      </c>
      <c r="U43" s="315">
        <v>339</v>
      </c>
      <c r="V43" s="315">
        <v>207</v>
      </c>
      <c r="W43" s="315">
        <v>184</v>
      </c>
      <c r="X43" s="315"/>
      <c r="Y43" s="315">
        <v>118</v>
      </c>
      <c r="Z43" s="315">
        <v>241</v>
      </c>
      <c r="AA43" s="315">
        <v>222</v>
      </c>
      <c r="AB43" s="315">
        <v>133</v>
      </c>
      <c r="AC43" s="310"/>
      <c r="AD43" s="315">
        <v>161</v>
      </c>
      <c r="AE43" s="315">
        <v>193</v>
      </c>
      <c r="AF43" s="315">
        <v>174</v>
      </c>
      <c r="AG43" s="315">
        <v>193</v>
      </c>
      <c r="AH43" s="315"/>
      <c r="AI43" s="315">
        <v>210</v>
      </c>
      <c r="AJ43" s="315">
        <v>155</v>
      </c>
      <c r="AK43" s="315">
        <v>135</v>
      </c>
      <c r="AL43" s="315">
        <v>49</v>
      </c>
      <c r="AM43" s="315"/>
      <c r="AN43" s="315">
        <v>86</v>
      </c>
      <c r="AO43" s="315">
        <v>210</v>
      </c>
      <c r="AP43" s="315">
        <v>183</v>
      </c>
      <c r="AQ43" s="315">
        <v>167</v>
      </c>
      <c r="AR43" s="310"/>
      <c r="AS43" s="315">
        <v>141</v>
      </c>
      <c r="AT43" s="315">
        <v>251</v>
      </c>
      <c r="AU43" s="315">
        <v>288</v>
      </c>
      <c r="AV43" s="315">
        <v>246</v>
      </c>
      <c r="AW43" s="315">
        <v>265</v>
      </c>
      <c r="AX43" s="315">
        <v>327</v>
      </c>
      <c r="AY43" s="315">
        <v>328</v>
      </c>
      <c r="AZ43" s="315">
        <v>174.6648444600005</v>
      </c>
      <c r="BA43" s="315">
        <v>191</v>
      </c>
      <c r="BB43" s="315">
        <v>174</v>
      </c>
      <c r="BC43" s="315">
        <v>145</v>
      </c>
      <c r="BD43" s="433">
        <v>24</v>
      </c>
      <c r="BE43" s="460">
        <v>30</v>
      </c>
      <c r="BF43" s="433">
        <v>-15</v>
      </c>
      <c r="BG43" s="433">
        <v>66</v>
      </c>
      <c r="BH43" s="433">
        <f>'[1]9 - Resultados por operação'!$BB$44</f>
        <v>221.65784640525908</v>
      </c>
      <c r="BI43" s="433">
        <v>285.34860605999984</v>
      </c>
      <c r="BJ43" s="433">
        <v>406.70856096999978</v>
      </c>
    </row>
    <row r="44" spans="1:62" s="307" customFormat="1" ht="14.5">
      <c r="A44" s="316"/>
      <c r="B44" s="317" t="s">
        <v>163</v>
      </c>
      <c r="C44" s="318">
        <v>325</v>
      </c>
      <c r="D44" s="318">
        <v>375</v>
      </c>
      <c r="E44" s="318">
        <v>531</v>
      </c>
      <c r="F44" s="318">
        <v>223</v>
      </c>
      <c r="G44" s="318">
        <v>-3</v>
      </c>
      <c r="H44" s="318">
        <v>-6</v>
      </c>
      <c r="I44" s="318">
        <v>199</v>
      </c>
      <c r="J44" s="318">
        <v>264</v>
      </c>
      <c r="K44" s="318">
        <v>290</v>
      </c>
      <c r="L44" s="318">
        <v>404</v>
      </c>
      <c r="M44" s="318">
        <v>343</v>
      </c>
      <c r="N44" s="318">
        <v>248</v>
      </c>
      <c r="O44" s="319"/>
      <c r="P44" s="318">
        <v>251</v>
      </c>
      <c r="Q44" s="318">
        <v>365</v>
      </c>
      <c r="R44" s="318">
        <v>296</v>
      </c>
      <c r="S44" s="318">
        <v>246</v>
      </c>
      <c r="T44" s="318">
        <v>260</v>
      </c>
      <c r="U44" s="318">
        <v>362</v>
      </c>
      <c r="V44" s="318">
        <v>233</v>
      </c>
      <c r="W44" s="318">
        <v>218</v>
      </c>
      <c r="X44" s="319"/>
      <c r="Y44" s="318">
        <v>155</v>
      </c>
      <c r="Z44" s="318">
        <v>276</v>
      </c>
      <c r="AA44" s="318">
        <v>273</v>
      </c>
      <c r="AB44" s="318">
        <v>205</v>
      </c>
      <c r="AC44" s="320"/>
      <c r="AD44" s="318">
        <v>203</v>
      </c>
      <c r="AE44" s="318">
        <v>230</v>
      </c>
      <c r="AF44" s="318">
        <v>231</v>
      </c>
      <c r="AG44" s="321">
        <v>254</v>
      </c>
      <c r="AH44" s="321"/>
      <c r="AI44" s="321">
        <v>260</v>
      </c>
      <c r="AJ44" s="321">
        <v>215</v>
      </c>
      <c r="AK44" s="321">
        <v>224</v>
      </c>
      <c r="AL44" s="321">
        <v>151</v>
      </c>
      <c r="AM44" s="321"/>
      <c r="AN44" s="321">
        <v>174</v>
      </c>
      <c r="AO44" s="321">
        <v>267</v>
      </c>
      <c r="AP44" s="321">
        <v>233</v>
      </c>
      <c r="AQ44" s="321">
        <v>230</v>
      </c>
      <c r="AR44" s="320"/>
      <c r="AS44" s="321">
        <v>193</v>
      </c>
      <c r="AT44" s="321">
        <v>297</v>
      </c>
      <c r="AU44" s="321">
        <v>341</v>
      </c>
      <c r="AV44" s="321">
        <v>308</v>
      </c>
      <c r="AW44" s="321">
        <v>315</v>
      </c>
      <c r="AX44" s="321">
        <v>386</v>
      </c>
      <c r="AY44" s="321">
        <v>372</v>
      </c>
      <c r="AZ44" s="321">
        <v>226.41088546241585</v>
      </c>
      <c r="BA44" s="321">
        <v>238</v>
      </c>
      <c r="BB44" s="321">
        <v>241</v>
      </c>
      <c r="BC44" s="321">
        <v>207</v>
      </c>
      <c r="BD44" s="434">
        <v>113</v>
      </c>
      <c r="BE44" s="468">
        <v>119</v>
      </c>
      <c r="BF44" s="434">
        <v>106</v>
      </c>
      <c r="BG44" s="434">
        <v>168</v>
      </c>
      <c r="BH44" s="434">
        <f>'[1]9 - Resultados por operação'!$BB$45</f>
        <v>310</v>
      </c>
      <c r="BI44" s="434">
        <v>408.71081860358089</v>
      </c>
      <c r="BJ44" s="434">
        <v>495.23435017991812</v>
      </c>
    </row>
    <row r="45" spans="1:62" s="307" customFormat="1" ht="14">
      <c r="B45" s="314" t="s">
        <v>49</v>
      </c>
      <c r="C45" s="315">
        <v>60</v>
      </c>
      <c r="D45" s="315">
        <v>93</v>
      </c>
      <c r="E45" s="315">
        <v>80</v>
      </c>
      <c r="F45" s="315">
        <v>169</v>
      </c>
      <c r="G45" s="315">
        <v>122</v>
      </c>
      <c r="H45" s="315">
        <v>103</v>
      </c>
      <c r="I45" s="315">
        <v>76</v>
      </c>
      <c r="J45" s="315">
        <v>89</v>
      </c>
      <c r="K45" s="315">
        <v>93</v>
      </c>
      <c r="L45" s="315">
        <v>90</v>
      </c>
      <c r="M45" s="315">
        <v>103</v>
      </c>
      <c r="N45" s="315">
        <v>95</v>
      </c>
      <c r="O45" s="315"/>
      <c r="P45" s="315">
        <v>90</v>
      </c>
      <c r="Q45" s="315">
        <v>95</v>
      </c>
      <c r="R45" s="315">
        <v>90</v>
      </c>
      <c r="S45" s="315">
        <v>99</v>
      </c>
      <c r="T45" s="315">
        <v>91</v>
      </c>
      <c r="U45" s="315">
        <v>115</v>
      </c>
      <c r="V45" s="315">
        <v>112</v>
      </c>
      <c r="W45" s="315">
        <v>116</v>
      </c>
      <c r="X45" s="315"/>
      <c r="Y45" s="315">
        <v>115</v>
      </c>
      <c r="Z45" s="315">
        <v>120</v>
      </c>
      <c r="AA45" s="315">
        <v>133</v>
      </c>
      <c r="AB45" s="315">
        <v>136</v>
      </c>
      <c r="AC45" s="310"/>
      <c r="AD45" s="315">
        <v>142</v>
      </c>
      <c r="AE45" s="315">
        <v>134</v>
      </c>
      <c r="AF45" s="315">
        <v>132</v>
      </c>
      <c r="AG45" s="315">
        <v>137</v>
      </c>
      <c r="AH45" s="315"/>
      <c r="AI45" s="315">
        <v>144</v>
      </c>
      <c r="AJ45" s="315">
        <v>151</v>
      </c>
      <c r="AK45" s="315">
        <v>175</v>
      </c>
      <c r="AL45" s="315">
        <v>180</v>
      </c>
      <c r="AM45" s="315"/>
      <c r="AN45" s="315">
        <v>178</v>
      </c>
      <c r="AO45" s="315">
        <v>135</v>
      </c>
      <c r="AP45" s="315">
        <v>100</v>
      </c>
      <c r="AQ45" s="315">
        <v>116</v>
      </c>
      <c r="AR45" s="310"/>
      <c r="AS45" s="315">
        <v>85</v>
      </c>
      <c r="AT45" s="315">
        <v>86</v>
      </c>
      <c r="AU45" s="315">
        <v>86</v>
      </c>
      <c r="AV45" s="315">
        <v>87</v>
      </c>
      <c r="AW45" s="315">
        <v>86</v>
      </c>
      <c r="AX45" s="315">
        <v>92</v>
      </c>
      <c r="AY45" s="315">
        <v>87</v>
      </c>
      <c r="AZ45" s="315">
        <v>89</v>
      </c>
      <c r="BA45" s="315">
        <v>89</v>
      </c>
      <c r="BB45" s="315">
        <v>97</v>
      </c>
      <c r="BC45" s="315">
        <v>92</v>
      </c>
      <c r="BD45" s="433">
        <v>96</v>
      </c>
      <c r="BE45" s="460">
        <v>103</v>
      </c>
      <c r="BF45" s="433">
        <v>110</v>
      </c>
      <c r="BG45" s="433">
        <v>116</v>
      </c>
      <c r="BH45" s="433">
        <f>'[1]9 - Resultados por operação'!$BB$46</f>
        <v>114.62659881377147</v>
      </c>
      <c r="BI45" s="433">
        <v>117.52658265999999</v>
      </c>
      <c r="BJ45" s="433">
        <v>119.35023414999999</v>
      </c>
    </row>
    <row r="46" spans="1:62" s="307" customFormat="1" ht="5.15" customHeight="1">
      <c r="B46" s="314"/>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0"/>
      <c r="AD46" s="315"/>
      <c r="AE46" s="315"/>
      <c r="AF46" s="315"/>
      <c r="AG46" s="315"/>
      <c r="AH46" s="315"/>
      <c r="AI46" s="315"/>
      <c r="AJ46" s="315"/>
      <c r="AK46" s="315"/>
      <c r="AL46" s="315"/>
      <c r="AM46" s="315"/>
      <c r="AN46" s="315"/>
      <c r="AO46" s="315"/>
      <c r="AP46" s="315"/>
      <c r="AQ46" s="315"/>
      <c r="AR46" s="310"/>
      <c r="AS46" s="315"/>
      <c r="AT46" s="315"/>
      <c r="AU46" s="315"/>
      <c r="AV46" s="315"/>
      <c r="AW46" s="315"/>
      <c r="AX46" s="315"/>
      <c r="AY46" s="315"/>
      <c r="AZ46" s="315"/>
      <c r="BA46" s="315"/>
      <c r="BB46" s="315"/>
      <c r="BC46" s="315"/>
      <c r="BD46" s="433"/>
      <c r="BE46" s="460"/>
      <c r="BF46" s="433"/>
      <c r="BG46" s="433"/>
      <c r="BH46" s="433"/>
      <c r="BI46" s="433"/>
      <c r="BJ46" s="433"/>
    </row>
    <row r="47" spans="1:62" s="307" customFormat="1" ht="14.5">
      <c r="A47" s="316"/>
      <c r="B47" s="404" t="s">
        <v>248</v>
      </c>
      <c r="C47" s="407"/>
      <c r="D47" s="407"/>
      <c r="E47" s="407"/>
      <c r="F47" s="407"/>
      <c r="G47" s="407"/>
      <c r="H47" s="407"/>
      <c r="I47" s="407"/>
      <c r="J47" s="407"/>
      <c r="K47" s="407"/>
      <c r="L47" s="407"/>
      <c r="M47" s="407"/>
      <c r="N47" s="407"/>
      <c r="O47" s="408"/>
      <c r="P47" s="407"/>
      <c r="Q47" s="407"/>
      <c r="R47" s="407"/>
      <c r="S47" s="407"/>
      <c r="T47" s="407"/>
      <c r="U47" s="407"/>
      <c r="V47" s="407"/>
      <c r="W47" s="407"/>
      <c r="X47" s="408"/>
      <c r="Y47" s="407"/>
      <c r="Z47" s="407"/>
      <c r="AA47" s="407"/>
      <c r="AB47" s="407"/>
      <c r="AC47" s="409"/>
      <c r="AD47" s="407"/>
      <c r="AE47" s="407"/>
      <c r="AF47" s="407"/>
      <c r="AG47" s="410"/>
      <c r="AH47" s="410"/>
      <c r="AI47" s="410"/>
      <c r="AJ47" s="410"/>
      <c r="AK47" s="410"/>
      <c r="AL47" s="410"/>
      <c r="AM47" s="410"/>
      <c r="AN47" s="410"/>
      <c r="AO47" s="410"/>
      <c r="AP47" s="410"/>
      <c r="AQ47" s="410"/>
      <c r="AR47" s="409"/>
      <c r="AS47" s="410"/>
      <c r="AT47" s="410"/>
      <c r="AU47" s="410"/>
      <c r="AV47" s="410"/>
      <c r="AW47" s="410"/>
      <c r="AX47" s="411">
        <v>678.38312829525478</v>
      </c>
      <c r="AY47" s="411">
        <v>671.48014440433212</v>
      </c>
      <c r="AZ47" s="411">
        <v>477.61408486197581</v>
      </c>
      <c r="BA47" s="411">
        <v>553.48837209302326</v>
      </c>
      <c r="BB47" s="411">
        <v>565.08811501298555</v>
      </c>
      <c r="BC47" s="411">
        <v>536</v>
      </c>
      <c r="BD47" s="411">
        <v>329</v>
      </c>
      <c r="BE47" s="467">
        <v>362</v>
      </c>
      <c r="BF47" s="411">
        <v>602</v>
      </c>
      <c r="BG47" s="411">
        <v>497.04142011834318</v>
      </c>
      <c r="BH47" s="411">
        <f>'[1]9 - Resultados por operação'!$BB$48</f>
        <v>761.67076167076164</v>
      </c>
      <c r="BI47" s="411">
        <v>961.28460833362305</v>
      </c>
      <c r="BJ47" s="411">
        <v>1186.5945738757889</v>
      </c>
    </row>
    <row r="48" spans="1:62" s="334" customFormat="1" ht="14">
      <c r="B48" s="335"/>
      <c r="C48" s="336"/>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D48" s="337"/>
      <c r="AE48" s="337"/>
      <c r="AF48" s="337"/>
      <c r="AG48" s="337"/>
      <c r="AH48" s="337"/>
      <c r="AI48" s="337"/>
      <c r="AJ48" s="337"/>
      <c r="AK48" s="337"/>
      <c r="AL48" s="337"/>
      <c r="AM48" s="337"/>
      <c r="AN48" s="337"/>
      <c r="AO48" s="337"/>
      <c r="AP48" s="337"/>
      <c r="AQ48" s="337"/>
      <c r="AS48" s="337"/>
      <c r="AT48" s="337"/>
      <c r="AU48" s="337"/>
      <c r="AV48" s="337"/>
      <c r="AW48" s="337"/>
      <c r="AX48" s="337"/>
      <c r="AY48" s="337"/>
      <c r="AZ48" s="337"/>
      <c r="BA48" s="337"/>
      <c r="BB48" s="337"/>
      <c r="BC48" s="337"/>
      <c r="BD48" s="337"/>
      <c r="BE48" s="337"/>
      <c r="BF48" s="337"/>
      <c r="BG48" s="337"/>
      <c r="BH48" s="337"/>
      <c r="BI48" s="337"/>
      <c r="BJ48" s="337"/>
    </row>
    <row r="49" spans="2:62" s="307" customFormat="1" ht="14">
      <c r="B49" s="338" t="s">
        <v>97</v>
      </c>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row>
    <row r="50" spans="2:62" s="339" customFormat="1" ht="14.25" customHeight="1">
      <c r="B50" s="314" t="s">
        <v>98</v>
      </c>
      <c r="C50" s="340">
        <v>1.7379</v>
      </c>
      <c r="D50" s="340">
        <v>1.6559999999999999</v>
      </c>
      <c r="E50" s="340">
        <v>1.6674</v>
      </c>
      <c r="F50" s="340">
        <v>2.2766000000000002</v>
      </c>
      <c r="G50" s="340">
        <v>2.3113000000000001</v>
      </c>
      <c r="H50" s="340">
        <v>2.0728</v>
      </c>
      <c r="I50" s="340">
        <v>1.87</v>
      </c>
      <c r="J50" s="340">
        <v>1.74</v>
      </c>
      <c r="K50" s="340">
        <v>1.7998000000000001</v>
      </c>
      <c r="L50" s="340">
        <v>1.79</v>
      </c>
      <c r="M50" s="340">
        <v>1.75</v>
      </c>
      <c r="N50" s="340">
        <v>1.7</v>
      </c>
      <c r="O50" s="340"/>
      <c r="P50" s="340">
        <v>1.67</v>
      </c>
      <c r="Q50" s="340">
        <v>1.6</v>
      </c>
      <c r="R50" s="340">
        <v>1.64</v>
      </c>
      <c r="S50" s="340">
        <v>1.8</v>
      </c>
      <c r="T50" s="340">
        <v>1.77</v>
      </c>
      <c r="U50" s="340">
        <v>1.96</v>
      </c>
      <c r="V50" s="340">
        <v>2.02</v>
      </c>
      <c r="W50" s="340">
        <v>2.06</v>
      </c>
      <c r="X50" s="340"/>
      <c r="Y50" s="340">
        <v>1.98</v>
      </c>
      <c r="Z50" s="340">
        <v>2.0699999999999998</v>
      </c>
      <c r="AA50" s="340">
        <v>2.29</v>
      </c>
      <c r="AB50" s="340">
        <v>2.27</v>
      </c>
      <c r="AC50" s="341"/>
      <c r="AD50" s="340">
        <v>2.37</v>
      </c>
      <c r="AE50" s="340">
        <v>2.23</v>
      </c>
      <c r="AF50" s="340">
        <v>2.27</v>
      </c>
      <c r="AG50" s="340">
        <v>2.54</v>
      </c>
      <c r="AH50" s="340"/>
      <c r="AI50" s="340">
        <v>2.87</v>
      </c>
      <c r="AJ50" s="340">
        <v>3.07</v>
      </c>
      <c r="AK50" s="340">
        <v>3.54</v>
      </c>
      <c r="AL50" s="340">
        <v>3.84</v>
      </c>
      <c r="AM50" s="340"/>
      <c r="AN50" s="340">
        <v>3.9</v>
      </c>
      <c r="AO50" s="340">
        <v>3.51</v>
      </c>
      <c r="AP50" s="340">
        <v>3.25</v>
      </c>
      <c r="AQ50" s="340">
        <v>3.3</v>
      </c>
      <c r="AR50" s="341"/>
      <c r="AS50" s="340">
        <v>3.15</v>
      </c>
      <c r="AT50" s="340">
        <v>3.29</v>
      </c>
      <c r="AU50" s="340">
        <v>3.16</v>
      </c>
      <c r="AV50" s="340">
        <v>3.2465999999999999</v>
      </c>
      <c r="AW50" s="340">
        <v>3.24</v>
      </c>
      <c r="AX50" s="340">
        <v>3.61</v>
      </c>
      <c r="AY50" s="340">
        <v>3.9504999999999999</v>
      </c>
      <c r="AZ50" s="340">
        <v>3.8083999999999998</v>
      </c>
      <c r="BA50" s="340">
        <v>3.7684000000000002</v>
      </c>
      <c r="BB50" s="340">
        <v>3.92</v>
      </c>
      <c r="BC50" s="340">
        <v>3.97</v>
      </c>
      <c r="BD50" s="436">
        <f>4.1158</f>
        <v>4.1158000000000001</v>
      </c>
      <c r="BE50" s="458">
        <v>4.47</v>
      </c>
      <c r="BF50" s="458">
        <v>5.39</v>
      </c>
      <c r="BG50" s="561">
        <v>5.38</v>
      </c>
      <c r="BH50" s="561">
        <f>'[1]9 - Resultados por operação'!$BB$51</f>
        <v>5.3921000000000001</v>
      </c>
      <c r="BI50" s="561">
        <v>5.4832999999999998</v>
      </c>
      <c r="BJ50" s="561">
        <v>5.2907000000000002</v>
      </c>
    </row>
    <row r="51" spans="2:62" ht="14.5">
      <c r="B51" s="43"/>
      <c r="C51" s="43"/>
      <c r="D51" s="43"/>
      <c r="E51" s="43"/>
      <c r="F51" s="43"/>
      <c r="G51" s="43"/>
      <c r="H51" s="43"/>
      <c r="I51" s="43"/>
      <c r="J51" s="43"/>
      <c r="K51" s="43"/>
      <c r="L51" s="43"/>
      <c r="M51" s="43"/>
      <c r="N51" s="43"/>
      <c r="O51" s="62"/>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row>
    <row r="52" spans="2:62" ht="14.5">
      <c r="B52" s="43"/>
      <c r="C52" s="43"/>
      <c r="D52" s="43"/>
      <c r="E52" s="43"/>
      <c r="F52" s="43"/>
      <c r="G52" s="43"/>
      <c r="H52" s="43"/>
      <c r="I52" s="43"/>
      <c r="J52" s="43"/>
      <c r="K52" s="43"/>
      <c r="L52" s="43"/>
      <c r="M52" s="43"/>
      <c r="N52" s="43"/>
      <c r="O52" s="62"/>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row>
  </sheetData>
  <phoneticPr fontId="0" type="noConversion"/>
  <pageMargins left="0.39370078740157483" right="0.39370078740157483" top="0.39370078740157483" bottom="0.39370078740157483" header="0" footer="0"/>
  <pageSetup paperSize="9" scale="9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pageSetUpPr fitToPage="1"/>
  </sheetPr>
  <dimension ref="A4:BG70"/>
  <sheetViews>
    <sheetView zoomScale="80" zoomScaleNormal="80" workbookViewId="0">
      <pane xSplit="2" ySplit="5" topLeftCell="AX6" activePane="bottomRight" state="frozen"/>
      <selection pane="topRight" activeCell="C1" sqref="C1"/>
      <selection pane="bottomLeft" activeCell="A6" sqref="A6"/>
      <selection pane="bottomRight" activeCell="BN21" sqref="BN21"/>
    </sheetView>
  </sheetViews>
  <sheetFormatPr defaultColWidth="9.1796875" defaultRowHeight="12.5"/>
  <cols>
    <col min="1" max="1" width="2.453125" style="66" customWidth="1"/>
    <col min="2" max="2" width="37.54296875" style="66" customWidth="1"/>
    <col min="3" max="23" width="10.54296875" style="66" customWidth="1"/>
    <col min="24" max="24" width="3.54296875" style="66" customWidth="1"/>
    <col min="25" max="26" width="10.54296875" style="66" customWidth="1"/>
    <col min="27" max="32" width="9.1796875" style="66" customWidth="1"/>
    <col min="33" max="33" width="3.453125" style="66" customWidth="1"/>
    <col min="34" max="34" width="9.1796875" style="66" customWidth="1"/>
    <col min="35" max="37" width="9.1796875" style="66" hidden="1" customWidth="1"/>
    <col min="38" max="38" width="3.453125" style="66" hidden="1" customWidth="1"/>
    <col min="39" max="39" width="10.453125" style="66" hidden="1" customWidth="1"/>
    <col min="40" max="48" width="9.1796875" style="66" hidden="1" customWidth="1"/>
    <col min="49" max="51" width="0" style="66" hidden="1" customWidth="1"/>
    <col min="52" max="16384" width="9.1796875" style="66"/>
  </cols>
  <sheetData>
    <row r="4" spans="2:56" ht="13">
      <c r="B4" s="67"/>
    </row>
    <row r="5" spans="2:56" ht="8.25" customHeight="1">
      <c r="B5" s="162"/>
    </row>
    <row r="6" spans="2:56" ht="12" customHeight="1">
      <c r="B6" s="348"/>
    </row>
    <row r="7" spans="2:56" s="98" customFormat="1" ht="14.25" customHeight="1" thickBot="1">
      <c r="B7" s="342" t="s">
        <v>90</v>
      </c>
      <c r="C7" s="343" t="s">
        <v>6</v>
      </c>
      <c r="D7" s="343" t="s">
        <v>7</v>
      </c>
      <c r="E7" s="343" t="s">
        <v>8</v>
      </c>
      <c r="F7" s="343" t="s">
        <v>91</v>
      </c>
      <c r="G7" s="343" t="s">
        <v>102</v>
      </c>
      <c r="H7" s="343" t="s">
        <v>103</v>
      </c>
      <c r="I7" s="343" t="s">
        <v>105</v>
      </c>
      <c r="J7" s="343" t="s">
        <v>106</v>
      </c>
      <c r="K7" s="343" t="s">
        <v>112</v>
      </c>
      <c r="L7" s="343" t="s">
        <v>113</v>
      </c>
      <c r="M7" s="343" t="s">
        <v>114</v>
      </c>
      <c r="N7" s="343" t="s">
        <v>118</v>
      </c>
      <c r="O7" s="343" t="s">
        <v>119</v>
      </c>
      <c r="P7" s="343" t="s">
        <v>120</v>
      </c>
      <c r="Q7" s="343" t="s">
        <v>124</v>
      </c>
      <c r="R7" s="343" t="s">
        <v>127</v>
      </c>
      <c r="S7" s="343" t="s">
        <v>129</v>
      </c>
      <c r="T7" s="343" t="s">
        <v>130</v>
      </c>
      <c r="U7" s="343" t="s">
        <v>132</v>
      </c>
      <c r="V7" s="343" t="s">
        <v>137</v>
      </c>
      <c r="W7" s="343" t="s">
        <v>138</v>
      </c>
      <c r="X7" s="121"/>
      <c r="Y7" s="343" t="s">
        <v>139</v>
      </c>
      <c r="Z7" s="343" t="s">
        <v>142</v>
      </c>
      <c r="AA7" s="343" t="s">
        <v>148</v>
      </c>
      <c r="AB7" s="343" t="s">
        <v>151</v>
      </c>
      <c r="AC7" s="343" t="s">
        <v>156</v>
      </c>
      <c r="AD7" s="343" t="s">
        <v>157</v>
      </c>
      <c r="AE7" s="343" t="s">
        <v>161</v>
      </c>
      <c r="AF7" s="343" t="s">
        <v>166</v>
      </c>
      <c r="AG7" s="344"/>
      <c r="AH7" s="343" t="s">
        <v>180</v>
      </c>
      <c r="AI7" s="343" t="s">
        <v>181</v>
      </c>
      <c r="AJ7" s="343" t="s">
        <v>192</v>
      </c>
      <c r="AK7" s="343" t="s">
        <v>195</v>
      </c>
      <c r="AL7" s="121"/>
      <c r="AM7" s="343" t="s">
        <v>198</v>
      </c>
      <c r="AN7" s="343" t="s">
        <v>202</v>
      </c>
      <c r="AO7" s="343" t="s">
        <v>203</v>
      </c>
      <c r="AP7" s="343" t="s">
        <v>204</v>
      </c>
      <c r="AQ7" s="343" t="s">
        <v>205</v>
      </c>
      <c r="AR7" s="343" t="s">
        <v>206</v>
      </c>
      <c r="AS7" s="343" t="s">
        <v>207</v>
      </c>
      <c r="AT7" s="343" t="s">
        <v>212</v>
      </c>
      <c r="AU7" s="343" t="s">
        <v>228</v>
      </c>
      <c r="AV7" s="343" t="s">
        <v>247</v>
      </c>
      <c r="AW7" s="343" t="s">
        <v>249</v>
      </c>
      <c r="AX7" s="343" t="s">
        <v>254</v>
      </c>
      <c r="AY7" s="343" t="s">
        <v>258</v>
      </c>
      <c r="AZ7" s="343" t="s">
        <v>260</v>
      </c>
      <c r="BA7" s="343" t="s">
        <v>338</v>
      </c>
      <c r="BB7" s="343" t="s">
        <v>366</v>
      </c>
      <c r="BC7" s="343" t="s">
        <v>373</v>
      </c>
      <c r="BD7" s="343" t="s">
        <v>378</v>
      </c>
    </row>
    <row r="8" spans="2:56" ht="5.25" customHeight="1" thickTop="1">
      <c r="B8" s="137"/>
      <c r="C8" s="139"/>
      <c r="D8" s="139"/>
      <c r="E8" s="140"/>
      <c r="F8" s="140"/>
      <c r="G8" s="140"/>
      <c r="H8" s="140"/>
      <c r="I8" s="140"/>
      <c r="J8" s="139"/>
      <c r="K8" s="139"/>
      <c r="L8" s="139"/>
      <c r="M8" s="139"/>
      <c r="N8" s="139"/>
      <c r="O8" s="139"/>
      <c r="P8" s="139"/>
      <c r="Q8" s="139"/>
      <c r="R8" s="139"/>
      <c r="S8" s="139"/>
      <c r="T8" s="139"/>
      <c r="U8" s="139"/>
      <c r="V8" s="139"/>
      <c r="W8" s="139"/>
      <c r="X8" s="139"/>
      <c r="Y8" s="139"/>
      <c r="Z8" s="139"/>
      <c r="AA8" s="139"/>
      <c r="AB8" s="139"/>
      <c r="AC8" s="139"/>
      <c r="AD8" s="139"/>
      <c r="AE8" s="139"/>
      <c r="AF8" s="139"/>
      <c r="AG8" s="146"/>
      <c r="AH8" s="139"/>
      <c r="AI8" s="139"/>
      <c r="AJ8" s="139"/>
      <c r="AK8" s="139"/>
      <c r="AL8" s="139"/>
      <c r="AM8" s="139"/>
      <c r="AN8" s="139"/>
      <c r="AO8" s="139"/>
      <c r="AP8" s="139"/>
      <c r="AQ8" s="139"/>
      <c r="AR8" s="139"/>
      <c r="AS8" s="139"/>
      <c r="AT8" s="139"/>
      <c r="AU8" s="139"/>
      <c r="AV8" s="139"/>
      <c r="AW8" s="139"/>
      <c r="AX8" s="139"/>
      <c r="AY8" s="139"/>
      <c r="AZ8" s="139"/>
      <c r="BA8" s="139"/>
      <c r="BB8" s="139"/>
      <c r="BC8" s="139"/>
      <c r="BD8" s="139"/>
    </row>
    <row r="9" spans="2:56" ht="14.25" customHeight="1">
      <c r="B9" s="131" t="s">
        <v>46</v>
      </c>
      <c r="C9" s="345"/>
      <c r="D9" s="345"/>
      <c r="E9" s="345"/>
      <c r="F9" s="345"/>
      <c r="G9" s="345"/>
      <c r="H9" s="345"/>
      <c r="I9" s="345"/>
      <c r="J9" s="345"/>
      <c r="K9" s="345"/>
      <c r="L9" s="345"/>
      <c r="M9" s="345"/>
      <c r="N9" s="345"/>
      <c r="O9" s="345"/>
      <c r="P9" s="345"/>
      <c r="Q9" s="345"/>
      <c r="R9" s="345"/>
      <c r="S9" s="345"/>
      <c r="T9" s="345"/>
      <c r="U9" s="345"/>
      <c r="V9" s="345"/>
      <c r="W9" s="345"/>
      <c r="X9" s="156"/>
      <c r="Y9" s="345"/>
      <c r="Z9" s="345"/>
      <c r="AA9" s="345"/>
      <c r="AB9" s="345"/>
      <c r="AC9" s="345"/>
      <c r="AD9" s="345"/>
      <c r="AE9" s="345"/>
      <c r="AF9" s="345"/>
      <c r="AG9" s="345"/>
      <c r="AH9" s="345"/>
      <c r="AI9" s="345"/>
      <c r="AJ9" s="345"/>
      <c r="AK9" s="345"/>
      <c r="AL9" s="156"/>
      <c r="AM9" s="345"/>
      <c r="AN9" s="345"/>
      <c r="AO9" s="345"/>
      <c r="AP9" s="345"/>
      <c r="AQ9" s="345"/>
      <c r="AR9" s="345"/>
      <c r="AS9" s="345"/>
      <c r="AT9" s="345"/>
      <c r="AU9" s="345"/>
      <c r="AV9" s="345"/>
      <c r="AW9" s="345"/>
      <c r="AX9" s="345"/>
      <c r="AY9" s="345"/>
      <c r="AZ9" s="437"/>
      <c r="BA9" s="437"/>
      <c r="BB9" s="437"/>
      <c r="BC9" s="437"/>
      <c r="BD9" s="437"/>
    </row>
    <row r="10" spans="2:56" ht="14.25" customHeight="1">
      <c r="B10" s="286" t="s">
        <v>47</v>
      </c>
      <c r="C10" s="286">
        <v>18</v>
      </c>
      <c r="D10" s="286">
        <v>20</v>
      </c>
      <c r="E10" s="286">
        <v>19</v>
      </c>
      <c r="F10" s="286">
        <v>16</v>
      </c>
      <c r="G10" s="286">
        <v>17</v>
      </c>
      <c r="H10" s="286">
        <v>15</v>
      </c>
      <c r="I10" s="286">
        <v>14</v>
      </c>
      <c r="J10" s="286">
        <v>15</v>
      </c>
      <c r="K10" s="286">
        <v>16</v>
      </c>
      <c r="L10" s="286">
        <v>14</v>
      </c>
      <c r="M10" s="286">
        <v>14</v>
      </c>
      <c r="N10" s="286">
        <v>14</v>
      </c>
      <c r="O10" s="286">
        <v>15</v>
      </c>
      <c r="P10" s="286">
        <v>14</v>
      </c>
      <c r="Q10" s="286">
        <v>15</v>
      </c>
      <c r="R10" s="286">
        <v>15</v>
      </c>
      <c r="S10" s="286">
        <v>17</v>
      </c>
      <c r="T10" s="286">
        <v>16</v>
      </c>
      <c r="U10" s="286">
        <v>15</v>
      </c>
      <c r="V10" s="286">
        <v>17</v>
      </c>
      <c r="W10" s="286">
        <v>18</v>
      </c>
      <c r="X10" s="154"/>
      <c r="Y10" s="286">
        <v>17</v>
      </c>
      <c r="Z10" s="286">
        <v>16</v>
      </c>
      <c r="AA10" s="286">
        <v>17</v>
      </c>
      <c r="AB10" s="286">
        <v>18</v>
      </c>
      <c r="AC10" s="286">
        <v>17</v>
      </c>
      <c r="AD10" s="286">
        <v>18</v>
      </c>
      <c r="AE10" s="286">
        <v>17</v>
      </c>
      <c r="AF10" s="286">
        <v>19</v>
      </c>
      <c r="AG10" s="286"/>
      <c r="AH10" s="286">
        <v>19</v>
      </c>
      <c r="AI10" s="286">
        <v>18</v>
      </c>
      <c r="AJ10" s="286">
        <v>21</v>
      </c>
      <c r="AK10" s="286">
        <v>24</v>
      </c>
      <c r="AL10" s="154"/>
      <c r="AM10" s="286">
        <v>21</v>
      </c>
      <c r="AN10" s="286">
        <v>20</v>
      </c>
      <c r="AO10" s="286">
        <v>18</v>
      </c>
      <c r="AP10" s="286">
        <v>18</v>
      </c>
      <c r="AQ10" s="346">
        <v>16.3</v>
      </c>
      <c r="AR10" s="346">
        <v>15.7</v>
      </c>
      <c r="AS10" s="346">
        <v>15.8</v>
      </c>
      <c r="AT10" s="346">
        <v>17.399999999999999</v>
      </c>
      <c r="AU10" s="346">
        <v>16.100000000000001</v>
      </c>
      <c r="AV10" s="346">
        <v>16.8</v>
      </c>
      <c r="AW10" s="346">
        <v>18.7</v>
      </c>
      <c r="AX10" s="346">
        <v>20.100000000000001</v>
      </c>
      <c r="AY10" s="470">
        <v>19</v>
      </c>
      <c r="AZ10" s="346">
        <v>20.100000000000001</v>
      </c>
      <c r="BA10" s="346">
        <v>18.8</v>
      </c>
      <c r="BB10" s="346">
        <f>'[1]10 - Custos'!$BB$9</f>
        <v>18.100000000000001</v>
      </c>
      <c r="BC10" s="346">
        <v>15.7</v>
      </c>
      <c r="BD10" s="346">
        <v>14.554893825480795</v>
      </c>
    </row>
    <row r="11" spans="2:56" ht="14.25" customHeight="1">
      <c r="B11" s="287" t="s">
        <v>48</v>
      </c>
      <c r="C11" s="287">
        <v>6</v>
      </c>
      <c r="D11" s="287">
        <v>5</v>
      </c>
      <c r="E11" s="287">
        <v>5</v>
      </c>
      <c r="F11" s="287">
        <v>4</v>
      </c>
      <c r="G11" s="287">
        <v>5</v>
      </c>
      <c r="H11" s="287">
        <v>5</v>
      </c>
      <c r="I11" s="287">
        <v>5</v>
      </c>
      <c r="J11" s="287">
        <v>6</v>
      </c>
      <c r="K11" s="287">
        <v>6</v>
      </c>
      <c r="L11" s="287">
        <v>5</v>
      </c>
      <c r="M11" s="287">
        <v>5</v>
      </c>
      <c r="N11" s="287">
        <v>5</v>
      </c>
      <c r="O11" s="287">
        <v>6</v>
      </c>
      <c r="P11" s="287">
        <v>6</v>
      </c>
      <c r="Q11" s="287">
        <v>5</v>
      </c>
      <c r="R11" s="287">
        <v>6</v>
      </c>
      <c r="S11" s="287">
        <v>7</v>
      </c>
      <c r="T11" s="287">
        <v>6</v>
      </c>
      <c r="U11" s="287">
        <v>6</v>
      </c>
      <c r="V11" s="287">
        <v>7</v>
      </c>
      <c r="W11" s="287">
        <v>7</v>
      </c>
      <c r="X11" s="156"/>
      <c r="Y11" s="287">
        <v>6</v>
      </c>
      <c r="Z11" s="287">
        <v>6</v>
      </c>
      <c r="AA11" s="287">
        <v>8</v>
      </c>
      <c r="AB11" s="287">
        <v>9</v>
      </c>
      <c r="AC11" s="287">
        <v>8</v>
      </c>
      <c r="AD11" s="287">
        <v>8</v>
      </c>
      <c r="AE11" s="287">
        <v>9</v>
      </c>
      <c r="AF11" s="287">
        <v>10</v>
      </c>
      <c r="AG11" s="287"/>
      <c r="AH11" s="287">
        <v>10</v>
      </c>
      <c r="AI11" s="287">
        <v>9</v>
      </c>
      <c r="AJ11" s="287">
        <v>7</v>
      </c>
      <c r="AK11" s="287">
        <v>8</v>
      </c>
      <c r="AL11" s="156"/>
      <c r="AM11" s="287">
        <v>4</v>
      </c>
      <c r="AN11" s="287">
        <v>4</v>
      </c>
      <c r="AO11" s="287">
        <v>6</v>
      </c>
      <c r="AP11" s="287">
        <v>6</v>
      </c>
      <c r="AQ11" s="347">
        <v>5.3</v>
      </c>
      <c r="AR11" s="347">
        <v>6</v>
      </c>
      <c r="AS11" s="347">
        <v>5.6</v>
      </c>
      <c r="AT11" s="347">
        <v>6.3</v>
      </c>
      <c r="AU11" s="347">
        <v>5.8</v>
      </c>
      <c r="AV11" s="347">
        <v>6.3</v>
      </c>
      <c r="AW11" s="347">
        <v>7.4</v>
      </c>
      <c r="AX11" s="347">
        <v>6.6</v>
      </c>
      <c r="AY11" s="471">
        <v>6</v>
      </c>
      <c r="AZ11" s="347">
        <v>7.2</v>
      </c>
      <c r="BA11" s="347">
        <v>6.7</v>
      </c>
      <c r="BB11" s="347">
        <f>'[1]10 - Custos'!$BB$10</f>
        <v>5.9</v>
      </c>
      <c r="BC11" s="347">
        <v>5.4</v>
      </c>
      <c r="BD11" s="347">
        <v>5.2288974854980772</v>
      </c>
    </row>
    <row r="12" spans="2:56" ht="14.25" customHeight="1">
      <c r="B12" s="286" t="s">
        <v>49</v>
      </c>
      <c r="C12" s="286">
        <v>6</v>
      </c>
      <c r="D12" s="286">
        <v>8</v>
      </c>
      <c r="E12" s="286">
        <v>8</v>
      </c>
      <c r="F12" s="286">
        <v>6</v>
      </c>
      <c r="G12" s="286">
        <v>6</v>
      </c>
      <c r="H12" s="286">
        <v>6</v>
      </c>
      <c r="I12" s="286">
        <v>6</v>
      </c>
      <c r="J12" s="286">
        <v>6</v>
      </c>
      <c r="K12" s="286">
        <v>6</v>
      </c>
      <c r="L12" s="286">
        <v>6</v>
      </c>
      <c r="M12" s="286">
        <v>5</v>
      </c>
      <c r="N12" s="286">
        <v>5</v>
      </c>
      <c r="O12" s="286">
        <v>5</v>
      </c>
      <c r="P12" s="286">
        <v>4</v>
      </c>
      <c r="Q12" s="286">
        <v>4</v>
      </c>
      <c r="R12" s="286">
        <v>5</v>
      </c>
      <c r="S12" s="286">
        <v>5</v>
      </c>
      <c r="T12" s="286">
        <v>5</v>
      </c>
      <c r="U12" s="286">
        <v>5</v>
      </c>
      <c r="V12" s="286">
        <v>5</v>
      </c>
      <c r="W12" s="286">
        <v>5</v>
      </c>
      <c r="X12" s="154"/>
      <c r="Y12" s="286">
        <v>5</v>
      </c>
      <c r="Z12" s="286">
        <v>5</v>
      </c>
      <c r="AA12" s="286">
        <v>5</v>
      </c>
      <c r="AB12" s="286">
        <v>5</v>
      </c>
      <c r="AC12" s="286">
        <v>5</v>
      </c>
      <c r="AD12" s="286">
        <v>5</v>
      </c>
      <c r="AE12" s="286">
        <v>6</v>
      </c>
      <c r="AF12" s="286">
        <v>7</v>
      </c>
      <c r="AG12" s="286"/>
      <c r="AH12" s="286">
        <v>6</v>
      </c>
      <c r="AI12" s="286">
        <v>6</v>
      </c>
      <c r="AJ12" s="286">
        <v>6</v>
      </c>
      <c r="AK12" s="286">
        <v>7</v>
      </c>
      <c r="AL12" s="154"/>
      <c r="AM12" s="286">
        <v>5</v>
      </c>
      <c r="AN12" s="286">
        <v>5</v>
      </c>
      <c r="AO12" s="286">
        <v>5</v>
      </c>
      <c r="AP12" s="286">
        <v>5</v>
      </c>
      <c r="AQ12" s="346">
        <v>4.5999999999999996</v>
      </c>
      <c r="AR12" s="346">
        <v>4</v>
      </c>
      <c r="AS12" s="346">
        <v>3.5</v>
      </c>
      <c r="AT12" s="346">
        <v>3.7</v>
      </c>
      <c r="AU12" s="346">
        <v>3.8</v>
      </c>
      <c r="AV12" s="346">
        <v>3.9</v>
      </c>
      <c r="AW12" s="346">
        <v>4.3</v>
      </c>
      <c r="AX12" s="346">
        <v>4.9000000000000004</v>
      </c>
      <c r="AY12" s="470">
        <v>4</v>
      </c>
      <c r="AZ12" s="346">
        <v>5.6</v>
      </c>
      <c r="BA12" s="346">
        <v>4.5999999999999996</v>
      </c>
      <c r="BB12" s="346">
        <f>'[1]10 - Custos'!$BB$11</f>
        <v>4.0999999999999996</v>
      </c>
      <c r="BC12" s="346">
        <v>3.2</v>
      </c>
      <c r="BD12" s="346">
        <v>2.9504759540370311</v>
      </c>
    </row>
    <row r="13" spans="2:56" ht="14.25" customHeight="1">
      <c r="B13" s="287" t="s">
        <v>50</v>
      </c>
      <c r="C13" s="287">
        <v>47</v>
      </c>
      <c r="D13" s="287">
        <v>41</v>
      </c>
      <c r="E13" s="287">
        <v>42</v>
      </c>
      <c r="F13" s="287">
        <v>47</v>
      </c>
      <c r="G13" s="287">
        <v>47</v>
      </c>
      <c r="H13" s="287">
        <v>51</v>
      </c>
      <c r="I13" s="287">
        <v>53</v>
      </c>
      <c r="J13" s="287">
        <v>50</v>
      </c>
      <c r="K13" s="287">
        <v>50</v>
      </c>
      <c r="L13" s="287">
        <v>54</v>
      </c>
      <c r="M13" s="287">
        <v>55</v>
      </c>
      <c r="N13" s="287">
        <v>54</v>
      </c>
      <c r="O13" s="287">
        <v>53</v>
      </c>
      <c r="P13" s="287">
        <v>55</v>
      </c>
      <c r="Q13" s="287">
        <v>55</v>
      </c>
      <c r="R13" s="287">
        <v>53</v>
      </c>
      <c r="S13" s="287">
        <v>50</v>
      </c>
      <c r="T13" s="287">
        <v>51</v>
      </c>
      <c r="U13" s="287">
        <v>52</v>
      </c>
      <c r="V13" s="287">
        <v>50</v>
      </c>
      <c r="W13" s="287">
        <v>50</v>
      </c>
      <c r="X13" s="156"/>
      <c r="Y13" s="287">
        <v>53</v>
      </c>
      <c r="Z13" s="287">
        <v>53</v>
      </c>
      <c r="AA13" s="287">
        <v>50</v>
      </c>
      <c r="AB13" s="287">
        <v>48</v>
      </c>
      <c r="AC13" s="287">
        <v>48</v>
      </c>
      <c r="AD13" s="287">
        <v>46</v>
      </c>
      <c r="AE13" s="287">
        <v>44</v>
      </c>
      <c r="AF13" s="287">
        <v>40</v>
      </c>
      <c r="AG13" s="287"/>
      <c r="AH13" s="287">
        <v>41</v>
      </c>
      <c r="AI13" s="287">
        <v>43</v>
      </c>
      <c r="AJ13" s="287">
        <v>42</v>
      </c>
      <c r="AK13" s="287">
        <v>37</v>
      </c>
      <c r="AL13" s="156"/>
      <c r="AM13" s="287">
        <v>46</v>
      </c>
      <c r="AN13" s="287">
        <v>47</v>
      </c>
      <c r="AO13" s="287">
        <v>47</v>
      </c>
      <c r="AP13" s="287">
        <v>46</v>
      </c>
      <c r="AQ13" s="347">
        <v>48.6</v>
      </c>
      <c r="AR13" s="347">
        <v>52</v>
      </c>
      <c r="AS13" s="347">
        <v>50.6</v>
      </c>
      <c r="AT13" s="347">
        <v>46.6</v>
      </c>
      <c r="AU13" s="347">
        <v>47.6</v>
      </c>
      <c r="AV13" s="347">
        <v>45.7</v>
      </c>
      <c r="AW13" s="347">
        <v>42.2</v>
      </c>
      <c r="AX13" s="347">
        <v>39.4</v>
      </c>
      <c r="AY13" s="471">
        <v>43</v>
      </c>
      <c r="AZ13" s="347">
        <v>40.6</v>
      </c>
      <c r="BA13" s="347">
        <v>44.8</v>
      </c>
      <c r="BB13" s="347">
        <f>'[1]10 - Custos'!$BB$12</f>
        <v>48.9</v>
      </c>
      <c r="BC13" s="347">
        <v>55.9</v>
      </c>
      <c r="BD13" s="347">
        <v>58.67993922420326</v>
      </c>
    </row>
    <row r="14" spans="2:56" ht="14.25" customHeight="1">
      <c r="B14" s="286" t="s">
        <v>51</v>
      </c>
      <c r="C14" s="286">
        <v>15</v>
      </c>
      <c r="D14" s="286">
        <v>17</v>
      </c>
      <c r="E14" s="286">
        <v>17</v>
      </c>
      <c r="F14" s="286">
        <v>17</v>
      </c>
      <c r="G14" s="286">
        <v>16</v>
      </c>
      <c r="H14" s="286">
        <v>15</v>
      </c>
      <c r="I14" s="286">
        <v>14</v>
      </c>
      <c r="J14" s="286">
        <v>15</v>
      </c>
      <c r="K14" s="286">
        <v>14</v>
      </c>
      <c r="L14" s="286">
        <v>13</v>
      </c>
      <c r="M14" s="286">
        <v>13</v>
      </c>
      <c r="N14" s="286">
        <v>14</v>
      </c>
      <c r="O14" s="286">
        <v>13</v>
      </c>
      <c r="P14" s="286">
        <v>13</v>
      </c>
      <c r="Q14" s="286">
        <v>13</v>
      </c>
      <c r="R14" s="286">
        <v>13</v>
      </c>
      <c r="S14" s="286">
        <v>13</v>
      </c>
      <c r="T14" s="286">
        <v>14</v>
      </c>
      <c r="U14" s="286">
        <v>14</v>
      </c>
      <c r="V14" s="286">
        <v>13</v>
      </c>
      <c r="W14" s="286">
        <v>12</v>
      </c>
      <c r="X14" s="154"/>
      <c r="Y14" s="286">
        <v>12</v>
      </c>
      <c r="Z14" s="286">
        <v>12</v>
      </c>
      <c r="AA14" s="286">
        <v>12</v>
      </c>
      <c r="AB14" s="286">
        <v>12</v>
      </c>
      <c r="AC14" s="286">
        <v>13</v>
      </c>
      <c r="AD14" s="286">
        <v>14</v>
      </c>
      <c r="AE14" s="286">
        <v>14</v>
      </c>
      <c r="AF14" s="286">
        <v>14</v>
      </c>
      <c r="AG14" s="286"/>
      <c r="AH14" s="286">
        <v>14</v>
      </c>
      <c r="AI14" s="286">
        <v>14</v>
      </c>
      <c r="AJ14" s="286">
        <v>15</v>
      </c>
      <c r="AK14" s="286">
        <v>15</v>
      </c>
      <c r="AL14" s="154"/>
      <c r="AM14" s="286">
        <v>16</v>
      </c>
      <c r="AN14" s="286">
        <v>15</v>
      </c>
      <c r="AO14" s="286">
        <v>15</v>
      </c>
      <c r="AP14" s="286">
        <v>15</v>
      </c>
      <c r="AQ14" s="346">
        <v>15</v>
      </c>
      <c r="AR14" s="346">
        <v>14</v>
      </c>
      <c r="AS14" s="346">
        <v>13.9</v>
      </c>
      <c r="AT14" s="346">
        <v>15.2</v>
      </c>
      <c r="AU14" s="346">
        <v>15.4</v>
      </c>
      <c r="AV14" s="346">
        <v>15.8</v>
      </c>
      <c r="AW14" s="346">
        <v>15.8</v>
      </c>
      <c r="AX14" s="346">
        <f>17.2</f>
        <v>17.2</v>
      </c>
      <c r="AY14" s="470">
        <v>15</v>
      </c>
      <c r="AZ14" s="346">
        <v>15.2</v>
      </c>
      <c r="BA14" s="346">
        <v>14.3</v>
      </c>
      <c r="BB14" s="346">
        <f>'[1]10 - Custos'!$BB$13</f>
        <v>13</v>
      </c>
      <c r="BC14" s="346">
        <v>10.9</v>
      </c>
      <c r="BD14" s="346">
        <v>10.403117141226721</v>
      </c>
    </row>
    <row r="15" spans="2:56" ht="14.25" customHeight="1">
      <c r="B15" s="287" t="s">
        <v>52</v>
      </c>
      <c r="C15" s="287">
        <v>8</v>
      </c>
      <c r="D15" s="287">
        <v>9</v>
      </c>
      <c r="E15" s="287">
        <v>9</v>
      </c>
      <c r="F15" s="287">
        <v>10</v>
      </c>
      <c r="G15" s="287">
        <v>9</v>
      </c>
      <c r="H15" s="287">
        <v>8</v>
      </c>
      <c r="I15" s="287">
        <v>8</v>
      </c>
      <c r="J15" s="287">
        <v>8</v>
      </c>
      <c r="K15" s="287">
        <v>8</v>
      </c>
      <c r="L15" s="287">
        <v>8</v>
      </c>
      <c r="M15" s="287">
        <v>8</v>
      </c>
      <c r="N15" s="287">
        <v>8</v>
      </c>
      <c r="O15" s="287">
        <v>8</v>
      </c>
      <c r="P15" s="287">
        <v>8</v>
      </c>
      <c r="Q15" s="287">
        <v>8</v>
      </c>
      <c r="R15" s="287">
        <v>8</v>
      </c>
      <c r="S15" s="287">
        <v>8</v>
      </c>
      <c r="T15" s="287">
        <v>8</v>
      </c>
      <c r="U15" s="287">
        <v>8</v>
      </c>
      <c r="V15" s="287">
        <v>8</v>
      </c>
      <c r="W15" s="287">
        <v>8</v>
      </c>
      <c r="X15" s="156"/>
      <c r="Y15" s="287">
        <v>7</v>
      </c>
      <c r="Z15" s="287">
        <v>8</v>
      </c>
      <c r="AA15" s="287">
        <v>8</v>
      </c>
      <c r="AB15" s="287">
        <v>8</v>
      </c>
      <c r="AC15" s="287">
        <v>9</v>
      </c>
      <c r="AD15" s="287">
        <v>9</v>
      </c>
      <c r="AE15" s="287">
        <v>10</v>
      </c>
      <c r="AF15" s="287">
        <v>10</v>
      </c>
      <c r="AG15" s="287"/>
      <c r="AH15" s="287">
        <v>10</v>
      </c>
      <c r="AI15" s="287">
        <v>10</v>
      </c>
      <c r="AJ15" s="287">
        <v>9</v>
      </c>
      <c r="AK15" s="287">
        <v>9</v>
      </c>
      <c r="AL15" s="156"/>
      <c r="AM15" s="287">
        <v>8</v>
      </c>
      <c r="AN15" s="287">
        <v>9</v>
      </c>
      <c r="AO15" s="287">
        <v>9</v>
      </c>
      <c r="AP15" s="287">
        <v>10</v>
      </c>
      <c r="AQ15" s="347">
        <v>10.199999999999999</v>
      </c>
      <c r="AR15" s="347">
        <v>10</v>
      </c>
      <c r="AS15" s="347">
        <v>10.7</v>
      </c>
      <c r="AT15" s="347">
        <v>10.9</v>
      </c>
      <c r="AU15" s="347">
        <v>11.2</v>
      </c>
      <c r="AV15" s="347">
        <v>11.5</v>
      </c>
      <c r="AW15" s="347">
        <v>11.5</v>
      </c>
      <c r="AX15" s="347">
        <v>11.8</v>
      </c>
      <c r="AY15" s="471">
        <v>12</v>
      </c>
      <c r="AZ15" s="347">
        <v>11.4</v>
      </c>
      <c r="BA15" s="347">
        <v>10.9</v>
      </c>
      <c r="BB15" s="347">
        <f>'[1]10 - Custos'!$BB$14</f>
        <v>10.4</v>
      </c>
      <c r="BC15" s="347">
        <v>8.8000000000000007</v>
      </c>
      <c r="BD15" s="347">
        <v>8.182676369554148</v>
      </c>
    </row>
    <row r="16" spans="2:56" ht="5.25" customHeight="1">
      <c r="B16" s="142"/>
      <c r="C16" s="142"/>
      <c r="D16" s="142"/>
      <c r="E16" s="142"/>
      <c r="F16" s="142"/>
      <c r="G16" s="142"/>
      <c r="H16" s="142"/>
      <c r="I16" s="142"/>
      <c r="J16" s="142"/>
      <c r="K16" s="142"/>
      <c r="L16" s="142"/>
      <c r="M16" s="142"/>
      <c r="N16" s="142"/>
      <c r="O16" s="142"/>
      <c r="P16" s="142"/>
      <c r="Q16" s="142"/>
      <c r="R16" s="142"/>
      <c r="S16" s="142"/>
      <c r="T16" s="142"/>
      <c r="U16" s="142"/>
      <c r="V16" s="142"/>
      <c r="W16" s="142"/>
      <c r="X16" s="139"/>
      <c r="Y16" s="142"/>
      <c r="Z16" s="142"/>
      <c r="AA16" s="142"/>
      <c r="AB16" s="142"/>
      <c r="AC16" s="142"/>
      <c r="AD16" s="142"/>
      <c r="AE16" s="142"/>
      <c r="AF16" s="142"/>
      <c r="AG16" s="143"/>
      <c r="AH16" s="142"/>
      <c r="AI16" s="142"/>
      <c r="AJ16" s="142"/>
      <c r="AK16" s="142"/>
      <c r="AL16" s="139"/>
      <c r="AM16" s="142"/>
      <c r="AN16" s="142"/>
      <c r="AO16" s="142"/>
      <c r="AP16" s="142"/>
      <c r="AQ16" s="349"/>
      <c r="AR16" s="349"/>
      <c r="AS16" s="349"/>
      <c r="AT16" s="349"/>
      <c r="AU16" s="349"/>
      <c r="AV16" s="349"/>
      <c r="AW16" s="416"/>
      <c r="AX16" s="416"/>
      <c r="AY16" s="416"/>
      <c r="AZ16" s="416"/>
      <c r="BA16" s="416"/>
      <c r="BB16" s="416"/>
      <c r="BC16" s="416"/>
      <c r="BD16" s="416"/>
    </row>
    <row r="17" spans="2:56" ht="14.25" customHeight="1">
      <c r="B17" s="131" t="s">
        <v>95</v>
      </c>
      <c r="C17" s="345"/>
      <c r="D17" s="345"/>
      <c r="E17" s="345"/>
      <c r="F17" s="345"/>
      <c r="G17" s="345"/>
      <c r="H17" s="345"/>
      <c r="I17" s="345"/>
      <c r="J17" s="345"/>
      <c r="K17" s="345"/>
      <c r="L17" s="345"/>
      <c r="M17" s="345"/>
      <c r="N17" s="345"/>
      <c r="O17" s="345"/>
      <c r="P17" s="345"/>
      <c r="Q17" s="345"/>
      <c r="R17" s="345"/>
      <c r="S17" s="345"/>
      <c r="T17" s="345"/>
      <c r="U17" s="345"/>
      <c r="V17" s="345"/>
      <c r="W17" s="345"/>
      <c r="X17" s="156"/>
      <c r="Y17" s="345"/>
      <c r="Z17" s="345"/>
      <c r="AA17" s="345"/>
      <c r="AB17" s="345"/>
      <c r="AC17" s="345"/>
      <c r="AD17" s="345"/>
      <c r="AE17" s="345"/>
      <c r="AF17" s="345"/>
      <c r="AG17" s="345"/>
      <c r="AH17" s="345"/>
      <c r="AI17" s="345"/>
      <c r="AJ17" s="345"/>
      <c r="AK17" s="345"/>
      <c r="AL17" s="156"/>
      <c r="AM17" s="345"/>
      <c r="AN17" s="345"/>
      <c r="AO17" s="345"/>
      <c r="AP17" s="345"/>
      <c r="AQ17" s="345"/>
      <c r="AR17" s="345"/>
      <c r="AS17" s="345"/>
      <c r="AT17" s="345"/>
      <c r="AU17" s="345"/>
      <c r="AV17" s="345"/>
      <c r="AW17" s="345"/>
      <c r="AX17" s="437"/>
      <c r="AY17" s="437"/>
      <c r="AZ17" s="437"/>
      <c r="BA17" s="437"/>
      <c r="BB17" s="437"/>
      <c r="BC17" s="437"/>
      <c r="BD17" s="437"/>
    </row>
    <row r="18" spans="2:56" ht="14.25" customHeight="1">
      <c r="B18" s="286" t="s">
        <v>47</v>
      </c>
      <c r="C18" s="286">
        <v>16</v>
      </c>
      <c r="D18" s="286">
        <v>18</v>
      </c>
      <c r="E18" s="286">
        <v>17</v>
      </c>
      <c r="F18" s="286">
        <v>15</v>
      </c>
      <c r="G18" s="286">
        <v>15</v>
      </c>
      <c r="H18" s="286">
        <v>15</v>
      </c>
      <c r="I18" s="286">
        <v>13</v>
      </c>
      <c r="J18" s="286">
        <v>14</v>
      </c>
      <c r="K18" s="286">
        <v>15</v>
      </c>
      <c r="L18" s="286">
        <v>16</v>
      </c>
      <c r="M18" s="286">
        <v>14</v>
      </c>
      <c r="N18" s="286">
        <v>15</v>
      </c>
      <c r="O18" s="286">
        <v>17</v>
      </c>
      <c r="P18" s="286">
        <v>16</v>
      </c>
      <c r="Q18" s="286">
        <v>17</v>
      </c>
      <c r="R18" s="286">
        <v>15</v>
      </c>
      <c r="S18" s="286">
        <v>18</v>
      </c>
      <c r="T18" s="286">
        <v>18</v>
      </c>
      <c r="U18" s="286">
        <v>18</v>
      </c>
      <c r="V18" s="286">
        <v>18</v>
      </c>
      <c r="W18" s="286">
        <v>19</v>
      </c>
      <c r="X18" s="154"/>
      <c r="Y18" s="286">
        <v>19</v>
      </c>
      <c r="Z18" s="286">
        <v>19</v>
      </c>
      <c r="AA18" s="286">
        <v>22</v>
      </c>
      <c r="AB18" s="286">
        <v>23</v>
      </c>
      <c r="AC18" s="286">
        <v>22</v>
      </c>
      <c r="AD18" s="286">
        <v>22</v>
      </c>
      <c r="AE18" s="286">
        <v>21</v>
      </c>
      <c r="AF18" s="286">
        <v>24</v>
      </c>
      <c r="AG18" s="286"/>
      <c r="AH18" s="286">
        <v>22</v>
      </c>
      <c r="AI18" s="286">
        <v>22</v>
      </c>
      <c r="AJ18" s="286">
        <v>21</v>
      </c>
      <c r="AK18" s="286">
        <v>25</v>
      </c>
      <c r="AL18" s="154"/>
      <c r="AM18" s="286">
        <v>20</v>
      </c>
      <c r="AN18" s="286">
        <v>20</v>
      </c>
      <c r="AO18" s="286">
        <v>20</v>
      </c>
      <c r="AP18" s="286">
        <v>19</v>
      </c>
      <c r="AQ18" s="346">
        <v>16.8</v>
      </c>
      <c r="AR18" s="346">
        <v>16.8</v>
      </c>
      <c r="AS18" s="346">
        <v>15.8</v>
      </c>
      <c r="AT18" s="346">
        <v>17.2</v>
      </c>
      <c r="AU18" s="346">
        <v>16.7</v>
      </c>
      <c r="AV18" s="346">
        <v>16.7</v>
      </c>
      <c r="AW18" s="346">
        <v>19.399999999999999</v>
      </c>
      <c r="AX18" s="346">
        <v>20</v>
      </c>
      <c r="AY18" s="470">
        <v>19</v>
      </c>
      <c r="AZ18" s="346">
        <v>17.7</v>
      </c>
      <c r="BA18" s="346">
        <v>16.100000000000001</v>
      </c>
      <c r="BB18" s="346">
        <f>'[1]10 - Custos'!$BB$17</f>
        <v>16.8</v>
      </c>
      <c r="BC18" s="346">
        <v>15.5</v>
      </c>
      <c r="BD18" s="346">
        <v>13.341111244211332</v>
      </c>
    </row>
    <row r="19" spans="2:56" ht="14.25" customHeight="1">
      <c r="B19" s="287" t="s">
        <v>48</v>
      </c>
      <c r="C19" s="287">
        <v>6</v>
      </c>
      <c r="D19" s="287">
        <v>5</v>
      </c>
      <c r="E19" s="287">
        <v>4</v>
      </c>
      <c r="F19" s="287">
        <v>5</v>
      </c>
      <c r="G19" s="287">
        <v>5</v>
      </c>
      <c r="H19" s="287">
        <v>6</v>
      </c>
      <c r="I19" s="287">
        <v>6</v>
      </c>
      <c r="J19" s="287">
        <v>7</v>
      </c>
      <c r="K19" s="287">
        <v>6</v>
      </c>
      <c r="L19" s="287">
        <v>7</v>
      </c>
      <c r="M19" s="287">
        <v>6</v>
      </c>
      <c r="N19" s="287">
        <v>6</v>
      </c>
      <c r="O19" s="287">
        <v>7</v>
      </c>
      <c r="P19" s="287">
        <v>7</v>
      </c>
      <c r="Q19" s="287">
        <v>7</v>
      </c>
      <c r="R19" s="287">
        <v>6</v>
      </c>
      <c r="S19" s="287">
        <v>6</v>
      </c>
      <c r="T19" s="287">
        <v>6</v>
      </c>
      <c r="U19" s="287">
        <v>6</v>
      </c>
      <c r="V19" s="287">
        <v>6</v>
      </c>
      <c r="W19" s="287">
        <v>7</v>
      </c>
      <c r="X19" s="156"/>
      <c r="Y19" s="287">
        <v>7</v>
      </c>
      <c r="Z19" s="287">
        <v>7</v>
      </c>
      <c r="AA19" s="287">
        <v>7</v>
      </c>
      <c r="AB19" s="287">
        <v>7</v>
      </c>
      <c r="AC19" s="287">
        <v>6</v>
      </c>
      <c r="AD19" s="287">
        <v>7</v>
      </c>
      <c r="AE19" s="287">
        <v>6</v>
      </c>
      <c r="AF19" s="287">
        <v>7</v>
      </c>
      <c r="AG19" s="287"/>
      <c r="AH19" s="287">
        <v>6</v>
      </c>
      <c r="AI19" s="287">
        <v>6</v>
      </c>
      <c r="AJ19" s="287">
        <v>7</v>
      </c>
      <c r="AK19" s="287">
        <v>10</v>
      </c>
      <c r="AL19" s="156"/>
      <c r="AM19" s="287">
        <v>6</v>
      </c>
      <c r="AN19" s="287">
        <v>6</v>
      </c>
      <c r="AO19" s="287">
        <v>5</v>
      </c>
      <c r="AP19" s="287">
        <v>5</v>
      </c>
      <c r="AQ19" s="347">
        <v>5.0999999999999996</v>
      </c>
      <c r="AR19" s="347">
        <v>6</v>
      </c>
      <c r="AS19" s="347">
        <v>5.3</v>
      </c>
      <c r="AT19" s="347">
        <v>5.3</v>
      </c>
      <c r="AU19" s="347">
        <v>5.6</v>
      </c>
      <c r="AV19" s="347">
        <v>5.3</v>
      </c>
      <c r="AW19" s="347">
        <v>7.5</v>
      </c>
      <c r="AX19" s="347">
        <v>5.4</v>
      </c>
      <c r="AY19" s="471">
        <v>6</v>
      </c>
      <c r="AZ19" s="347">
        <v>6.2</v>
      </c>
      <c r="BA19" s="347">
        <v>5.9</v>
      </c>
      <c r="BB19" s="347">
        <f>'[1]10 - Custos'!$BB$18</f>
        <v>5.2</v>
      </c>
      <c r="BC19" s="347">
        <v>5.6</v>
      </c>
      <c r="BD19" s="347">
        <v>4.8930617923014434</v>
      </c>
    </row>
    <row r="20" spans="2:56" ht="14.25" customHeight="1">
      <c r="B20" s="286" t="s">
        <v>49</v>
      </c>
      <c r="C20" s="286">
        <v>8</v>
      </c>
      <c r="D20" s="286">
        <v>10</v>
      </c>
      <c r="E20" s="286">
        <v>9</v>
      </c>
      <c r="F20" s="286">
        <v>8</v>
      </c>
      <c r="G20" s="286">
        <v>8</v>
      </c>
      <c r="H20" s="286">
        <v>10</v>
      </c>
      <c r="I20" s="286">
        <v>9</v>
      </c>
      <c r="J20" s="286">
        <v>9</v>
      </c>
      <c r="K20" s="286">
        <v>10</v>
      </c>
      <c r="L20" s="286">
        <v>10</v>
      </c>
      <c r="M20" s="286">
        <v>7</v>
      </c>
      <c r="N20" s="286">
        <v>7</v>
      </c>
      <c r="O20" s="286">
        <v>7</v>
      </c>
      <c r="P20" s="286">
        <v>7</v>
      </c>
      <c r="Q20" s="286">
        <v>6</v>
      </c>
      <c r="R20" s="286">
        <v>6</v>
      </c>
      <c r="S20" s="286">
        <v>7</v>
      </c>
      <c r="T20" s="286">
        <v>7</v>
      </c>
      <c r="U20" s="286">
        <v>6</v>
      </c>
      <c r="V20" s="286">
        <v>7</v>
      </c>
      <c r="W20" s="286">
        <v>7</v>
      </c>
      <c r="X20" s="154"/>
      <c r="Y20" s="286">
        <v>7</v>
      </c>
      <c r="Z20" s="286">
        <v>7</v>
      </c>
      <c r="AA20" s="286">
        <v>8</v>
      </c>
      <c r="AB20" s="286">
        <v>8</v>
      </c>
      <c r="AC20" s="286">
        <v>7</v>
      </c>
      <c r="AD20" s="286">
        <v>7</v>
      </c>
      <c r="AE20" s="286">
        <v>8</v>
      </c>
      <c r="AF20" s="286">
        <v>9</v>
      </c>
      <c r="AG20" s="286"/>
      <c r="AH20" s="286">
        <v>8</v>
      </c>
      <c r="AI20" s="286">
        <v>8</v>
      </c>
      <c r="AJ20" s="286">
        <v>8</v>
      </c>
      <c r="AK20" s="286">
        <v>10</v>
      </c>
      <c r="AL20" s="154"/>
      <c r="AM20" s="286">
        <v>8</v>
      </c>
      <c r="AN20" s="286">
        <v>8</v>
      </c>
      <c r="AO20" s="286">
        <v>8</v>
      </c>
      <c r="AP20" s="286">
        <v>7</v>
      </c>
      <c r="AQ20" s="346">
        <v>6.3</v>
      </c>
      <c r="AR20" s="346">
        <v>6.3</v>
      </c>
      <c r="AS20" s="346">
        <v>5.4</v>
      </c>
      <c r="AT20" s="346">
        <v>5.3</v>
      </c>
      <c r="AU20" s="346">
        <v>5.6</v>
      </c>
      <c r="AV20" s="346">
        <v>5.2</v>
      </c>
      <c r="AW20" s="346">
        <v>5.9</v>
      </c>
      <c r="AX20" s="346">
        <v>6.6</v>
      </c>
      <c r="AY20" s="470">
        <v>6</v>
      </c>
      <c r="AZ20" s="346">
        <v>7.4</v>
      </c>
      <c r="BA20" s="346">
        <v>5.9</v>
      </c>
      <c r="BB20" s="346">
        <f>'[1]10 - Custos'!$BB$19</f>
        <v>5.3</v>
      </c>
      <c r="BC20" s="346">
        <v>4.8</v>
      </c>
      <c r="BD20" s="346">
        <v>4.0279708006086938</v>
      </c>
    </row>
    <row r="21" spans="2:56" ht="14.25" customHeight="1">
      <c r="B21" s="287" t="s">
        <v>50</v>
      </c>
      <c r="C21" s="287">
        <v>38</v>
      </c>
      <c r="D21" s="287">
        <v>31</v>
      </c>
      <c r="E21" s="287">
        <v>36</v>
      </c>
      <c r="F21" s="287">
        <v>39</v>
      </c>
      <c r="G21" s="287">
        <v>41</v>
      </c>
      <c r="H21" s="287">
        <v>40</v>
      </c>
      <c r="I21" s="287">
        <v>43</v>
      </c>
      <c r="J21" s="287">
        <v>40</v>
      </c>
      <c r="K21" s="287">
        <v>41</v>
      </c>
      <c r="L21" s="287">
        <v>39</v>
      </c>
      <c r="M21" s="287">
        <v>44</v>
      </c>
      <c r="N21" s="287">
        <v>42</v>
      </c>
      <c r="O21" s="287">
        <v>39</v>
      </c>
      <c r="P21" s="287">
        <v>40</v>
      </c>
      <c r="Q21" s="287">
        <v>41</v>
      </c>
      <c r="R21" s="287">
        <v>44</v>
      </c>
      <c r="S21" s="287">
        <v>40</v>
      </c>
      <c r="T21" s="287">
        <v>37</v>
      </c>
      <c r="U21" s="287">
        <v>39</v>
      </c>
      <c r="V21" s="287">
        <v>39</v>
      </c>
      <c r="W21" s="287">
        <v>39</v>
      </c>
      <c r="X21" s="156"/>
      <c r="Y21" s="287">
        <v>39</v>
      </c>
      <c r="Z21" s="287">
        <v>39</v>
      </c>
      <c r="AA21" s="287">
        <v>35</v>
      </c>
      <c r="AB21" s="287">
        <v>33</v>
      </c>
      <c r="AC21" s="287">
        <v>35</v>
      </c>
      <c r="AD21" s="287">
        <v>31</v>
      </c>
      <c r="AE21" s="287">
        <v>30</v>
      </c>
      <c r="AF21" s="287">
        <v>26</v>
      </c>
      <c r="AG21" s="287"/>
      <c r="AH21" s="287">
        <v>27</v>
      </c>
      <c r="AI21" s="287">
        <v>27</v>
      </c>
      <c r="AJ21" s="287">
        <v>29</v>
      </c>
      <c r="AK21" s="287">
        <v>16</v>
      </c>
      <c r="AL21" s="156"/>
      <c r="AM21" s="287">
        <v>29</v>
      </c>
      <c r="AN21" s="287">
        <v>28</v>
      </c>
      <c r="AO21" s="287">
        <v>29</v>
      </c>
      <c r="AP21" s="287">
        <v>32</v>
      </c>
      <c r="AQ21" s="347">
        <v>32.5</v>
      </c>
      <c r="AR21" s="347">
        <v>32.5</v>
      </c>
      <c r="AS21" s="347">
        <v>35.799999999999997</v>
      </c>
      <c r="AT21" s="347">
        <v>31.7</v>
      </c>
      <c r="AU21" s="347">
        <v>31.2</v>
      </c>
      <c r="AV21" s="347">
        <v>31</v>
      </c>
      <c r="AW21" s="347">
        <v>25.9</v>
      </c>
      <c r="AX21" s="347">
        <v>24.3</v>
      </c>
      <c r="AY21" s="471">
        <v>26</v>
      </c>
      <c r="AZ21" s="347">
        <v>27.2</v>
      </c>
      <c r="BA21" s="347">
        <v>34.700000000000003</v>
      </c>
      <c r="BB21" s="347">
        <f>'[1]10 - Custos'!$BB$20</f>
        <v>39.1</v>
      </c>
      <c r="BC21" s="347">
        <v>43.6</v>
      </c>
      <c r="BD21" s="347">
        <v>50.365496694805955</v>
      </c>
    </row>
    <row r="22" spans="2:56" ht="14.25" customHeight="1">
      <c r="B22" s="286" t="s">
        <v>51</v>
      </c>
      <c r="C22" s="286">
        <v>26</v>
      </c>
      <c r="D22" s="286">
        <v>30</v>
      </c>
      <c r="E22" s="286">
        <v>27</v>
      </c>
      <c r="F22" s="286">
        <v>26</v>
      </c>
      <c r="G22" s="286">
        <v>24</v>
      </c>
      <c r="H22" s="286">
        <v>22</v>
      </c>
      <c r="I22" s="286">
        <v>22</v>
      </c>
      <c r="J22" s="286">
        <v>23</v>
      </c>
      <c r="K22" s="286">
        <v>21</v>
      </c>
      <c r="L22" s="286">
        <v>21</v>
      </c>
      <c r="M22" s="286">
        <v>22</v>
      </c>
      <c r="N22" s="286">
        <v>23</v>
      </c>
      <c r="O22" s="286">
        <v>24</v>
      </c>
      <c r="P22" s="286">
        <v>24</v>
      </c>
      <c r="Q22" s="286">
        <v>23</v>
      </c>
      <c r="R22" s="286">
        <v>23</v>
      </c>
      <c r="S22" s="286">
        <v>23</v>
      </c>
      <c r="T22" s="286">
        <v>24</v>
      </c>
      <c r="U22" s="286">
        <v>23</v>
      </c>
      <c r="V22" s="286">
        <v>23</v>
      </c>
      <c r="W22" s="286">
        <v>21</v>
      </c>
      <c r="X22" s="154"/>
      <c r="Y22" s="286">
        <v>21</v>
      </c>
      <c r="Z22" s="286">
        <v>21</v>
      </c>
      <c r="AA22" s="286">
        <v>21</v>
      </c>
      <c r="AB22" s="286">
        <v>22</v>
      </c>
      <c r="AC22" s="286">
        <v>22</v>
      </c>
      <c r="AD22" s="286">
        <v>25</v>
      </c>
      <c r="AE22" s="286">
        <v>26</v>
      </c>
      <c r="AF22" s="286">
        <v>25</v>
      </c>
      <c r="AG22" s="286"/>
      <c r="AH22" s="286">
        <v>28</v>
      </c>
      <c r="AI22" s="286">
        <v>27</v>
      </c>
      <c r="AJ22" s="286">
        <v>26</v>
      </c>
      <c r="AK22" s="286">
        <v>30</v>
      </c>
      <c r="AL22" s="154"/>
      <c r="AM22" s="286">
        <v>29</v>
      </c>
      <c r="AN22" s="286">
        <v>30</v>
      </c>
      <c r="AO22" s="286">
        <v>30</v>
      </c>
      <c r="AP22" s="286">
        <v>28</v>
      </c>
      <c r="AQ22" s="346">
        <v>29.4</v>
      </c>
      <c r="AR22" s="346">
        <v>29.4</v>
      </c>
      <c r="AS22" s="346">
        <v>29.1</v>
      </c>
      <c r="AT22" s="346">
        <v>31.1</v>
      </c>
      <c r="AU22" s="346">
        <v>31.3</v>
      </c>
      <c r="AV22" s="346">
        <v>31.8</v>
      </c>
      <c r="AW22" s="346">
        <v>31</v>
      </c>
      <c r="AX22" s="346">
        <v>33.1</v>
      </c>
      <c r="AY22" s="470">
        <v>31</v>
      </c>
      <c r="AZ22" s="346">
        <v>31.1</v>
      </c>
      <c r="BA22" s="346">
        <v>27.3</v>
      </c>
      <c r="BB22" s="346">
        <f>'[1]10 - Custos'!$BB$21</f>
        <v>24.1</v>
      </c>
      <c r="BC22" s="346">
        <v>22</v>
      </c>
      <c r="BD22" s="346">
        <v>19.112513733725976</v>
      </c>
    </row>
    <row r="23" spans="2:56" ht="14.25" customHeight="1">
      <c r="B23" s="287" t="s">
        <v>52</v>
      </c>
      <c r="C23" s="287">
        <v>6</v>
      </c>
      <c r="D23" s="287">
        <v>6</v>
      </c>
      <c r="E23" s="287">
        <v>7</v>
      </c>
      <c r="F23" s="287">
        <v>7</v>
      </c>
      <c r="G23" s="287">
        <v>7</v>
      </c>
      <c r="H23" s="287">
        <v>7</v>
      </c>
      <c r="I23" s="287">
        <v>7</v>
      </c>
      <c r="J23" s="287">
        <v>7</v>
      </c>
      <c r="K23" s="287">
        <v>7</v>
      </c>
      <c r="L23" s="287">
        <v>7</v>
      </c>
      <c r="M23" s="287">
        <v>7</v>
      </c>
      <c r="N23" s="287">
        <v>7</v>
      </c>
      <c r="O23" s="287">
        <v>6</v>
      </c>
      <c r="P23" s="287">
        <v>6</v>
      </c>
      <c r="Q23" s="287">
        <v>6</v>
      </c>
      <c r="R23" s="287">
        <v>6</v>
      </c>
      <c r="S23" s="287">
        <v>6</v>
      </c>
      <c r="T23" s="287">
        <v>8</v>
      </c>
      <c r="U23" s="287">
        <v>8</v>
      </c>
      <c r="V23" s="287">
        <v>7</v>
      </c>
      <c r="W23" s="287">
        <v>7</v>
      </c>
      <c r="X23" s="156"/>
      <c r="Y23" s="287">
        <v>7</v>
      </c>
      <c r="Z23" s="287">
        <v>7</v>
      </c>
      <c r="AA23" s="287">
        <v>7</v>
      </c>
      <c r="AB23" s="287">
        <v>7</v>
      </c>
      <c r="AC23" s="287">
        <v>8</v>
      </c>
      <c r="AD23" s="287">
        <v>8</v>
      </c>
      <c r="AE23" s="287">
        <v>9</v>
      </c>
      <c r="AF23" s="287">
        <v>9</v>
      </c>
      <c r="AG23" s="287"/>
      <c r="AH23" s="287">
        <v>9</v>
      </c>
      <c r="AI23" s="287">
        <v>10</v>
      </c>
      <c r="AJ23" s="287">
        <v>9</v>
      </c>
      <c r="AK23" s="287">
        <v>9</v>
      </c>
      <c r="AL23" s="156"/>
      <c r="AM23" s="287">
        <v>8</v>
      </c>
      <c r="AN23" s="287">
        <v>8</v>
      </c>
      <c r="AO23" s="287">
        <v>8</v>
      </c>
      <c r="AP23" s="287">
        <v>9</v>
      </c>
      <c r="AQ23" s="347">
        <v>9.9</v>
      </c>
      <c r="AR23" s="347">
        <v>9</v>
      </c>
      <c r="AS23" s="347">
        <v>8.6999999999999993</v>
      </c>
      <c r="AT23" s="347">
        <v>9.4</v>
      </c>
      <c r="AU23" s="347">
        <v>9.6</v>
      </c>
      <c r="AV23" s="347">
        <v>10</v>
      </c>
      <c r="AW23" s="347">
        <v>10.3</v>
      </c>
      <c r="AX23" s="347">
        <v>10.4</v>
      </c>
      <c r="AY23" s="471">
        <v>12</v>
      </c>
      <c r="AZ23" s="347">
        <v>10</v>
      </c>
      <c r="BA23" s="347">
        <v>10.3</v>
      </c>
      <c r="BB23" s="347">
        <f>'[1]10 - Custos'!$BB$22</f>
        <v>9.5</v>
      </c>
      <c r="BC23" s="347">
        <v>8.4</v>
      </c>
      <c r="BD23" s="347">
        <v>8.2598457343467278</v>
      </c>
    </row>
    <row r="24" spans="2:56" ht="5.25" customHeight="1">
      <c r="B24" s="142"/>
      <c r="C24" s="142"/>
      <c r="D24" s="142"/>
      <c r="E24" s="142"/>
      <c r="F24" s="142"/>
      <c r="G24" s="142"/>
      <c r="H24" s="142"/>
      <c r="I24" s="142"/>
      <c r="J24" s="142"/>
      <c r="K24" s="142"/>
      <c r="L24" s="142"/>
      <c r="M24" s="142"/>
      <c r="N24" s="142"/>
      <c r="O24" s="142"/>
      <c r="P24" s="142"/>
      <c r="Q24" s="142"/>
      <c r="R24" s="142"/>
      <c r="S24" s="142"/>
      <c r="T24" s="142"/>
      <c r="U24" s="142"/>
      <c r="V24" s="142"/>
      <c r="W24" s="142"/>
      <c r="X24" s="139"/>
      <c r="Y24" s="142"/>
      <c r="Z24" s="142"/>
      <c r="AA24" s="142"/>
      <c r="AB24" s="142"/>
      <c r="AC24" s="142"/>
      <c r="AD24" s="142"/>
      <c r="AE24" s="142"/>
      <c r="AF24" s="142"/>
      <c r="AG24" s="143"/>
      <c r="AH24" s="142"/>
      <c r="AI24" s="142"/>
      <c r="AJ24" s="142"/>
      <c r="AK24" s="142"/>
      <c r="AL24" s="139"/>
      <c r="AM24" s="142"/>
      <c r="AN24" s="142"/>
      <c r="AO24" s="142"/>
      <c r="AP24" s="142"/>
      <c r="AQ24" s="349"/>
      <c r="AR24" s="349"/>
      <c r="AS24" s="349"/>
      <c r="AT24" s="349"/>
      <c r="AU24" s="349"/>
      <c r="AV24" s="349"/>
      <c r="AW24" s="416"/>
      <c r="AX24" s="416"/>
      <c r="AY24" s="416"/>
      <c r="AZ24" s="416"/>
      <c r="BA24" s="416"/>
      <c r="BB24" s="416"/>
      <c r="BC24" s="416"/>
      <c r="BD24" s="416"/>
    </row>
    <row r="25" spans="2:56" ht="14.25" customHeight="1">
      <c r="B25" s="131" t="s">
        <v>96</v>
      </c>
      <c r="C25" s="345"/>
      <c r="D25" s="345"/>
      <c r="E25" s="345"/>
      <c r="F25" s="345"/>
      <c r="G25" s="345"/>
      <c r="H25" s="345"/>
      <c r="I25" s="345"/>
      <c r="J25" s="345"/>
      <c r="K25" s="345"/>
      <c r="L25" s="345"/>
      <c r="M25" s="345"/>
      <c r="N25" s="345"/>
      <c r="O25" s="345"/>
      <c r="P25" s="345"/>
      <c r="Q25" s="345"/>
      <c r="R25" s="345"/>
      <c r="S25" s="345"/>
      <c r="T25" s="345"/>
      <c r="U25" s="345"/>
      <c r="V25" s="345"/>
      <c r="W25" s="345"/>
      <c r="X25" s="156"/>
      <c r="Y25" s="345"/>
      <c r="Z25" s="345"/>
      <c r="AA25" s="345"/>
      <c r="AB25" s="345"/>
      <c r="AC25" s="345"/>
      <c r="AD25" s="345"/>
      <c r="AE25" s="345"/>
      <c r="AF25" s="345"/>
      <c r="AG25" s="345"/>
      <c r="AH25" s="345"/>
      <c r="AI25" s="345"/>
      <c r="AJ25" s="345"/>
      <c r="AK25" s="345"/>
      <c r="AL25" s="156"/>
      <c r="AM25" s="345"/>
      <c r="AN25" s="345"/>
      <c r="AO25" s="345"/>
      <c r="AP25" s="345"/>
      <c r="AQ25" s="345"/>
      <c r="AR25" s="345"/>
      <c r="AS25" s="345"/>
      <c r="AT25" s="345"/>
      <c r="AU25" s="345"/>
      <c r="AV25" s="345"/>
      <c r="AW25" s="345"/>
      <c r="AX25" s="437"/>
      <c r="AY25" s="437"/>
      <c r="AZ25" s="437"/>
      <c r="BA25" s="437"/>
      <c r="BB25" s="437"/>
      <c r="BC25" s="437"/>
      <c r="BD25" s="437"/>
    </row>
    <row r="26" spans="2:56" ht="14.25" customHeight="1">
      <c r="B26" s="286" t="s">
        <v>47</v>
      </c>
      <c r="C26" s="286">
        <v>21</v>
      </c>
      <c r="D26" s="286">
        <v>21</v>
      </c>
      <c r="E26" s="286">
        <v>21</v>
      </c>
      <c r="F26" s="286">
        <v>16</v>
      </c>
      <c r="G26" s="286">
        <v>18</v>
      </c>
      <c r="H26" s="286">
        <v>13</v>
      </c>
      <c r="I26" s="286">
        <v>13</v>
      </c>
      <c r="J26" s="286">
        <v>14</v>
      </c>
      <c r="K26" s="286">
        <v>15</v>
      </c>
      <c r="L26" s="286">
        <v>11</v>
      </c>
      <c r="M26" s="286">
        <v>12</v>
      </c>
      <c r="N26" s="286">
        <v>12</v>
      </c>
      <c r="O26" s="286">
        <v>12</v>
      </c>
      <c r="P26" s="286">
        <v>11</v>
      </c>
      <c r="Q26" s="286">
        <v>13</v>
      </c>
      <c r="R26" s="286">
        <v>14</v>
      </c>
      <c r="S26" s="286">
        <v>16</v>
      </c>
      <c r="T26" s="286">
        <v>14</v>
      </c>
      <c r="U26" s="286">
        <v>11</v>
      </c>
      <c r="V26" s="286">
        <v>16</v>
      </c>
      <c r="W26" s="286">
        <v>17</v>
      </c>
      <c r="X26" s="154"/>
      <c r="Y26" s="286">
        <v>16</v>
      </c>
      <c r="Z26" s="286">
        <v>15</v>
      </c>
      <c r="AA26" s="286">
        <v>17</v>
      </c>
      <c r="AB26" s="286">
        <v>18</v>
      </c>
      <c r="AC26" s="286">
        <v>19</v>
      </c>
      <c r="AD26" s="286">
        <v>20</v>
      </c>
      <c r="AE26" s="286">
        <v>20</v>
      </c>
      <c r="AF26" s="286">
        <v>23</v>
      </c>
      <c r="AG26" s="286"/>
      <c r="AH26" s="286">
        <v>23</v>
      </c>
      <c r="AI26" s="286">
        <v>20</v>
      </c>
      <c r="AJ26" s="286">
        <v>23</v>
      </c>
      <c r="AK26" s="286">
        <v>22</v>
      </c>
      <c r="AL26" s="154"/>
      <c r="AM26" s="286">
        <v>18</v>
      </c>
      <c r="AN26" s="286">
        <v>18</v>
      </c>
      <c r="AO26" s="286">
        <v>18</v>
      </c>
      <c r="AP26" s="286">
        <v>18</v>
      </c>
      <c r="AQ26" s="346">
        <v>15.9</v>
      </c>
      <c r="AR26" s="346">
        <v>15</v>
      </c>
      <c r="AS26" s="346">
        <v>15.9</v>
      </c>
      <c r="AT26" s="346">
        <v>17.7</v>
      </c>
      <c r="AU26" s="346">
        <v>15.7</v>
      </c>
      <c r="AV26" s="346">
        <v>17.100000000000001</v>
      </c>
      <c r="AW26" s="346">
        <v>18.899999999999999</v>
      </c>
      <c r="AX26" s="346">
        <v>20.3</v>
      </c>
      <c r="AY26" s="470">
        <v>17</v>
      </c>
      <c r="AZ26" s="346">
        <v>18.899999999999999</v>
      </c>
      <c r="BA26" s="346">
        <v>18.2</v>
      </c>
      <c r="BB26" s="346">
        <f>'[1]10 - Custos'!$BB$25</f>
        <v>17.8</v>
      </c>
      <c r="BC26" s="346">
        <v>14.5</v>
      </c>
      <c r="BD26" s="346">
        <v>13.938105244821896</v>
      </c>
    </row>
    <row r="27" spans="2:56" ht="14.25" customHeight="1">
      <c r="B27" s="287" t="s">
        <v>48</v>
      </c>
      <c r="C27" s="287">
        <v>7</v>
      </c>
      <c r="D27" s="287">
        <v>5</v>
      </c>
      <c r="E27" s="287">
        <v>5</v>
      </c>
      <c r="F27" s="287">
        <v>4</v>
      </c>
      <c r="G27" s="287">
        <v>5</v>
      </c>
      <c r="H27" s="287">
        <v>3</v>
      </c>
      <c r="I27" s="287">
        <v>4</v>
      </c>
      <c r="J27" s="287">
        <v>5</v>
      </c>
      <c r="K27" s="287">
        <v>4</v>
      </c>
      <c r="L27" s="287">
        <v>3</v>
      </c>
      <c r="M27" s="287">
        <v>4</v>
      </c>
      <c r="N27" s="287">
        <v>4</v>
      </c>
      <c r="O27" s="287">
        <v>5</v>
      </c>
      <c r="P27" s="287">
        <v>4</v>
      </c>
      <c r="Q27" s="287">
        <v>4</v>
      </c>
      <c r="R27" s="287">
        <v>5</v>
      </c>
      <c r="S27" s="287">
        <v>7</v>
      </c>
      <c r="T27" s="287">
        <v>7</v>
      </c>
      <c r="U27" s="287">
        <v>7</v>
      </c>
      <c r="V27" s="287">
        <v>9</v>
      </c>
      <c r="W27" s="287">
        <v>9</v>
      </c>
      <c r="X27" s="156"/>
      <c r="Y27" s="287">
        <v>3</v>
      </c>
      <c r="Z27" s="287">
        <v>5</v>
      </c>
      <c r="AA27" s="287">
        <v>7</v>
      </c>
      <c r="AB27" s="287">
        <v>8</v>
      </c>
      <c r="AC27" s="287">
        <v>6</v>
      </c>
      <c r="AD27" s="287">
        <v>6</v>
      </c>
      <c r="AE27" s="287">
        <v>8</v>
      </c>
      <c r="AF27" s="287">
        <v>10</v>
      </c>
      <c r="AG27" s="287"/>
      <c r="AH27" s="287">
        <v>9</v>
      </c>
      <c r="AI27" s="287">
        <v>8</v>
      </c>
      <c r="AJ27" s="287">
        <v>8</v>
      </c>
      <c r="AK27" s="287">
        <v>9</v>
      </c>
      <c r="AL27" s="156"/>
      <c r="AM27" s="287">
        <v>7</v>
      </c>
      <c r="AN27" s="287">
        <v>7</v>
      </c>
      <c r="AO27" s="287">
        <v>7</v>
      </c>
      <c r="AP27" s="287">
        <v>8</v>
      </c>
      <c r="AQ27" s="347">
        <v>6.3</v>
      </c>
      <c r="AR27" s="347">
        <v>6.3</v>
      </c>
      <c r="AS27" s="347">
        <v>6.5</v>
      </c>
      <c r="AT27" s="347">
        <v>8</v>
      </c>
      <c r="AU27" s="347">
        <v>6.8</v>
      </c>
      <c r="AV27" s="347">
        <v>8.1</v>
      </c>
      <c r="AW27" s="347">
        <v>8.8000000000000007</v>
      </c>
      <c r="AX27" s="347">
        <v>8.5</v>
      </c>
      <c r="AY27" s="471">
        <v>7</v>
      </c>
      <c r="AZ27" s="347">
        <v>8.1</v>
      </c>
      <c r="BA27" s="347">
        <v>8.1</v>
      </c>
      <c r="BB27" s="347">
        <f>'[1]10 - Custos'!$BB$26</f>
        <v>7.2</v>
      </c>
      <c r="BC27" s="347">
        <v>5.7</v>
      </c>
      <c r="BD27" s="347">
        <v>5.8652664125111356</v>
      </c>
    </row>
    <row r="28" spans="2:56" ht="14.25" customHeight="1">
      <c r="B28" s="286" t="s">
        <v>49</v>
      </c>
      <c r="C28" s="286">
        <v>6</v>
      </c>
      <c r="D28" s="286">
        <v>6</v>
      </c>
      <c r="E28" s="286">
        <v>6</v>
      </c>
      <c r="F28" s="286">
        <v>5</v>
      </c>
      <c r="G28" s="286">
        <v>5</v>
      </c>
      <c r="H28" s="286">
        <v>4</v>
      </c>
      <c r="I28" s="286">
        <v>3</v>
      </c>
      <c r="J28" s="286">
        <v>4</v>
      </c>
      <c r="K28" s="286">
        <v>4</v>
      </c>
      <c r="L28" s="286">
        <v>3</v>
      </c>
      <c r="M28" s="286">
        <v>3</v>
      </c>
      <c r="N28" s="286">
        <v>3</v>
      </c>
      <c r="O28" s="286">
        <v>3</v>
      </c>
      <c r="P28" s="286">
        <v>3</v>
      </c>
      <c r="Q28" s="286">
        <v>3</v>
      </c>
      <c r="R28" s="286">
        <v>3</v>
      </c>
      <c r="S28" s="286">
        <v>4</v>
      </c>
      <c r="T28" s="286">
        <v>3</v>
      </c>
      <c r="U28" s="286">
        <v>3</v>
      </c>
      <c r="V28" s="286">
        <v>3</v>
      </c>
      <c r="W28" s="286">
        <v>5</v>
      </c>
      <c r="X28" s="154"/>
      <c r="Y28" s="286">
        <v>4</v>
      </c>
      <c r="Z28" s="286">
        <v>3</v>
      </c>
      <c r="AA28" s="286">
        <v>3</v>
      </c>
      <c r="AB28" s="286">
        <v>4</v>
      </c>
      <c r="AC28" s="286">
        <v>4</v>
      </c>
      <c r="AD28" s="286">
        <v>4</v>
      </c>
      <c r="AE28" s="286">
        <v>4</v>
      </c>
      <c r="AF28" s="286">
        <v>5</v>
      </c>
      <c r="AG28" s="286"/>
      <c r="AH28" s="286">
        <v>5</v>
      </c>
      <c r="AI28" s="286">
        <v>4</v>
      </c>
      <c r="AJ28" s="286">
        <v>5</v>
      </c>
      <c r="AK28" s="286">
        <v>5</v>
      </c>
      <c r="AL28" s="154"/>
      <c r="AM28" s="286">
        <v>4</v>
      </c>
      <c r="AN28" s="286">
        <v>4</v>
      </c>
      <c r="AO28" s="286">
        <v>4</v>
      </c>
      <c r="AP28" s="286">
        <v>3</v>
      </c>
      <c r="AQ28" s="346">
        <v>3.7</v>
      </c>
      <c r="AR28" s="346">
        <v>2</v>
      </c>
      <c r="AS28" s="346">
        <v>2.2000000000000002</v>
      </c>
      <c r="AT28" s="346">
        <v>2.5</v>
      </c>
      <c r="AU28" s="346">
        <v>2.5</v>
      </c>
      <c r="AV28" s="346">
        <v>2.7</v>
      </c>
      <c r="AW28" s="346">
        <v>3.1</v>
      </c>
      <c r="AX28" s="346">
        <v>3.3</v>
      </c>
      <c r="AY28" s="470">
        <v>3</v>
      </c>
      <c r="AZ28" s="346">
        <v>3.5</v>
      </c>
      <c r="BA28" s="346">
        <v>3.2</v>
      </c>
      <c r="BB28" s="346">
        <f>'[1]10 - Custos'!$BB$27</f>
        <v>2.9</v>
      </c>
      <c r="BC28" s="346">
        <v>1.9</v>
      </c>
      <c r="BD28" s="346">
        <v>1.8157247069810714</v>
      </c>
    </row>
    <row r="29" spans="2:56" ht="14.25" customHeight="1">
      <c r="B29" s="287" t="s">
        <v>50</v>
      </c>
      <c r="C29" s="287">
        <v>48</v>
      </c>
      <c r="D29" s="287">
        <v>47</v>
      </c>
      <c r="E29" s="287">
        <v>47</v>
      </c>
      <c r="F29" s="287">
        <v>55</v>
      </c>
      <c r="G29" s="287">
        <v>53</v>
      </c>
      <c r="H29" s="287">
        <v>62</v>
      </c>
      <c r="I29" s="287">
        <v>64</v>
      </c>
      <c r="J29" s="287">
        <v>60</v>
      </c>
      <c r="K29" s="287">
        <v>60</v>
      </c>
      <c r="L29" s="287">
        <v>68</v>
      </c>
      <c r="M29" s="287">
        <v>66</v>
      </c>
      <c r="N29" s="287">
        <v>66</v>
      </c>
      <c r="O29" s="287">
        <v>66</v>
      </c>
      <c r="P29" s="287">
        <v>69</v>
      </c>
      <c r="Q29" s="287">
        <v>66</v>
      </c>
      <c r="R29" s="287">
        <v>62</v>
      </c>
      <c r="S29" s="287">
        <v>58</v>
      </c>
      <c r="T29" s="287">
        <v>61</v>
      </c>
      <c r="U29" s="287">
        <v>64</v>
      </c>
      <c r="V29" s="287">
        <v>57</v>
      </c>
      <c r="W29" s="287">
        <v>56</v>
      </c>
      <c r="X29" s="156"/>
      <c r="Y29" s="287">
        <v>62</v>
      </c>
      <c r="Z29" s="287">
        <v>63</v>
      </c>
      <c r="AA29" s="287">
        <v>58</v>
      </c>
      <c r="AB29" s="287">
        <v>55</v>
      </c>
      <c r="AC29" s="287">
        <v>54</v>
      </c>
      <c r="AD29" s="287">
        <v>53</v>
      </c>
      <c r="AE29" s="287">
        <v>50</v>
      </c>
      <c r="AF29" s="287">
        <v>43</v>
      </c>
      <c r="AG29" s="287"/>
      <c r="AH29" s="287">
        <v>44</v>
      </c>
      <c r="AI29" s="287">
        <v>51</v>
      </c>
      <c r="AJ29" s="287">
        <v>47</v>
      </c>
      <c r="AK29" s="287">
        <v>46</v>
      </c>
      <c r="AL29" s="156"/>
      <c r="AM29" s="287">
        <v>55</v>
      </c>
      <c r="AN29" s="287">
        <v>56</v>
      </c>
      <c r="AO29" s="287">
        <v>55</v>
      </c>
      <c r="AP29" s="287">
        <v>54</v>
      </c>
      <c r="AQ29" s="347">
        <v>56.6</v>
      </c>
      <c r="AR29" s="347">
        <v>60</v>
      </c>
      <c r="AS29" s="347">
        <v>57.5</v>
      </c>
      <c r="AT29" s="347">
        <v>53.5</v>
      </c>
      <c r="AU29" s="347">
        <v>56.5</v>
      </c>
      <c r="AV29" s="347">
        <v>53.6</v>
      </c>
      <c r="AW29" s="347">
        <v>50.1</v>
      </c>
      <c r="AX29" s="347">
        <v>47.7</v>
      </c>
      <c r="AY29" s="471">
        <v>55</v>
      </c>
      <c r="AZ29" s="347">
        <v>51.1</v>
      </c>
      <c r="BA29" s="347">
        <v>52.6</v>
      </c>
      <c r="BB29" s="347">
        <f>'[1]10 - Custos'!$BB$28</f>
        <v>55.5</v>
      </c>
      <c r="BC29" s="347">
        <v>64.8</v>
      </c>
      <c r="BD29" s="347">
        <v>65.640326614251748</v>
      </c>
    </row>
    <row r="30" spans="2:56" ht="14.25" customHeight="1">
      <c r="B30" s="286" t="s">
        <v>51</v>
      </c>
      <c r="C30" s="286">
        <v>9</v>
      </c>
      <c r="D30" s="286">
        <v>11</v>
      </c>
      <c r="E30" s="286">
        <v>10</v>
      </c>
      <c r="F30" s="286">
        <v>9</v>
      </c>
      <c r="G30" s="286">
        <v>9</v>
      </c>
      <c r="H30" s="286">
        <v>9</v>
      </c>
      <c r="I30" s="286">
        <v>8</v>
      </c>
      <c r="J30" s="286">
        <v>8</v>
      </c>
      <c r="K30" s="286">
        <v>8</v>
      </c>
      <c r="L30" s="286">
        <v>7</v>
      </c>
      <c r="M30" s="286">
        <v>7</v>
      </c>
      <c r="N30" s="286">
        <v>7</v>
      </c>
      <c r="O30" s="286">
        <v>6</v>
      </c>
      <c r="P30" s="286">
        <v>5</v>
      </c>
      <c r="Q30" s="286">
        <v>6</v>
      </c>
      <c r="R30" s="286">
        <v>7</v>
      </c>
      <c r="S30" s="286">
        <v>7</v>
      </c>
      <c r="T30" s="286">
        <v>7</v>
      </c>
      <c r="U30" s="286">
        <v>7</v>
      </c>
      <c r="V30" s="286">
        <v>7</v>
      </c>
      <c r="W30" s="286">
        <v>6</v>
      </c>
      <c r="X30" s="154"/>
      <c r="Y30" s="286">
        <v>8</v>
      </c>
      <c r="Z30" s="286">
        <v>7</v>
      </c>
      <c r="AA30" s="286">
        <v>7</v>
      </c>
      <c r="AB30" s="286">
        <v>7</v>
      </c>
      <c r="AC30" s="286">
        <v>8</v>
      </c>
      <c r="AD30" s="286">
        <v>7</v>
      </c>
      <c r="AE30" s="286">
        <v>8</v>
      </c>
      <c r="AF30" s="286">
        <v>8</v>
      </c>
      <c r="AG30" s="286"/>
      <c r="AH30" s="286">
        <v>8</v>
      </c>
      <c r="AI30" s="286">
        <v>7</v>
      </c>
      <c r="AJ30" s="286">
        <v>7</v>
      </c>
      <c r="AK30" s="286">
        <v>8</v>
      </c>
      <c r="AL30" s="154"/>
      <c r="AM30" s="286">
        <v>8</v>
      </c>
      <c r="AN30" s="286">
        <v>7</v>
      </c>
      <c r="AO30" s="286">
        <v>7</v>
      </c>
      <c r="AP30" s="286">
        <v>7</v>
      </c>
      <c r="AQ30" s="346">
        <v>7.1</v>
      </c>
      <c r="AR30" s="346">
        <v>6</v>
      </c>
      <c r="AS30" s="346">
        <v>6.6</v>
      </c>
      <c r="AT30" s="346">
        <v>6.7</v>
      </c>
      <c r="AU30" s="346">
        <v>6.7</v>
      </c>
      <c r="AV30" s="346">
        <v>6</v>
      </c>
      <c r="AW30" s="346">
        <v>6.7</v>
      </c>
      <c r="AX30" s="346">
        <v>6.9</v>
      </c>
      <c r="AY30" s="470">
        <v>6</v>
      </c>
      <c r="AZ30" s="346">
        <v>6.1</v>
      </c>
      <c r="BA30" s="346">
        <v>6.1</v>
      </c>
      <c r="BB30" s="346">
        <f>'[1]10 - Custos'!$BB$29</f>
        <v>5.9</v>
      </c>
      <c r="BC30" s="346">
        <v>4.3</v>
      </c>
      <c r="BD30" s="346">
        <v>4.7148405870274539</v>
      </c>
    </row>
    <row r="31" spans="2:56" ht="14.25" customHeight="1">
      <c r="B31" s="287" t="s">
        <v>52</v>
      </c>
      <c r="C31" s="287">
        <v>9</v>
      </c>
      <c r="D31" s="287">
        <v>10</v>
      </c>
      <c r="E31" s="287">
        <v>11</v>
      </c>
      <c r="F31" s="287">
        <v>11</v>
      </c>
      <c r="G31" s="287">
        <v>10</v>
      </c>
      <c r="H31" s="287">
        <v>9</v>
      </c>
      <c r="I31" s="287">
        <v>8</v>
      </c>
      <c r="J31" s="287">
        <v>9</v>
      </c>
      <c r="K31" s="287">
        <v>9</v>
      </c>
      <c r="L31" s="287">
        <v>8</v>
      </c>
      <c r="M31" s="287">
        <v>8</v>
      </c>
      <c r="N31" s="287">
        <v>8</v>
      </c>
      <c r="O31" s="287">
        <v>8</v>
      </c>
      <c r="P31" s="287">
        <v>8</v>
      </c>
      <c r="Q31" s="287">
        <v>8</v>
      </c>
      <c r="R31" s="287">
        <v>9</v>
      </c>
      <c r="S31" s="287">
        <v>8</v>
      </c>
      <c r="T31" s="287">
        <v>8</v>
      </c>
      <c r="U31" s="287">
        <v>8</v>
      </c>
      <c r="V31" s="287">
        <v>8</v>
      </c>
      <c r="W31" s="287">
        <v>7</v>
      </c>
      <c r="X31" s="156"/>
      <c r="Y31" s="287">
        <v>7</v>
      </c>
      <c r="Z31" s="287">
        <v>7</v>
      </c>
      <c r="AA31" s="287">
        <v>8</v>
      </c>
      <c r="AB31" s="287">
        <v>8</v>
      </c>
      <c r="AC31" s="287">
        <v>9</v>
      </c>
      <c r="AD31" s="287">
        <v>10</v>
      </c>
      <c r="AE31" s="287">
        <v>10</v>
      </c>
      <c r="AF31" s="287">
        <v>11</v>
      </c>
      <c r="AG31" s="287"/>
      <c r="AH31" s="287">
        <v>11</v>
      </c>
      <c r="AI31" s="287">
        <v>10</v>
      </c>
      <c r="AJ31" s="287">
        <v>10</v>
      </c>
      <c r="AK31" s="287">
        <v>10</v>
      </c>
      <c r="AL31" s="156"/>
      <c r="AM31" s="287">
        <v>9</v>
      </c>
      <c r="AN31" s="287">
        <v>9</v>
      </c>
      <c r="AO31" s="287">
        <v>9</v>
      </c>
      <c r="AP31" s="287">
        <v>10</v>
      </c>
      <c r="AQ31" s="347">
        <v>10</v>
      </c>
      <c r="AR31" s="347">
        <v>10.4</v>
      </c>
      <c r="AS31" s="347">
        <v>11.4</v>
      </c>
      <c r="AT31" s="347">
        <v>11.6</v>
      </c>
      <c r="AU31" s="347">
        <v>11.7</v>
      </c>
      <c r="AV31" s="347">
        <v>12.5</v>
      </c>
      <c r="AW31" s="347">
        <v>12.5</v>
      </c>
      <c r="AX31" s="347">
        <v>13.2</v>
      </c>
      <c r="AY31" s="471">
        <v>13</v>
      </c>
      <c r="AZ31" s="347">
        <v>12.3</v>
      </c>
      <c r="BA31" s="347">
        <v>11.7</v>
      </c>
      <c r="BB31" s="347">
        <f>'[1]10 - Custos'!$BB$30</f>
        <v>10.7</v>
      </c>
      <c r="BC31" s="347">
        <v>8.8000000000000007</v>
      </c>
      <c r="BD31" s="347">
        <v>8.0257364344066886</v>
      </c>
    </row>
    <row r="32" spans="2:56" ht="5.25" customHeight="1">
      <c r="B32" s="142"/>
      <c r="C32" s="142"/>
      <c r="D32" s="142"/>
      <c r="E32" s="142"/>
      <c r="F32" s="142"/>
      <c r="G32" s="142"/>
      <c r="H32" s="142"/>
      <c r="I32" s="142"/>
      <c r="J32" s="142"/>
      <c r="K32" s="142"/>
      <c r="L32" s="142"/>
      <c r="M32" s="142"/>
      <c r="N32" s="142"/>
      <c r="O32" s="142"/>
      <c r="P32" s="142"/>
      <c r="Q32" s="142"/>
      <c r="R32" s="142"/>
      <c r="S32" s="142"/>
      <c r="T32" s="142"/>
      <c r="U32" s="142"/>
      <c r="V32" s="142"/>
      <c r="W32" s="142"/>
      <c r="X32" s="139"/>
      <c r="Y32" s="142"/>
      <c r="Z32" s="142"/>
      <c r="AA32" s="142"/>
      <c r="AB32" s="142"/>
      <c r="AC32" s="142"/>
      <c r="AD32" s="142"/>
      <c r="AE32" s="142"/>
      <c r="AF32" s="142"/>
      <c r="AG32" s="143"/>
      <c r="AH32" s="142"/>
      <c r="AI32" s="142"/>
      <c r="AJ32" s="142"/>
      <c r="AK32" s="142"/>
      <c r="AL32" s="139"/>
      <c r="AM32" s="142"/>
      <c r="AN32" s="142"/>
      <c r="AO32" s="142"/>
      <c r="AP32" s="142"/>
      <c r="AQ32" s="349"/>
      <c r="AR32" s="349"/>
      <c r="AS32" s="349"/>
      <c r="AT32" s="349"/>
      <c r="AU32" s="349"/>
      <c r="AV32" s="349"/>
      <c r="AW32" s="416"/>
      <c r="AX32" s="416"/>
      <c r="AY32" s="472"/>
      <c r="AZ32" s="416"/>
      <c r="BA32" s="416"/>
      <c r="BB32" s="416"/>
      <c r="BC32" s="416"/>
      <c r="BD32" s="416"/>
    </row>
    <row r="33" spans="2:59" ht="14.25" customHeight="1">
      <c r="B33" s="131" t="s">
        <v>162</v>
      </c>
      <c r="C33" s="345"/>
      <c r="D33" s="345"/>
      <c r="E33" s="345"/>
      <c r="F33" s="345"/>
      <c r="G33" s="345"/>
      <c r="H33" s="345"/>
      <c r="I33" s="345"/>
      <c r="J33" s="345"/>
      <c r="K33" s="345"/>
      <c r="L33" s="345"/>
      <c r="M33" s="345"/>
      <c r="N33" s="345"/>
      <c r="O33" s="345"/>
      <c r="P33" s="345"/>
      <c r="Q33" s="345"/>
      <c r="R33" s="345"/>
      <c r="S33" s="345"/>
      <c r="T33" s="345"/>
      <c r="U33" s="345"/>
      <c r="V33" s="345"/>
      <c r="W33" s="345"/>
      <c r="X33" s="156"/>
      <c r="Y33" s="345"/>
      <c r="Z33" s="345"/>
      <c r="AA33" s="345"/>
      <c r="AB33" s="345"/>
      <c r="AC33" s="345"/>
      <c r="AD33" s="345"/>
      <c r="AE33" s="345"/>
      <c r="AF33" s="345"/>
      <c r="AG33" s="345"/>
      <c r="AH33" s="345"/>
      <c r="AI33" s="345"/>
      <c r="AJ33" s="345"/>
      <c r="AK33" s="345"/>
      <c r="AL33" s="156"/>
      <c r="AM33" s="345"/>
      <c r="AN33" s="345"/>
      <c r="AO33" s="345"/>
      <c r="AP33" s="345"/>
      <c r="AQ33" s="345"/>
      <c r="AR33" s="345"/>
      <c r="AS33" s="345"/>
      <c r="AT33" s="345"/>
      <c r="AU33" s="345"/>
      <c r="AV33" s="345"/>
      <c r="AW33" s="345"/>
      <c r="AX33" s="437"/>
      <c r="AY33" s="437"/>
      <c r="AZ33" s="437"/>
      <c r="BA33" s="437"/>
      <c r="BB33" s="437"/>
      <c r="BC33" s="437"/>
      <c r="BD33" s="437"/>
    </row>
    <row r="34" spans="2:59" ht="14.25" customHeight="1">
      <c r="B34" s="286" t="s">
        <v>47</v>
      </c>
      <c r="C34" s="286">
        <v>15</v>
      </c>
      <c r="D34" s="286">
        <v>13</v>
      </c>
      <c r="E34" s="286">
        <v>13</v>
      </c>
      <c r="F34" s="286">
        <v>12</v>
      </c>
      <c r="G34" s="286">
        <v>12</v>
      </c>
      <c r="H34" s="286">
        <v>12</v>
      </c>
      <c r="I34" s="286">
        <v>12</v>
      </c>
      <c r="J34" s="286">
        <v>12</v>
      </c>
      <c r="K34" s="286">
        <v>11</v>
      </c>
      <c r="L34" s="286">
        <v>11</v>
      </c>
      <c r="M34" s="286">
        <v>10</v>
      </c>
      <c r="N34" s="286">
        <v>12</v>
      </c>
      <c r="O34" s="286">
        <v>12</v>
      </c>
      <c r="P34" s="286">
        <v>11</v>
      </c>
      <c r="Q34" s="286">
        <v>10</v>
      </c>
      <c r="R34" s="286">
        <v>12</v>
      </c>
      <c r="S34" s="286">
        <v>12</v>
      </c>
      <c r="T34" s="286">
        <v>11</v>
      </c>
      <c r="U34" s="286">
        <v>11</v>
      </c>
      <c r="V34" s="286">
        <v>11</v>
      </c>
      <c r="W34" s="286">
        <v>11</v>
      </c>
      <c r="X34" s="154"/>
      <c r="Y34" s="286">
        <v>11</v>
      </c>
      <c r="Z34" s="286">
        <v>12</v>
      </c>
      <c r="AA34" s="286">
        <v>14</v>
      </c>
      <c r="AB34" s="286">
        <v>14</v>
      </c>
      <c r="AC34" s="286">
        <v>14</v>
      </c>
      <c r="AD34" s="286">
        <v>13</v>
      </c>
      <c r="AE34" s="286">
        <v>15</v>
      </c>
      <c r="AF34" s="286">
        <v>13</v>
      </c>
      <c r="AG34" s="286"/>
      <c r="AH34" s="286">
        <v>13</v>
      </c>
      <c r="AI34" s="286">
        <v>14</v>
      </c>
      <c r="AJ34" s="286">
        <v>13</v>
      </c>
      <c r="AK34" s="286">
        <v>16</v>
      </c>
      <c r="AL34" s="154"/>
      <c r="AM34" s="286">
        <v>14</v>
      </c>
      <c r="AN34" s="286">
        <v>13</v>
      </c>
      <c r="AO34" s="286">
        <v>13</v>
      </c>
      <c r="AP34" s="286">
        <v>15</v>
      </c>
      <c r="AQ34" s="346">
        <v>13</v>
      </c>
      <c r="AR34" s="346">
        <v>12</v>
      </c>
      <c r="AS34" s="346">
        <v>13</v>
      </c>
      <c r="AT34" s="346">
        <v>12.2</v>
      </c>
      <c r="AU34" s="346">
        <v>11.6</v>
      </c>
      <c r="AV34" s="346">
        <v>10.8</v>
      </c>
      <c r="AW34" s="346">
        <v>9.9</v>
      </c>
      <c r="AX34" s="346">
        <v>11</v>
      </c>
      <c r="AY34" s="470">
        <v>14</v>
      </c>
      <c r="AZ34" s="346">
        <v>12.4</v>
      </c>
      <c r="BA34" s="346">
        <v>12.2</v>
      </c>
      <c r="BB34" s="346">
        <f>'[1]10 - Custos'!$BB$33</f>
        <v>13.5</v>
      </c>
      <c r="BC34" s="346">
        <v>11.7</v>
      </c>
      <c r="BD34" s="346">
        <v>9.7746990009230057</v>
      </c>
    </row>
    <row r="35" spans="2:59" ht="14.25" customHeight="1">
      <c r="B35" s="287" t="s">
        <v>48</v>
      </c>
      <c r="C35" s="287">
        <v>6</v>
      </c>
      <c r="D35" s="287">
        <v>4</v>
      </c>
      <c r="E35" s="287">
        <v>4</v>
      </c>
      <c r="F35" s="287">
        <v>4</v>
      </c>
      <c r="G35" s="287">
        <v>4</v>
      </c>
      <c r="H35" s="287">
        <v>4</v>
      </c>
      <c r="I35" s="287">
        <v>4</v>
      </c>
      <c r="J35" s="287">
        <v>5</v>
      </c>
      <c r="K35" s="287">
        <v>4</v>
      </c>
      <c r="L35" s="287">
        <v>5</v>
      </c>
      <c r="M35" s="287">
        <v>5</v>
      </c>
      <c r="N35" s="287">
        <v>5</v>
      </c>
      <c r="O35" s="287">
        <v>5</v>
      </c>
      <c r="P35" s="287">
        <v>5</v>
      </c>
      <c r="Q35" s="287">
        <v>5</v>
      </c>
      <c r="R35" s="287">
        <v>6</v>
      </c>
      <c r="S35" s="287">
        <v>6</v>
      </c>
      <c r="T35" s="287">
        <v>5</v>
      </c>
      <c r="U35" s="287">
        <v>5</v>
      </c>
      <c r="V35" s="287">
        <v>5</v>
      </c>
      <c r="W35" s="287">
        <v>5</v>
      </c>
      <c r="X35" s="156"/>
      <c r="Y35" s="287">
        <v>5</v>
      </c>
      <c r="Z35" s="287">
        <v>6</v>
      </c>
      <c r="AA35" s="287">
        <v>7</v>
      </c>
      <c r="AB35" s="287">
        <v>7</v>
      </c>
      <c r="AC35" s="287">
        <v>5</v>
      </c>
      <c r="AD35" s="287">
        <v>4</v>
      </c>
      <c r="AE35" s="287">
        <v>4</v>
      </c>
      <c r="AF35" s="287">
        <v>4</v>
      </c>
      <c r="AG35" s="287"/>
      <c r="AH35" s="287">
        <v>4</v>
      </c>
      <c r="AI35" s="287">
        <v>5</v>
      </c>
      <c r="AJ35" s="287">
        <v>4</v>
      </c>
      <c r="AK35" s="287">
        <v>5</v>
      </c>
      <c r="AL35" s="156"/>
      <c r="AM35" s="287">
        <v>4</v>
      </c>
      <c r="AN35" s="287">
        <v>3</v>
      </c>
      <c r="AO35" s="287">
        <v>4</v>
      </c>
      <c r="AP35" s="287">
        <v>4</v>
      </c>
      <c r="AQ35" s="347">
        <v>3.6</v>
      </c>
      <c r="AR35" s="347">
        <v>4</v>
      </c>
      <c r="AS35" s="347">
        <v>4.5</v>
      </c>
      <c r="AT35" s="347">
        <v>4</v>
      </c>
      <c r="AU35" s="347">
        <v>3.9</v>
      </c>
      <c r="AV35" s="347">
        <v>3.6</v>
      </c>
      <c r="AW35" s="347">
        <v>3.9</v>
      </c>
      <c r="AX35" s="347">
        <v>4</v>
      </c>
      <c r="AY35" s="471">
        <v>5</v>
      </c>
      <c r="AZ35" s="347">
        <v>4</v>
      </c>
      <c r="BA35" s="347">
        <v>4</v>
      </c>
      <c r="BB35" s="347">
        <f>'[1]10 - Custos'!$BB$34</f>
        <v>4.4000000000000004</v>
      </c>
      <c r="BC35" s="347">
        <v>4.9000000000000004</v>
      </c>
      <c r="BD35" s="347">
        <v>3.3527225524460627</v>
      </c>
    </row>
    <row r="36" spans="2:59" ht="14.25" customHeight="1">
      <c r="B36" s="286" t="s">
        <v>49</v>
      </c>
      <c r="C36" s="286">
        <v>3</v>
      </c>
      <c r="D36" s="286">
        <v>4</v>
      </c>
      <c r="E36" s="286">
        <v>4</v>
      </c>
      <c r="F36" s="286">
        <v>3</v>
      </c>
      <c r="G36" s="286">
        <v>4</v>
      </c>
      <c r="H36" s="286">
        <v>4</v>
      </c>
      <c r="I36" s="286">
        <v>4</v>
      </c>
      <c r="J36" s="286">
        <v>4</v>
      </c>
      <c r="K36" s="286">
        <v>4</v>
      </c>
      <c r="L36" s="286">
        <v>4</v>
      </c>
      <c r="M36" s="286">
        <v>3</v>
      </c>
      <c r="N36" s="286">
        <v>3</v>
      </c>
      <c r="O36" s="286">
        <v>3</v>
      </c>
      <c r="P36" s="286">
        <v>4</v>
      </c>
      <c r="Q36" s="286">
        <v>3</v>
      </c>
      <c r="R36" s="286">
        <v>3</v>
      </c>
      <c r="S36" s="286">
        <v>3</v>
      </c>
      <c r="T36" s="286">
        <v>3</v>
      </c>
      <c r="U36" s="286">
        <v>3</v>
      </c>
      <c r="V36" s="286">
        <v>3</v>
      </c>
      <c r="W36" s="286">
        <v>3</v>
      </c>
      <c r="X36" s="154"/>
      <c r="Y36" s="286">
        <v>3</v>
      </c>
      <c r="Z36" s="286">
        <v>4</v>
      </c>
      <c r="AA36" s="286">
        <v>3</v>
      </c>
      <c r="AB36" s="286">
        <v>4</v>
      </c>
      <c r="AC36" s="286">
        <v>4</v>
      </c>
      <c r="AD36" s="286">
        <v>3</v>
      </c>
      <c r="AE36" s="286">
        <v>3</v>
      </c>
      <c r="AF36" s="286">
        <v>4</v>
      </c>
      <c r="AG36" s="286"/>
      <c r="AH36" s="286">
        <v>4</v>
      </c>
      <c r="AI36" s="286">
        <v>4</v>
      </c>
      <c r="AJ36" s="286">
        <v>4</v>
      </c>
      <c r="AK36" s="286">
        <v>4</v>
      </c>
      <c r="AL36" s="154"/>
      <c r="AM36" s="286">
        <v>4</v>
      </c>
      <c r="AN36" s="286">
        <v>3</v>
      </c>
      <c r="AO36" s="286">
        <v>3</v>
      </c>
      <c r="AP36" s="286">
        <v>4</v>
      </c>
      <c r="AQ36" s="346">
        <v>3.7</v>
      </c>
      <c r="AR36" s="346">
        <v>3</v>
      </c>
      <c r="AS36" s="346">
        <v>2.7</v>
      </c>
      <c r="AT36" s="346">
        <v>2</v>
      </c>
      <c r="AU36" s="346">
        <v>2.2000000000000002</v>
      </c>
      <c r="AV36" s="346">
        <v>1.9</v>
      </c>
      <c r="AW36" s="346">
        <v>1.9</v>
      </c>
      <c r="AX36" s="346">
        <v>2</v>
      </c>
      <c r="AY36" s="470">
        <v>3</v>
      </c>
      <c r="AZ36" s="346">
        <v>3.5</v>
      </c>
      <c r="BA36" s="346">
        <v>2.4</v>
      </c>
      <c r="BB36" s="346">
        <f>'[1]10 - Custos'!$BB$35</f>
        <v>2.2999999999999998</v>
      </c>
      <c r="BC36" s="346">
        <v>2.1</v>
      </c>
      <c r="BD36" s="346">
        <v>1.5779671628454748</v>
      </c>
    </row>
    <row r="37" spans="2:59" ht="14.25" customHeight="1">
      <c r="B37" s="287" t="s">
        <v>50</v>
      </c>
      <c r="C37" s="287">
        <v>58</v>
      </c>
      <c r="D37" s="287">
        <v>61</v>
      </c>
      <c r="E37" s="287">
        <v>57</v>
      </c>
      <c r="F37" s="287">
        <v>59</v>
      </c>
      <c r="G37" s="287">
        <v>59</v>
      </c>
      <c r="H37" s="287">
        <v>59</v>
      </c>
      <c r="I37" s="287">
        <v>58</v>
      </c>
      <c r="J37" s="287">
        <v>58</v>
      </c>
      <c r="K37" s="287">
        <v>60</v>
      </c>
      <c r="L37" s="287">
        <v>60</v>
      </c>
      <c r="M37" s="287">
        <v>66</v>
      </c>
      <c r="N37" s="287">
        <v>62</v>
      </c>
      <c r="O37" s="287">
        <v>64</v>
      </c>
      <c r="P37" s="287">
        <v>65</v>
      </c>
      <c r="Q37" s="287">
        <v>66</v>
      </c>
      <c r="R37" s="287">
        <v>65</v>
      </c>
      <c r="S37" s="287">
        <v>64</v>
      </c>
      <c r="T37" s="287">
        <v>67</v>
      </c>
      <c r="U37" s="287">
        <v>68</v>
      </c>
      <c r="V37" s="287">
        <v>66</v>
      </c>
      <c r="W37" s="287">
        <v>66</v>
      </c>
      <c r="X37" s="156"/>
      <c r="Y37" s="287">
        <v>68</v>
      </c>
      <c r="Z37" s="287">
        <v>65</v>
      </c>
      <c r="AA37" s="287">
        <v>62</v>
      </c>
      <c r="AB37" s="287">
        <v>61</v>
      </c>
      <c r="AC37" s="287">
        <v>62</v>
      </c>
      <c r="AD37" s="287">
        <v>64</v>
      </c>
      <c r="AE37" s="287">
        <v>60</v>
      </c>
      <c r="AF37" s="287">
        <v>62</v>
      </c>
      <c r="AG37" s="287"/>
      <c r="AH37" s="287">
        <v>60</v>
      </c>
      <c r="AI37" s="287">
        <v>58</v>
      </c>
      <c r="AJ37" s="287">
        <v>61</v>
      </c>
      <c r="AK37" s="287">
        <v>58</v>
      </c>
      <c r="AL37" s="156"/>
      <c r="AM37" s="287">
        <v>60</v>
      </c>
      <c r="AN37" s="287">
        <v>65</v>
      </c>
      <c r="AO37" s="287">
        <v>63</v>
      </c>
      <c r="AP37" s="287">
        <v>59</v>
      </c>
      <c r="AQ37" s="347">
        <v>61</v>
      </c>
      <c r="AR37" s="347">
        <v>66</v>
      </c>
      <c r="AS37" s="347">
        <v>64.2</v>
      </c>
      <c r="AT37" s="347">
        <v>68.7</v>
      </c>
      <c r="AU37" s="347">
        <v>68.400000000000006</v>
      </c>
      <c r="AV37" s="347">
        <v>69.5</v>
      </c>
      <c r="AW37" s="347">
        <v>69.7</v>
      </c>
      <c r="AX37" s="347">
        <v>68.599999999999994</v>
      </c>
      <c r="AY37" s="471">
        <v>60</v>
      </c>
      <c r="AZ37" s="347">
        <v>61.4</v>
      </c>
      <c r="BA37" s="347">
        <v>64.2</v>
      </c>
      <c r="BB37" s="347">
        <f>'[1]10 - Custos'!$BB$36</f>
        <v>61.8</v>
      </c>
      <c r="BC37" s="347">
        <v>65.400000000000006</v>
      </c>
      <c r="BD37" s="347">
        <v>75.684497134302461</v>
      </c>
    </row>
    <row r="38" spans="2:59" ht="14.25" customHeight="1">
      <c r="B38" s="286" t="s">
        <v>51</v>
      </c>
      <c r="C38" s="286">
        <v>14</v>
      </c>
      <c r="D38" s="286">
        <v>12</v>
      </c>
      <c r="E38" s="286">
        <v>16</v>
      </c>
      <c r="F38" s="286">
        <v>15</v>
      </c>
      <c r="G38" s="286">
        <v>15</v>
      </c>
      <c r="H38" s="286">
        <v>16</v>
      </c>
      <c r="I38" s="286">
        <v>17</v>
      </c>
      <c r="J38" s="286">
        <v>16</v>
      </c>
      <c r="K38" s="286">
        <v>16</v>
      </c>
      <c r="L38" s="286">
        <v>16</v>
      </c>
      <c r="M38" s="286">
        <v>11</v>
      </c>
      <c r="N38" s="286">
        <v>13</v>
      </c>
      <c r="O38" s="286">
        <v>11</v>
      </c>
      <c r="P38" s="286">
        <v>10</v>
      </c>
      <c r="Q38" s="286">
        <v>10</v>
      </c>
      <c r="R38" s="286">
        <v>9</v>
      </c>
      <c r="S38" s="286">
        <v>9</v>
      </c>
      <c r="T38" s="286">
        <v>9</v>
      </c>
      <c r="U38" s="286">
        <v>8</v>
      </c>
      <c r="V38" s="286">
        <v>9</v>
      </c>
      <c r="W38" s="286">
        <v>9</v>
      </c>
      <c r="X38" s="154"/>
      <c r="Y38" s="286">
        <v>8</v>
      </c>
      <c r="Z38" s="286">
        <v>8</v>
      </c>
      <c r="AA38" s="286">
        <v>9</v>
      </c>
      <c r="AB38" s="286">
        <v>8</v>
      </c>
      <c r="AC38" s="286">
        <v>9</v>
      </c>
      <c r="AD38" s="286">
        <v>10</v>
      </c>
      <c r="AE38" s="286">
        <v>11</v>
      </c>
      <c r="AF38" s="286">
        <v>11</v>
      </c>
      <c r="AG38" s="286"/>
      <c r="AH38" s="286">
        <v>12</v>
      </c>
      <c r="AI38" s="286">
        <v>12</v>
      </c>
      <c r="AJ38" s="286">
        <v>11</v>
      </c>
      <c r="AK38" s="286">
        <v>10</v>
      </c>
      <c r="AL38" s="154"/>
      <c r="AM38" s="286">
        <v>12</v>
      </c>
      <c r="AN38" s="286">
        <v>10</v>
      </c>
      <c r="AO38" s="286">
        <v>11</v>
      </c>
      <c r="AP38" s="286">
        <v>11</v>
      </c>
      <c r="AQ38" s="346">
        <v>11.6</v>
      </c>
      <c r="AR38" s="346">
        <v>9</v>
      </c>
      <c r="AS38" s="346">
        <v>9.6999999999999993</v>
      </c>
      <c r="AT38" s="346">
        <v>7.7</v>
      </c>
      <c r="AU38" s="346">
        <v>8.3000000000000007</v>
      </c>
      <c r="AV38" s="346">
        <v>8.4</v>
      </c>
      <c r="AW38" s="346">
        <v>8.9</v>
      </c>
      <c r="AX38" s="346">
        <v>8.6</v>
      </c>
      <c r="AY38" s="470">
        <v>11</v>
      </c>
      <c r="AZ38" s="346">
        <v>11.7</v>
      </c>
      <c r="BA38" s="346">
        <v>11</v>
      </c>
      <c r="BB38" s="346">
        <f>'[1]10 - Custos'!$BB$37</f>
        <v>10.8</v>
      </c>
      <c r="BC38" s="346">
        <v>10.1</v>
      </c>
      <c r="BD38" s="346">
        <v>5.9927910212537547</v>
      </c>
    </row>
    <row r="39" spans="2:59" ht="14.25" customHeight="1">
      <c r="B39" s="287" t="s">
        <v>52</v>
      </c>
      <c r="C39" s="287">
        <v>4</v>
      </c>
      <c r="D39" s="287">
        <v>6</v>
      </c>
      <c r="E39" s="287">
        <v>6</v>
      </c>
      <c r="F39" s="287">
        <v>7</v>
      </c>
      <c r="G39" s="287">
        <v>6</v>
      </c>
      <c r="H39" s="287">
        <v>5</v>
      </c>
      <c r="I39" s="287">
        <v>5</v>
      </c>
      <c r="J39" s="287">
        <v>5</v>
      </c>
      <c r="K39" s="287">
        <v>5</v>
      </c>
      <c r="L39" s="287">
        <v>4</v>
      </c>
      <c r="M39" s="287">
        <v>5</v>
      </c>
      <c r="N39" s="287">
        <v>5</v>
      </c>
      <c r="O39" s="287">
        <v>5</v>
      </c>
      <c r="P39" s="287">
        <v>5</v>
      </c>
      <c r="Q39" s="287">
        <v>6</v>
      </c>
      <c r="R39" s="287">
        <v>5</v>
      </c>
      <c r="S39" s="287">
        <v>6</v>
      </c>
      <c r="T39" s="287">
        <v>5</v>
      </c>
      <c r="U39" s="287">
        <v>5</v>
      </c>
      <c r="V39" s="287">
        <v>6</v>
      </c>
      <c r="W39" s="287">
        <v>6</v>
      </c>
      <c r="X39" s="156"/>
      <c r="Y39" s="287">
        <v>5</v>
      </c>
      <c r="Z39" s="287">
        <v>5</v>
      </c>
      <c r="AA39" s="287">
        <v>5</v>
      </c>
      <c r="AB39" s="287">
        <v>6</v>
      </c>
      <c r="AC39" s="287">
        <v>6</v>
      </c>
      <c r="AD39" s="287">
        <v>6</v>
      </c>
      <c r="AE39" s="287">
        <v>6</v>
      </c>
      <c r="AF39" s="287">
        <v>6</v>
      </c>
      <c r="AG39" s="287"/>
      <c r="AH39" s="287">
        <v>7</v>
      </c>
      <c r="AI39" s="287">
        <v>7</v>
      </c>
      <c r="AJ39" s="287">
        <v>7</v>
      </c>
      <c r="AK39" s="287">
        <v>7</v>
      </c>
      <c r="AL39" s="156"/>
      <c r="AM39" s="287">
        <v>6</v>
      </c>
      <c r="AN39" s="287">
        <v>6</v>
      </c>
      <c r="AO39" s="287">
        <v>6</v>
      </c>
      <c r="AP39" s="287">
        <v>7</v>
      </c>
      <c r="AQ39" s="347">
        <v>6.8</v>
      </c>
      <c r="AR39" s="347">
        <v>6</v>
      </c>
      <c r="AS39" s="347">
        <v>5.9</v>
      </c>
      <c r="AT39" s="347">
        <v>5.4</v>
      </c>
      <c r="AU39" s="347">
        <v>5.6</v>
      </c>
      <c r="AV39" s="347">
        <v>5.7</v>
      </c>
      <c r="AW39" s="347">
        <v>5.6</v>
      </c>
      <c r="AX39" s="347">
        <v>5.8</v>
      </c>
      <c r="AY39" s="471">
        <v>7</v>
      </c>
      <c r="AZ39" s="347">
        <v>6.7</v>
      </c>
      <c r="BA39" s="347">
        <v>6.2</v>
      </c>
      <c r="BB39" s="347">
        <f>'[1]10 - Custos'!$BB$38</f>
        <v>7.2</v>
      </c>
      <c r="BC39" s="347">
        <v>5.6</v>
      </c>
      <c r="BD39" s="347">
        <v>3.6173231282292524</v>
      </c>
    </row>
    <row r="40" spans="2:59" ht="5.25" customHeight="1">
      <c r="B40" s="142"/>
      <c r="C40" s="142"/>
      <c r="D40" s="142"/>
      <c r="E40" s="142"/>
      <c r="F40" s="142"/>
      <c r="G40" s="142"/>
      <c r="H40" s="142"/>
      <c r="I40" s="142"/>
      <c r="J40" s="142"/>
      <c r="K40" s="142"/>
      <c r="L40" s="142"/>
      <c r="M40" s="142"/>
      <c r="N40" s="142"/>
      <c r="O40" s="142"/>
      <c r="P40" s="142"/>
      <c r="Q40" s="142"/>
      <c r="R40" s="142"/>
      <c r="S40" s="142"/>
      <c r="T40" s="142"/>
      <c r="U40" s="142"/>
      <c r="V40" s="142"/>
      <c r="W40" s="142"/>
      <c r="X40" s="139"/>
      <c r="Y40" s="142"/>
      <c r="Z40" s="142"/>
      <c r="AA40" s="142"/>
      <c r="AB40" s="142"/>
      <c r="AC40" s="142"/>
      <c r="AD40" s="142"/>
      <c r="AE40" s="142"/>
      <c r="AF40" s="142"/>
      <c r="AG40" s="143"/>
      <c r="AH40" s="142"/>
      <c r="AI40" s="142"/>
      <c r="AJ40" s="142"/>
      <c r="AK40" s="142"/>
      <c r="AL40" s="139"/>
      <c r="AM40" s="142"/>
      <c r="AN40" s="142"/>
      <c r="AO40" s="142"/>
      <c r="AP40" s="142"/>
      <c r="AQ40" s="142"/>
      <c r="AR40" s="142"/>
      <c r="AS40" s="142"/>
      <c r="AT40" s="142"/>
      <c r="AU40" s="142"/>
      <c r="AV40" s="142"/>
      <c r="AW40" s="48"/>
      <c r="AX40" s="48"/>
      <c r="AY40" s="48"/>
      <c r="AZ40" s="48"/>
      <c r="BA40" s="48"/>
      <c r="BB40" s="48"/>
      <c r="BC40" s="48"/>
      <c r="BD40" s="48"/>
    </row>
    <row r="41" spans="2:59" ht="14.25" customHeight="1">
      <c r="B41" s="131" t="s">
        <v>122</v>
      </c>
      <c r="C41" s="345"/>
      <c r="D41" s="345"/>
      <c r="E41" s="345"/>
      <c r="F41" s="345"/>
      <c r="G41" s="345"/>
      <c r="H41" s="345"/>
      <c r="I41" s="345"/>
      <c r="J41" s="345"/>
      <c r="K41" s="345"/>
      <c r="L41" s="345"/>
      <c r="M41" s="345"/>
      <c r="N41" s="345"/>
      <c r="O41" s="345"/>
      <c r="P41" s="345"/>
      <c r="Q41" s="345"/>
      <c r="R41" s="345"/>
      <c r="S41" s="345"/>
      <c r="T41" s="345"/>
      <c r="U41" s="345"/>
      <c r="V41" s="345"/>
      <c r="W41" s="345"/>
      <c r="X41" s="156"/>
      <c r="Y41" s="345"/>
      <c r="Z41" s="345"/>
      <c r="AA41" s="345"/>
      <c r="AB41" s="345"/>
      <c r="AC41" s="345"/>
      <c r="AD41" s="345"/>
      <c r="AE41" s="345"/>
      <c r="AF41" s="345"/>
      <c r="AG41" s="345"/>
      <c r="AH41" s="345"/>
      <c r="AI41" s="345"/>
      <c r="AJ41" s="345"/>
      <c r="AK41" s="345"/>
      <c r="AL41" s="156"/>
      <c r="AM41" s="345"/>
      <c r="AN41" s="345"/>
      <c r="AO41" s="345"/>
      <c r="AP41" s="345"/>
      <c r="AQ41" s="345"/>
      <c r="AR41" s="345"/>
      <c r="AS41" s="345"/>
      <c r="AT41" s="345"/>
      <c r="AU41" s="345"/>
      <c r="AV41" s="345"/>
      <c r="AW41" s="345"/>
      <c r="AX41" s="437"/>
      <c r="AY41" s="437"/>
      <c r="AZ41" s="437"/>
      <c r="BA41" s="437"/>
      <c r="BB41" s="437"/>
      <c r="BC41" s="437"/>
      <c r="BD41" s="437"/>
    </row>
    <row r="42" spans="2:59" ht="14.25" customHeight="1">
      <c r="B42" s="286" t="s">
        <v>47</v>
      </c>
      <c r="C42" s="286">
        <v>19</v>
      </c>
      <c r="D42" s="286">
        <v>27</v>
      </c>
      <c r="E42" s="286">
        <v>27</v>
      </c>
      <c r="F42" s="286">
        <v>23</v>
      </c>
      <c r="G42" s="286">
        <v>21</v>
      </c>
      <c r="H42" s="286">
        <v>19</v>
      </c>
      <c r="I42" s="286">
        <v>17</v>
      </c>
      <c r="J42" s="286">
        <v>17</v>
      </c>
      <c r="K42" s="286">
        <v>19</v>
      </c>
      <c r="L42" s="286">
        <v>17</v>
      </c>
      <c r="M42" s="286">
        <v>17</v>
      </c>
      <c r="N42" s="286">
        <v>17</v>
      </c>
      <c r="O42" s="286">
        <v>19</v>
      </c>
      <c r="P42" s="286">
        <v>19</v>
      </c>
      <c r="Q42" s="286">
        <v>19</v>
      </c>
      <c r="R42" s="286">
        <v>20</v>
      </c>
      <c r="S42" s="286">
        <v>22</v>
      </c>
      <c r="T42" s="286">
        <v>20</v>
      </c>
      <c r="U42" s="286">
        <v>20</v>
      </c>
      <c r="V42" s="286">
        <v>19</v>
      </c>
      <c r="W42" s="286">
        <v>21</v>
      </c>
      <c r="X42" s="154"/>
      <c r="Y42" s="286">
        <v>19</v>
      </c>
      <c r="Z42" s="286">
        <v>20</v>
      </c>
      <c r="AA42" s="286">
        <v>20</v>
      </c>
      <c r="AB42" s="286">
        <v>20</v>
      </c>
      <c r="AC42" s="286">
        <v>20</v>
      </c>
      <c r="AD42" s="286">
        <v>21</v>
      </c>
      <c r="AE42" s="286">
        <v>21</v>
      </c>
      <c r="AF42" s="286">
        <v>22</v>
      </c>
      <c r="AG42" s="286"/>
      <c r="AH42" s="286">
        <v>23</v>
      </c>
      <c r="AI42" s="286">
        <v>23</v>
      </c>
      <c r="AJ42" s="286">
        <v>27</v>
      </c>
      <c r="AK42" s="286">
        <v>28</v>
      </c>
      <c r="AL42" s="154"/>
      <c r="AM42" s="286">
        <v>23</v>
      </c>
      <c r="AN42" s="286">
        <v>20</v>
      </c>
      <c r="AO42" s="286">
        <v>20</v>
      </c>
      <c r="AP42" s="286">
        <v>20</v>
      </c>
      <c r="AQ42" s="346">
        <v>17.7</v>
      </c>
      <c r="AR42" s="346">
        <v>16</v>
      </c>
      <c r="AS42" s="346">
        <v>16.2</v>
      </c>
      <c r="AT42" s="346">
        <v>19.2</v>
      </c>
      <c r="AU42" s="346">
        <v>17.5</v>
      </c>
      <c r="AV42" s="346">
        <v>18.7</v>
      </c>
      <c r="AW42" s="346">
        <v>21.1</v>
      </c>
      <c r="AX42" s="346">
        <v>24.7</v>
      </c>
      <c r="AY42" s="470">
        <v>26</v>
      </c>
      <c r="AZ42" s="346">
        <v>32.799999999999997</v>
      </c>
      <c r="BA42" s="346">
        <v>29.7</v>
      </c>
      <c r="BB42" s="346">
        <f>'[1]10 - Custos'!$BB$41</f>
        <v>22.8</v>
      </c>
      <c r="BC42" s="346">
        <v>20.3</v>
      </c>
      <c r="BD42" s="346">
        <v>20.698927381828724</v>
      </c>
    </row>
    <row r="43" spans="2:59" ht="14.25" customHeight="1">
      <c r="B43" s="287" t="s">
        <v>48</v>
      </c>
      <c r="C43" s="287">
        <v>4</v>
      </c>
      <c r="D43" s="287">
        <v>6</v>
      </c>
      <c r="E43" s="287">
        <v>5</v>
      </c>
      <c r="F43" s="287">
        <v>5</v>
      </c>
      <c r="G43" s="287">
        <v>6</v>
      </c>
      <c r="H43" s="287">
        <v>5</v>
      </c>
      <c r="I43" s="287">
        <v>5</v>
      </c>
      <c r="J43" s="287">
        <v>6</v>
      </c>
      <c r="K43" s="287">
        <v>7</v>
      </c>
      <c r="L43" s="287">
        <v>6</v>
      </c>
      <c r="M43" s="287">
        <v>5</v>
      </c>
      <c r="N43" s="287">
        <v>6</v>
      </c>
      <c r="O43" s="287">
        <v>7</v>
      </c>
      <c r="P43" s="287">
        <v>7</v>
      </c>
      <c r="Q43" s="287">
        <v>6</v>
      </c>
      <c r="R43" s="287">
        <v>7</v>
      </c>
      <c r="S43" s="287">
        <v>7</v>
      </c>
      <c r="T43" s="287">
        <v>6</v>
      </c>
      <c r="U43" s="287">
        <v>6</v>
      </c>
      <c r="V43" s="287">
        <v>6</v>
      </c>
      <c r="W43" s="287">
        <v>6</v>
      </c>
      <c r="X43" s="156"/>
      <c r="Y43" s="287">
        <v>6</v>
      </c>
      <c r="Z43" s="287">
        <v>5</v>
      </c>
      <c r="AA43" s="287">
        <v>6</v>
      </c>
      <c r="AB43" s="287">
        <v>7</v>
      </c>
      <c r="AC43" s="287">
        <v>6</v>
      </c>
      <c r="AD43" s="287">
        <v>6</v>
      </c>
      <c r="AE43" s="287">
        <v>7</v>
      </c>
      <c r="AF43" s="287">
        <v>7</v>
      </c>
      <c r="AG43" s="287"/>
      <c r="AH43" s="287">
        <v>6</v>
      </c>
      <c r="AI43" s="287">
        <v>7</v>
      </c>
      <c r="AJ43" s="287">
        <v>6</v>
      </c>
      <c r="AK43" s="287">
        <v>7</v>
      </c>
      <c r="AL43" s="156"/>
      <c r="AM43" s="287">
        <v>5</v>
      </c>
      <c r="AN43" s="287">
        <v>6</v>
      </c>
      <c r="AO43" s="287">
        <v>5</v>
      </c>
      <c r="AP43" s="287">
        <v>5</v>
      </c>
      <c r="AQ43" s="347">
        <v>4.0999999999999996</v>
      </c>
      <c r="AR43" s="347">
        <v>4.0999999999999996</v>
      </c>
      <c r="AS43" s="347">
        <v>4.5</v>
      </c>
      <c r="AT43" s="347">
        <v>4.9000000000000004</v>
      </c>
      <c r="AU43" s="347">
        <v>4.7</v>
      </c>
      <c r="AV43" s="347">
        <v>5.8</v>
      </c>
      <c r="AW43" s="347">
        <v>5.8</v>
      </c>
      <c r="AX43" s="347">
        <v>6.1</v>
      </c>
      <c r="AY43" s="471">
        <v>5</v>
      </c>
      <c r="AZ43" s="347">
        <v>7.7</v>
      </c>
      <c r="BA43" s="347">
        <v>5.7</v>
      </c>
      <c r="BB43" s="347">
        <f>'[1]10 - Custos'!$BB$42</f>
        <v>4.7</v>
      </c>
      <c r="BC43" s="347">
        <v>4.4000000000000004</v>
      </c>
      <c r="BD43" s="347">
        <v>5.1585147151323802</v>
      </c>
    </row>
    <row r="44" spans="2:59" ht="14.25" customHeight="1">
      <c r="B44" s="286" t="s">
        <v>49</v>
      </c>
      <c r="C44" s="286">
        <v>5</v>
      </c>
      <c r="D44" s="286">
        <v>10</v>
      </c>
      <c r="E44" s="286">
        <v>9</v>
      </c>
      <c r="F44" s="286">
        <v>6</v>
      </c>
      <c r="G44" s="286">
        <v>6</v>
      </c>
      <c r="H44" s="286">
        <v>5</v>
      </c>
      <c r="I44" s="286">
        <v>4</v>
      </c>
      <c r="J44" s="286">
        <v>5</v>
      </c>
      <c r="K44" s="286">
        <v>5</v>
      </c>
      <c r="L44" s="286">
        <v>5</v>
      </c>
      <c r="M44" s="286">
        <v>4</v>
      </c>
      <c r="N44" s="286">
        <v>4</v>
      </c>
      <c r="O44" s="286">
        <v>5</v>
      </c>
      <c r="P44" s="286">
        <v>4</v>
      </c>
      <c r="Q44" s="286">
        <v>4</v>
      </c>
      <c r="R44" s="286">
        <v>5</v>
      </c>
      <c r="S44" s="286">
        <v>5</v>
      </c>
      <c r="T44" s="286">
        <v>5</v>
      </c>
      <c r="U44" s="286">
        <v>5</v>
      </c>
      <c r="V44" s="286">
        <v>5</v>
      </c>
      <c r="W44" s="286">
        <v>5</v>
      </c>
      <c r="X44" s="154"/>
      <c r="Y44" s="286">
        <v>5</v>
      </c>
      <c r="Z44" s="286">
        <v>5</v>
      </c>
      <c r="AA44" s="286">
        <v>6</v>
      </c>
      <c r="AB44" s="286">
        <v>5</v>
      </c>
      <c r="AC44" s="286">
        <v>5</v>
      </c>
      <c r="AD44" s="286">
        <v>6</v>
      </c>
      <c r="AE44" s="286">
        <v>7</v>
      </c>
      <c r="AF44" s="286">
        <v>8</v>
      </c>
      <c r="AG44" s="286"/>
      <c r="AH44" s="286">
        <v>8</v>
      </c>
      <c r="AI44" s="286">
        <v>6</v>
      </c>
      <c r="AJ44" s="286">
        <v>6</v>
      </c>
      <c r="AK44" s="286">
        <v>7</v>
      </c>
      <c r="AL44" s="154"/>
      <c r="AM44" s="286">
        <v>6</v>
      </c>
      <c r="AN44" s="286">
        <v>6</v>
      </c>
      <c r="AO44" s="286">
        <v>5</v>
      </c>
      <c r="AP44" s="286">
        <v>6</v>
      </c>
      <c r="AQ44" s="346">
        <v>4.5999999999999996</v>
      </c>
      <c r="AR44" s="346">
        <v>4</v>
      </c>
      <c r="AS44" s="346">
        <v>4</v>
      </c>
      <c r="AT44" s="346">
        <v>4.3</v>
      </c>
      <c r="AU44" s="346">
        <v>4.0999999999999996</v>
      </c>
      <c r="AV44" s="346">
        <v>4.5999999999999996</v>
      </c>
      <c r="AW44" s="346">
        <v>5.3</v>
      </c>
      <c r="AX44" s="346">
        <v>6.6</v>
      </c>
      <c r="AY44" s="470">
        <v>5</v>
      </c>
      <c r="AZ44" s="346">
        <v>9.3000000000000007</v>
      </c>
      <c r="BA44" s="346">
        <v>6.8</v>
      </c>
      <c r="BB44" s="346">
        <f>'[1]10 - Custos'!$BB$43</f>
        <v>5</v>
      </c>
      <c r="BC44" s="346">
        <v>4</v>
      </c>
      <c r="BD44" s="346">
        <v>4.0552075981485958</v>
      </c>
    </row>
    <row r="45" spans="2:59" ht="14.25" customHeight="1">
      <c r="B45" s="287" t="s">
        <v>50</v>
      </c>
      <c r="C45" s="287">
        <v>52</v>
      </c>
      <c r="D45" s="287">
        <v>34</v>
      </c>
      <c r="E45" s="287">
        <v>36</v>
      </c>
      <c r="F45" s="287">
        <v>41</v>
      </c>
      <c r="G45" s="287">
        <v>43</v>
      </c>
      <c r="H45" s="287">
        <v>50</v>
      </c>
      <c r="I45" s="287">
        <v>54</v>
      </c>
      <c r="J45" s="287">
        <v>51</v>
      </c>
      <c r="K45" s="287">
        <v>49</v>
      </c>
      <c r="L45" s="287">
        <v>54</v>
      </c>
      <c r="M45" s="287">
        <v>56</v>
      </c>
      <c r="N45" s="287">
        <v>54</v>
      </c>
      <c r="O45" s="287">
        <v>50</v>
      </c>
      <c r="P45" s="287">
        <v>51</v>
      </c>
      <c r="Q45" s="287">
        <v>52</v>
      </c>
      <c r="R45" s="287">
        <v>47</v>
      </c>
      <c r="S45" s="287">
        <v>45</v>
      </c>
      <c r="T45" s="287">
        <v>49</v>
      </c>
      <c r="U45" s="287">
        <v>47</v>
      </c>
      <c r="V45" s="287">
        <v>46</v>
      </c>
      <c r="W45" s="287">
        <v>45</v>
      </c>
      <c r="X45" s="156"/>
      <c r="Y45" s="287">
        <v>48</v>
      </c>
      <c r="Z45" s="287">
        <v>49</v>
      </c>
      <c r="AA45" s="287">
        <v>46</v>
      </c>
      <c r="AB45" s="287">
        <v>46</v>
      </c>
      <c r="AC45" s="287">
        <v>46</v>
      </c>
      <c r="AD45" s="287">
        <v>43</v>
      </c>
      <c r="AE45" s="287">
        <v>41</v>
      </c>
      <c r="AF45" s="287">
        <v>38</v>
      </c>
      <c r="AG45" s="287"/>
      <c r="AH45" s="287">
        <v>41</v>
      </c>
      <c r="AI45" s="287">
        <v>42</v>
      </c>
      <c r="AJ45" s="287">
        <v>38</v>
      </c>
      <c r="AK45" s="287">
        <v>34</v>
      </c>
      <c r="AL45" s="156"/>
      <c r="AM45" s="287">
        <v>43</v>
      </c>
      <c r="AN45" s="287">
        <v>46</v>
      </c>
      <c r="AO45" s="287">
        <v>48</v>
      </c>
      <c r="AP45" s="287">
        <v>45</v>
      </c>
      <c r="AQ45" s="347">
        <v>49.7</v>
      </c>
      <c r="AR45" s="347">
        <v>51</v>
      </c>
      <c r="AS45" s="347">
        <v>50.7</v>
      </c>
      <c r="AT45" s="347">
        <v>48.7</v>
      </c>
      <c r="AU45" s="347">
        <v>50.2</v>
      </c>
      <c r="AV45" s="347">
        <v>47</v>
      </c>
      <c r="AW45" s="347">
        <v>44</v>
      </c>
      <c r="AX45" s="347">
        <v>37.200000000000003</v>
      </c>
      <c r="AY45" s="471">
        <v>40</v>
      </c>
      <c r="AZ45" s="347">
        <v>27.4</v>
      </c>
      <c r="BA45" s="347">
        <v>35.6</v>
      </c>
      <c r="BB45" s="347">
        <f>'[1]10 - Custos'!$BB$44</f>
        <v>45.9</v>
      </c>
      <c r="BC45" s="347">
        <v>52.3</v>
      </c>
      <c r="BD45" s="347">
        <v>51.899259055909383</v>
      </c>
    </row>
    <row r="46" spans="2:59" ht="14.25" customHeight="1">
      <c r="B46" s="286" t="s">
        <v>51</v>
      </c>
      <c r="C46" s="286">
        <v>10</v>
      </c>
      <c r="D46" s="286">
        <v>12</v>
      </c>
      <c r="E46" s="286">
        <v>12</v>
      </c>
      <c r="F46" s="286">
        <v>12</v>
      </c>
      <c r="G46" s="286">
        <v>12</v>
      </c>
      <c r="H46" s="286">
        <v>11</v>
      </c>
      <c r="I46" s="286">
        <v>10</v>
      </c>
      <c r="J46" s="286">
        <v>10</v>
      </c>
      <c r="K46" s="286">
        <v>10</v>
      </c>
      <c r="L46" s="286">
        <v>9</v>
      </c>
      <c r="M46" s="286">
        <v>9</v>
      </c>
      <c r="N46" s="286">
        <v>9</v>
      </c>
      <c r="O46" s="286">
        <v>9</v>
      </c>
      <c r="P46" s="286">
        <v>9</v>
      </c>
      <c r="Q46" s="286">
        <v>9</v>
      </c>
      <c r="R46" s="286">
        <v>10</v>
      </c>
      <c r="S46" s="286">
        <v>10</v>
      </c>
      <c r="T46" s="286">
        <v>9</v>
      </c>
      <c r="U46" s="286">
        <v>11</v>
      </c>
      <c r="V46" s="286">
        <v>12</v>
      </c>
      <c r="W46" s="286">
        <v>12</v>
      </c>
      <c r="X46" s="154"/>
      <c r="Y46" s="286">
        <v>12</v>
      </c>
      <c r="Z46" s="286">
        <v>11</v>
      </c>
      <c r="AA46" s="286">
        <v>12</v>
      </c>
      <c r="AB46" s="286">
        <v>12</v>
      </c>
      <c r="AC46" s="286">
        <v>12</v>
      </c>
      <c r="AD46" s="286">
        <v>13</v>
      </c>
      <c r="AE46" s="286">
        <v>13</v>
      </c>
      <c r="AF46" s="286">
        <v>13</v>
      </c>
      <c r="AG46" s="286"/>
      <c r="AH46" s="286">
        <v>11</v>
      </c>
      <c r="AI46" s="286">
        <v>11</v>
      </c>
      <c r="AJ46" s="286">
        <v>13</v>
      </c>
      <c r="AK46" s="286">
        <v>14</v>
      </c>
      <c r="AL46" s="154"/>
      <c r="AM46" s="286">
        <v>13</v>
      </c>
      <c r="AN46" s="286">
        <v>13</v>
      </c>
      <c r="AO46" s="286">
        <v>12</v>
      </c>
      <c r="AP46" s="286">
        <v>13</v>
      </c>
      <c r="AQ46" s="346">
        <v>12.3</v>
      </c>
      <c r="AR46" s="346">
        <v>12.3</v>
      </c>
      <c r="AS46" s="346">
        <v>11.1</v>
      </c>
      <c r="AT46" s="346">
        <v>8.8000000000000007</v>
      </c>
      <c r="AU46" s="346">
        <v>8.5</v>
      </c>
      <c r="AV46" s="346">
        <v>9.3000000000000007</v>
      </c>
      <c r="AW46" s="346">
        <v>9.5</v>
      </c>
      <c r="AX46" s="346">
        <v>10.8</v>
      </c>
      <c r="AY46" s="470">
        <v>10</v>
      </c>
      <c r="AZ46" s="346">
        <v>10.9</v>
      </c>
      <c r="BA46" s="346">
        <v>9.8000000000000007</v>
      </c>
      <c r="BB46" s="346">
        <f>'[1]10 - Custos'!$BB$45</f>
        <v>9.1999999999999993</v>
      </c>
      <c r="BC46" s="346">
        <v>8.3000000000000007</v>
      </c>
      <c r="BD46" s="346">
        <v>7.8455442642995354</v>
      </c>
    </row>
    <row r="47" spans="2:59" ht="14.25" customHeight="1">
      <c r="B47" s="287" t="s">
        <v>52</v>
      </c>
      <c r="C47" s="287">
        <v>10</v>
      </c>
      <c r="D47" s="287">
        <v>11</v>
      </c>
      <c r="E47" s="287">
        <v>11</v>
      </c>
      <c r="F47" s="287">
        <v>13</v>
      </c>
      <c r="G47" s="287">
        <v>12</v>
      </c>
      <c r="H47" s="287">
        <v>10</v>
      </c>
      <c r="I47" s="287">
        <v>10</v>
      </c>
      <c r="J47" s="287">
        <v>11</v>
      </c>
      <c r="K47" s="287">
        <v>10</v>
      </c>
      <c r="L47" s="287">
        <v>9</v>
      </c>
      <c r="M47" s="287">
        <v>9</v>
      </c>
      <c r="N47" s="287">
        <v>10</v>
      </c>
      <c r="O47" s="287">
        <v>10</v>
      </c>
      <c r="P47" s="287">
        <v>10</v>
      </c>
      <c r="Q47" s="287">
        <v>10</v>
      </c>
      <c r="R47" s="287">
        <v>11</v>
      </c>
      <c r="S47" s="287">
        <v>11</v>
      </c>
      <c r="T47" s="287">
        <v>11</v>
      </c>
      <c r="U47" s="287">
        <v>11</v>
      </c>
      <c r="V47" s="287">
        <v>12</v>
      </c>
      <c r="W47" s="287">
        <v>11</v>
      </c>
      <c r="X47" s="156"/>
      <c r="Y47" s="287">
        <v>10</v>
      </c>
      <c r="Z47" s="287">
        <v>10</v>
      </c>
      <c r="AA47" s="287">
        <v>10</v>
      </c>
      <c r="AB47" s="287">
        <v>10</v>
      </c>
      <c r="AC47" s="287">
        <v>11</v>
      </c>
      <c r="AD47" s="287">
        <v>11</v>
      </c>
      <c r="AE47" s="287">
        <v>11</v>
      </c>
      <c r="AF47" s="287">
        <v>12</v>
      </c>
      <c r="AG47" s="287"/>
      <c r="AH47" s="287">
        <v>12</v>
      </c>
      <c r="AI47" s="287">
        <v>11</v>
      </c>
      <c r="AJ47" s="287">
        <v>10</v>
      </c>
      <c r="AK47" s="287">
        <v>10</v>
      </c>
      <c r="AL47" s="156"/>
      <c r="AM47" s="287">
        <v>10</v>
      </c>
      <c r="AN47" s="287">
        <v>9</v>
      </c>
      <c r="AO47" s="287">
        <v>10</v>
      </c>
      <c r="AP47" s="287">
        <v>11</v>
      </c>
      <c r="AQ47" s="347">
        <v>11.6</v>
      </c>
      <c r="AR47" s="347">
        <v>13</v>
      </c>
      <c r="AS47" s="347">
        <v>13.6</v>
      </c>
      <c r="AT47" s="347">
        <v>14.3</v>
      </c>
      <c r="AU47" s="347">
        <v>15</v>
      </c>
      <c r="AV47" s="347">
        <v>14.6</v>
      </c>
      <c r="AW47" s="347">
        <v>14.4</v>
      </c>
      <c r="AX47" s="347">
        <v>14.6</v>
      </c>
      <c r="AY47" s="471">
        <v>15</v>
      </c>
      <c r="AZ47" s="347">
        <v>11.9</v>
      </c>
      <c r="BA47" s="347">
        <v>12.3</v>
      </c>
      <c r="BB47" s="347">
        <f>'[1]10 - Custos'!$BB$46</f>
        <v>12.4</v>
      </c>
      <c r="BC47" s="347">
        <v>10.6</v>
      </c>
      <c r="BD47" s="347">
        <v>10.342546984681395</v>
      </c>
      <c r="BG47" s="142"/>
    </row>
    <row r="48" spans="2:59" ht="14">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46"/>
      <c r="AH48" s="139"/>
      <c r="AI48" s="139"/>
      <c r="AJ48" s="139"/>
      <c r="AK48" s="139"/>
      <c r="AL48" s="139"/>
      <c r="AM48" s="139"/>
      <c r="AN48" s="139"/>
      <c r="AO48" s="139"/>
      <c r="AP48" s="139"/>
      <c r="AQ48" s="139"/>
      <c r="AW48" s="1"/>
      <c r="AX48" s="1"/>
      <c r="AY48" s="1"/>
      <c r="AZ48" s="1"/>
      <c r="BA48" s="1"/>
      <c r="BB48" s="1"/>
      <c r="BC48" s="1"/>
      <c r="BD48" s="1"/>
      <c r="BG48" s="142"/>
    </row>
    <row r="49" spans="1:59" ht="14.5" thickBot="1">
      <c r="B49" s="350" t="s">
        <v>54</v>
      </c>
      <c r="C49" s="350"/>
      <c r="D49" s="350"/>
      <c r="E49" s="350"/>
      <c r="F49" s="350"/>
      <c r="G49" s="350"/>
      <c r="H49" s="350"/>
      <c r="I49" s="350"/>
      <c r="J49" s="350"/>
      <c r="K49" s="350"/>
      <c r="L49" s="350"/>
      <c r="M49" s="350"/>
      <c r="N49" s="350"/>
      <c r="O49" s="350"/>
      <c r="P49" s="350"/>
      <c r="Q49" s="350"/>
      <c r="R49" s="350"/>
      <c r="S49" s="350"/>
      <c r="T49" s="350"/>
      <c r="U49" s="350"/>
      <c r="V49" s="350"/>
      <c r="W49" s="350"/>
      <c r="X49" s="351"/>
      <c r="Y49" s="350"/>
      <c r="Z49" s="350"/>
      <c r="AA49" s="350"/>
      <c r="AB49" s="350"/>
      <c r="AC49" s="350"/>
      <c r="AD49" s="350"/>
      <c r="AE49" s="350"/>
      <c r="AF49" s="350"/>
      <c r="AG49" s="350"/>
      <c r="AH49" s="350"/>
      <c r="AI49" s="350"/>
      <c r="AJ49" s="350"/>
      <c r="AK49" s="350"/>
      <c r="AL49" s="351"/>
      <c r="AM49" s="350"/>
      <c r="AN49" s="350"/>
      <c r="AO49" s="350"/>
      <c r="AP49" s="350"/>
      <c r="AQ49" s="352"/>
      <c r="AR49" s="352"/>
      <c r="AS49" s="352"/>
      <c r="AT49" s="352"/>
      <c r="AU49" s="352"/>
      <c r="AV49" s="352"/>
      <c r="AW49" s="352"/>
      <c r="AX49" s="352"/>
      <c r="AY49" s="352"/>
      <c r="AZ49" s="352"/>
      <c r="BA49" s="352"/>
      <c r="BB49" s="352"/>
      <c r="BC49" s="352"/>
      <c r="BD49" s="352"/>
      <c r="BG49" s="142"/>
    </row>
    <row r="50" spans="1:59" ht="14.5" thickTop="1">
      <c r="B50" s="142" t="s">
        <v>53</v>
      </c>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46"/>
      <c r="AH50" s="139"/>
      <c r="AI50" s="139"/>
      <c r="AJ50" s="139"/>
      <c r="AK50" s="139"/>
      <c r="AL50" s="139"/>
      <c r="AQ50" s="142"/>
      <c r="AR50" s="142"/>
      <c r="AS50" s="142"/>
      <c r="AT50" s="142"/>
      <c r="AU50" s="142"/>
      <c r="AV50" s="142"/>
      <c r="AW50" s="142"/>
      <c r="AX50" s="142" t="s">
        <v>55</v>
      </c>
    </row>
    <row r="51" spans="1:59" ht="14">
      <c r="B51" s="142" t="s">
        <v>56</v>
      </c>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46"/>
      <c r="AH51" s="139"/>
      <c r="AI51" s="139"/>
      <c r="AJ51" s="139"/>
      <c r="AK51" s="139"/>
      <c r="AL51" s="139"/>
      <c r="AQ51" s="142"/>
      <c r="AR51" s="142"/>
      <c r="AS51" s="142"/>
      <c r="AT51" s="142"/>
      <c r="AU51" s="142"/>
      <c r="AV51" s="142"/>
      <c r="AW51" s="142"/>
      <c r="AX51" s="142" t="s">
        <v>152</v>
      </c>
    </row>
    <row r="52" spans="1:59" ht="14">
      <c r="B52" s="142" t="s">
        <v>51</v>
      </c>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46"/>
      <c r="AH52" s="139"/>
      <c r="AI52" s="139"/>
      <c r="AJ52" s="139"/>
      <c r="AK52" s="139"/>
      <c r="AL52" s="139"/>
      <c r="AQ52" s="142"/>
      <c r="AR52" s="142"/>
      <c r="AS52" s="142"/>
      <c r="AT52" s="142"/>
      <c r="AU52" s="142"/>
      <c r="AV52" s="142"/>
      <c r="AW52" s="142"/>
      <c r="AX52" s="142" t="s">
        <v>153</v>
      </c>
    </row>
    <row r="53" spans="1:59" ht="14">
      <c r="B53" s="142" t="s">
        <v>52</v>
      </c>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46"/>
      <c r="AH53" s="139"/>
      <c r="AI53" s="139"/>
      <c r="AJ53" s="139"/>
      <c r="AK53" s="139"/>
      <c r="AL53" s="139"/>
      <c r="AQ53" s="142"/>
      <c r="AR53" s="142"/>
      <c r="AS53" s="142"/>
      <c r="AT53" s="142"/>
      <c r="AU53" s="142"/>
      <c r="AV53" s="142"/>
      <c r="AW53" s="142"/>
      <c r="AX53" s="142" t="s">
        <v>57</v>
      </c>
    </row>
    <row r="54" spans="1:59" ht="14">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row>
    <row r="55" spans="1:59" ht="14">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row>
    <row r="56" spans="1:59" ht="14">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row>
    <row r="57" spans="1:59" ht="14">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row>
    <row r="58" spans="1:59" ht="14">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row>
    <row r="59" spans="1:59" ht="14">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row>
    <row r="60" spans="1:59" ht="14">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row>
    <row r="61" spans="1:59" ht="14">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row>
    <row r="62" spans="1:59" ht="14">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row>
    <row r="63" spans="1:59" ht="14">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row>
    <row r="64" spans="1:59" ht="14">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row>
    <row r="65" spans="1:36" ht="14">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row>
    <row r="66" spans="1:36" ht="14">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row>
    <row r="67" spans="1:36" ht="14">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row>
    <row r="68" spans="1:36" ht="14">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row>
    <row r="69" spans="1:36" ht="14">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row>
    <row r="70" spans="1:36" ht="14">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row>
  </sheetData>
  <phoneticPr fontId="0" type="noConversion"/>
  <pageMargins left="0.39370078740157483" right="0.39370078740157483" top="0.39370078740157483" bottom="0.39370078740157483" header="0" footer="0"/>
  <pageSetup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97"/>
  <sheetViews>
    <sheetView showGridLines="0" zoomScale="80" zoomScaleNormal="80" workbookViewId="0">
      <selection activeCell="N9" sqref="N9"/>
    </sheetView>
  </sheetViews>
  <sheetFormatPr defaultColWidth="9.1796875" defaultRowHeight="14"/>
  <cols>
    <col min="1" max="1" width="43.1796875" style="358" customWidth="1"/>
    <col min="2" max="2" width="10.7265625" style="358" hidden="1" customWidth="1"/>
    <col min="3" max="7" width="9.453125" style="358" customWidth="1"/>
    <col min="8" max="16384" width="9.1796875" style="358"/>
  </cols>
  <sheetData>
    <row r="1" spans="1:7" s="353" customFormat="1">
      <c r="A1" s="630" t="s">
        <v>230</v>
      </c>
      <c r="B1" s="630"/>
      <c r="C1" s="630"/>
      <c r="D1" s="630"/>
      <c r="E1" s="630"/>
      <c r="F1" s="630"/>
      <c r="G1" s="630"/>
    </row>
    <row r="2" spans="1:7" s="353" customFormat="1">
      <c r="A2" s="354"/>
      <c r="B2" s="354"/>
      <c r="C2" s="354"/>
      <c r="D2" s="354"/>
      <c r="E2" s="354"/>
      <c r="F2" s="354"/>
      <c r="G2" s="354"/>
    </row>
    <row r="3" spans="1:7" s="353" customFormat="1">
      <c r="A3" s="354"/>
      <c r="B3" s="354"/>
      <c r="C3" s="354"/>
      <c r="D3" s="354"/>
      <c r="E3" s="354"/>
      <c r="F3" s="354"/>
      <c r="G3" s="354"/>
    </row>
    <row r="4" spans="1:7" s="353" customFormat="1">
      <c r="A4" s="354"/>
      <c r="B4" s="354"/>
      <c r="C4" s="354"/>
      <c r="D4" s="354"/>
      <c r="E4" s="354"/>
      <c r="F4" s="354"/>
      <c r="G4" s="354"/>
    </row>
    <row r="5" spans="1:7" s="356" customFormat="1" ht="4.5" customHeight="1" thickBot="1">
      <c r="A5" s="355"/>
    </row>
    <row r="6" spans="1:7" ht="14.25" customHeight="1" thickBot="1">
      <c r="A6" s="342" t="s">
        <v>231</v>
      </c>
      <c r="B6" s="357" t="s">
        <v>229</v>
      </c>
      <c r="C6" s="343" t="s">
        <v>205</v>
      </c>
      <c r="D6" s="343" t="s">
        <v>206</v>
      </c>
      <c r="E6" s="343" t="s">
        <v>207</v>
      </c>
      <c r="F6" s="343" t="s">
        <v>212</v>
      </c>
      <c r="G6" s="343">
        <v>2018</v>
      </c>
    </row>
    <row r="7" spans="1:7" ht="14.5" thickTop="1">
      <c r="A7" s="359" t="s">
        <v>237</v>
      </c>
      <c r="B7" s="360"/>
      <c r="C7" s="361"/>
      <c r="D7" s="361"/>
      <c r="E7" s="361"/>
      <c r="F7" s="361"/>
      <c r="G7" s="361"/>
    </row>
    <row r="8" spans="1:7">
      <c r="A8" s="362" t="s">
        <v>238</v>
      </c>
      <c r="B8" s="363">
        <v>3217</v>
      </c>
      <c r="C8" s="364">
        <v>1532</v>
      </c>
      <c r="D8" s="364">
        <v>1381</v>
      </c>
      <c r="E8" s="365">
        <v>1479</v>
      </c>
      <c r="F8" s="365">
        <v>1454</v>
      </c>
      <c r="G8" s="365">
        <f>SUM(C8:F8)</f>
        <v>5846</v>
      </c>
    </row>
    <row r="9" spans="1:7">
      <c r="A9" s="366" t="s">
        <v>239</v>
      </c>
      <c r="B9" s="387">
        <v>2985</v>
      </c>
      <c r="C9" s="386">
        <v>1438</v>
      </c>
      <c r="D9" s="386">
        <v>1364</v>
      </c>
      <c r="E9" s="386">
        <v>1422</v>
      </c>
      <c r="F9" s="386">
        <v>1311.1079999999999</v>
      </c>
      <c r="G9" s="386">
        <f>SUM(C9:F9)</f>
        <v>5535.1080000000002</v>
      </c>
    </row>
    <row r="10" spans="1:7">
      <c r="A10" s="359" t="s">
        <v>240</v>
      </c>
      <c r="B10" s="367"/>
      <c r="C10" s="368"/>
      <c r="D10" s="368"/>
      <c r="E10" s="368"/>
      <c r="F10" s="368"/>
      <c r="G10" s="368"/>
    </row>
    <row r="11" spans="1:7" ht="14.25" customHeight="1">
      <c r="A11" s="362" t="s">
        <v>241</v>
      </c>
      <c r="B11" s="363">
        <v>10026</v>
      </c>
      <c r="C11" s="364">
        <v>3611</v>
      </c>
      <c r="D11" s="364">
        <v>3798</v>
      </c>
      <c r="E11" s="365">
        <v>4390</v>
      </c>
      <c r="F11" s="365">
        <v>3945.8471660600003</v>
      </c>
      <c r="G11" s="365">
        <f>SUM(C11:F11)</f>
        <v>15744.847166060001</v>
      </c>
    </row>
    <row r="12" spans="1:7">
      <c r="A12" s="366" t="s">
        <v>242</v>
      </c>
      <c r="B12" s="387">
        <v>-8757</v>
      </c>
      <c r="C12" s="386">
        <f>C13-C11</f>
        <v>-2929</v>
      </c>
      <c r="D12" s="386">
        <f>D13-D11</f>
        <v>-3139</v>
      </c>
      <c r="E12" s="386">
        <f>E13-E11</f>
        <v>-3602</v>
      </c>
      <c r="F12" s="386">
        <f>F13-F11</f>
        <v>-3374.4782453800981</v>
      </c>
      <c r="G12" s="386">
        <f>SUM(C12:F12)</f>
        <v>-13044.478245380098</v>
      </c>
    </row>
    <row r="13" spans="1:7" ht="14.25" customHeight="1">
      <c r="A13" s="362" t="s">
        <v>243</v>
      </c>
      <c r="B13" s="363">
        <f>B11+B12</f>
        <v>1269</v>
      </c>
      <c r="C13" s="364">
        <v>682</v>
      </c>
      <c r="D13" s="364">
        <v>659</v>
      </c>
      <c r="E13" s="365">
        <v>788</v>
      </c>
      <c r="F13" s="365">
        <v>571.3689206799022</v>
      </c>
      <c r="G13" s="365">
        <f>SUM(C13:F13)</f>
        <v>2700.3689206799022</v>
      </c>
    </row>
    <row r="14" spans="1:7" s="372" customFormat="1" ht="14.25" customHeight="1">
      <c r="A14" s="369" t="s">
        <v>244</v>
      </c>
      <c r="B14" s="370">
        <f t="shared" ref="B14:G14" si="0">B13/B11</f>
        <v>0.12657091561938957</v>
      </c>
      <c r="C14" s="371">
        <f t="shared" si="0"/>
        <v>0.18886734976460814</v>
      </c>
      <c r="D14" s="371">
        <f t="shared" si="0"/>
        <v>0.17351237493417587</v>
      </c>
      <c r="E14" s="371">
        <f t="shared" si="0"/>
        <v>0.17949886104783599</v>
      </c>
      <c r="F14" s="371">
        <f t="shared" si="0"/>
        <v>0.14480259792992042</v>
      </c>
      <c r="G14" s="371">
        <f t="shared" si="0"/>
        <v>0.17150810625211321</v>
      </c>
    </row>
    <row r="15" spans="1:7" ht="14.25" customHeight="1">
      <c r="A15" s="366" t="s">
        <v>245</v>
      </c>
      <c r="B15" s="373">
        <v>1552</v>
      </c>
      <c r="C15" s="374">
        <v>751</v>
      </c>
      <c r="D15" s="374">
        <v>743</v>
      </c>
      <c r="E15" s="375">
        <v>891</v>
      </c>
      <c r="F15" s="375">
        <v>646.66360937990214</v>
      </c>
      <c r="G15" s="375">
        <f>SUM(C15:F15)</f>
        <v>3031.663609379902</v>
      </c>
    </row>
    <row r="16" spans="1:7" s="372" customFormat="1" ht="14.25" customHeight="1" thickBot="1">
      <c r="A16" s="376" t="s">
        <v>246</v>
      </c>
      <c r="B16" s="377">
        <f t="shared" ref="B16:G16" si="1">B15/B11</f>
        <v>0.15479752643127867</v>
      </c>
      <c r="C16" s="378">
        <f t="shared" si="1"/>
        <v>0.20797563001938521</v>
      </c>
      <c r="D16" s="378">
        <f t="shared" si="1"/>
        <v>0.19562927856766718</v>
      </c>
      <c r="E16" s="378">
        <f t="shared" si="1"/>
        <v>0.20296127562642369</v>
      </c>
      <c r="F16" s="378">
        <f t="shared" si="1"/>
        <v>0.16388460631271926</v>
      </c>
      <c r="G16" s="378">
        <f t="shared" si="1"/>
        <v>0.19254957367354028</v>
      </c>
    </row>
    <row r="17" spans="1:7" ht="14.25" customHeight="1">
      <c r="A17" s="379"/>
      <c r="B17" s="388"/>
      <c r="C17" s="388"/>
      <c r="D17" s="388"/>
      <c r="E17" s="388"/>
      <c r="F17" s="388"/>
      <c r="G17" s="380"/>
    </row>
    <row r="18" spans="1:7" s="356" customFormat="1" ht="4.5" customHeight="1" thickBot="1">
      <c r="A18" s="355"/>
    </row>
    <row r="19" spans="1:7" ht="14.25" customHeight="1" thickBot="1">
      <c r="A19" s="342" t="s">
        <v>232</v>
      </c>
      <c r="B19" s="357" t="s">
        <v>229</v>
      </c>
      <c r="C19" s="343" t="s">
        <v>205</v>
      </c>
      <c r="D19" s="343" t="s">
        <v>206</v>
      </c>
      <c r="E19" s="343" t="s">
        <v>207</v>
      </c>
      <c r="F19" s="343" t="s">
        <v>212</v>
      </c>
      <c r="G19" s="343">
        <v>2018</v>
      </c>
    </row>
    <row r="20" spans="1:7" ht="14.5" thickTop="1">
      <c r="A20" s="359" t="s">
        <v>237</v>
      </c>
      <c r="B20" s="360"/>
      <c r="C20" s="361"/>
      <c r="D20" s="361"/>
      <c r="E20" s="361"/>
      <c r="F20" s="361"/>
      <c r="G20" s="361"/>
    </row>
    <row r="21" spans="1:7">
      <c r="A21" s="362" t="s">
        <v>238</v>
      </c>
      <c r="B21" s="363">
        <v>3217</v>
      </c>
      <c r="C21" s="364">
        <v>1328</v>
      </c>
      <c r="D21" s="364">
        <v>1297</v>
      </c>
      <c r="E21" s="365">
        <v>1221</v>
      </c>
      <c r="F21" s="365">
        <v>1008</v>
      </c>
      <c r="G21" s="365">
        <f>SUM(C21:F21)</f>
        <v>4854</v>
      </c>
    </row>
    <row r="22" spans="1:7">
      <c r="A22" s="366" t="s">
        <v>239</v>
      </c>
      <c r="B22" s="387">
        <v>2985</v>
      </c>
      <c r="C22" s="386">
        <v>1061</v>
      </c>
      <c r="D22" s="386">
        <v>1125</v>
      </c>
      <c r="E22" s="386">
        <v>1027</v>
      </c>
      <c r="F22" s="386">
        <v>1003</v>
      </c>
      <c r="G22" s="386">
        <f>SUM(C22:F22)</f>
        <v>4216</v>
      </c>
    </row>
    <row r="23" spans="1:7">
      <c r="A23" s="359" t="s">
        <v>240</v>
      </c>
      <c r="B23" s="367"/>
      <c r="C23" s="368"/>
      <c r="D23" s="368"/>
      <c r="E23" s="368"/>
      <c r="F23" s="368"/>
      <c r="G23" s="368"/>
    </row>
    <row r="24" spans="1:7" ht="14.25" customHeight="1">
      <c r="A24" s="362" t="s">
        <v>241</v>
      </c>
      <c r="B24" s="363">
        <v>10026</v>
      </c>
      <c r="C24" s="364">
        <v>2933</v>
      </c>
      <c r="D24" s="364">
        <v>3818</v>
      </c>
      <c r="E24" s="365">
        <v>4030</v>
      </c>
      <c r="F24" s="365">
        <v>3705</v>
      </c>
      <c r="G24" s="365">
        <f>SUM(C24:F24)</f>
        <v>14486</v>
      </c>
    </row>
    <row r="25" spans="1:7">
      <c r="A25" s="366" t="s">
        <v>242</v>
      </c>
      <c r="B25" s="387">
        <v>-8757</v>
      </c>
      <c r="C25" s="386">
        <v>-2693</v>
      </c>
      <c r="D25" s="386">
        <v>-3376</v>
      </c>
      <c r="E25" s="386">
        <v>-3516</v>
      </c>
      <c r="F25" s="386">
        <v>-3325</v>
      </c>
      <c r="G25" s="386">
        <f>SUM(C25:F25)</f>
        <v>-12910</v>
      </c>
    </row>
    <row r="26" spans="1:7" ht="14.25" customHeight="1">
      <c r="A26" s="362" t="s">
        <v>243</v>
      </c>
      <c r="B26" s="363">
        <f>B24+B25</f>
        <v>1269</v>
      </c>
      <c r="C26" s="364">
        <f>C24+C25</f>
        <v>240</v>
      </c>
      <c r="D26" s="364">
        <f>D24+D25</f>
        <v>442</v>
      </c>
      <c r="E26" s="364">
        <f>E24+E25</f>
        <v>514</v>
      </c>
      <c r="F26" s="364">
        <f>F24+F25</f>
        <v>380</v>
      </c>
      <c r="G26" s="365">
        <f>SUM(C26:F26)</f>
        <v>1576</v>
      </c>
    </row>
    <row r="27" spans="1:7" s="372" customFormat="1" ht="14.25" customHeight="1">
      <c r="A27" s="369" t="s">
        <v>244</v>
      </c>
      <c r="B27" s="370">
        <f t="shared" ref="B27:G27" si="2">B26/B24</f>
        <v>0.12657091561938957</v>
      </c>
      <c r="C27" s="371">
        <f t="shared" si="2"/>
        <v>8.1827480395499488E-2</v>
      </c>
      <c r="D27" s="371">
        <f t="shared" si="2"/>
        <v>0.11576741749607124</v>
      </c>
      <c r="E27" s="371">
        <f t="shared" si="2"/>
        <v>0.12754342431761787</v>
      </c>
      <c r="F27" s="371">
        <f t="shared" si="2"/>
        <v>0.10256410256410256</v>
      </c>
      <c r="G27" s="371">
        <f t="shared" si="2"/>
        <v>0.10879469832942151</v>
      </c>
    </row>
    <row r="28" spans="1:7" ht="14.25" customHeight="1">
      <c r="A28" s="366" t="s">
        <v>245</v>
      </c>
      <c r="B28" s="373">
        <v>1552</v>
      </c>
      <c r="C28" s="374">
        <v>239</v>
      </c>
      <c r="D28" s="374">
        <v>437</v>
      </c>
      <c r="E28" s="375">
        <v>522</v>
      </c>
      <c r="F28" s="375">
        <v>406</v>
      </c>
      <c r="G28" s="375">
        <f>SUM(C28:F28)</f>
        <v>1604</v>
      </c>
    </row>
    <row r="29" spans="1:7" s="372" customFormat="1" ht="14.25" customHeight="1" thickBot="1">
      <c r="A29" s="376" t="s">
        <v>246</v>
      </c>
      <c r="B29" s="377">
        <f t="shared" ref="B29:G29" si="3">B28/B24</f>
        <v>0.15479752643127867</v>
      </c>
      <c r="C29" s="378">
        <f t="shared" si="3"/>
        <v>8.1486532560518243E-2</v>
      </c>
      <c r="D29" s="378">
        <f t="shared" si="3"/>
        <v>0.1144578313253012</v>
      </c>
      <c r="E29" s="378">
        <f t="shared" si="3"/>
        <v>0.12952853598014888</v>
      </c>
      <c r="F29" s="378">
        <f t="shared" si="3"/>
        <v>0.10958164642375169</v>
      </c>
      <c r="G29" s="378">
        <f t="shared" si="3"/>
        <v>0.1107275990611625</v>
      </c>
    </row>
    <row r="31" spans="1:7" s="356" customFormat="1" ht="4.5" customHeight="1" thickBot="1">
      <c r="A31" s="355"/>
    </row>
    <row r="32" spans="1:7" ht="14.25" customHeight="1" thickBot="1">
      <c r="A32" s="342" t="s">
        <v>233</v>
      </c>
      <c r="B32" s="357" t="s">
        <v>229</v>
      </c>
      <c r="C32" s="343" t="s">
        <v>205</v>
      </c>
      <c r="D32" s="343" t="s">
        <v>206</v>
      </c>
      <c r="E32" s="343" t="s">
        <v>207</v>
      </c>
      <c r="F32" s="343" t="s">
        <v>212</v>
      </c>
      <c r="G32" s="343">
        <v>2018</v>
      </c>
    </row>
    <row r="33" spans="1:7" ht="14.5" thickTop="1">
      <c r="A33" s="359" t="s">
        <v>237</v>
      </c>
      <c r="B33" s="360"/>
      <c r="C33" s="361"/>
      <c r="D33" s="361"/>
      <c r="E33" s="361"/>
      <c r="F33" s="361"/>
      <c r="G33" s="361"/>
    </row>
    <row r="34" spans="1:7">
      <c r="A34" s="362" t="s">
        <v>238</v>
      </c>
      <c r="B34" s="363">
        <v>3217</v>
      </c>
      <c r="C34" s="364">
        <v>522</v>
      </c>
      <c r="D34" s="364">
        <v>568</v>
      </c>
      <c r="E34" s="365">
        <v>578</v>
      </c>
      <c r="F34" s="365">
        <v>444</v>
      </c>
      <c r="G34" s="365">
        <f>SUM(C34:F34)</f>
        <v>2112</v>
      </c>
    </row>
    <row r="35" spans="1:7">
      <c r="A35" s="366" t="s">
        <v>239</v>
      </c>
      <c r="B35" s="387">
        <v>2985</v>
      </c>
      <c r="C35" s="386">
        <v>445</v>
      </c>
      <c r="D35" s="386">
        <v>502</v>
      </c>
      <c r="E35" s="386">
        <v>494</v>
      </c>
      <c r="F35" s="386">
        <v>474</v>
      </c>
      <c r="G35" s="386">
        <f>SUM(C35:F35)</f>
        <v>1915</v>
      </c>
    </row>
    <row r="36" spans="1:7">
      <c r="A36" s="359" t="s">
        <v>240</v>
      </c>
      <c r="B36" s="367"/>
      <c r="C36" s="368"/>
      <c r="D36" s="368"/>
      <c r="E36" s="368"/>
      <c r="F36" s="368"/>
      <c r="G36" s="368"/>
    </row>
    <row r="37" spans="1:7" ht="14.25" customHeight="1">
      <c r="A37" s="362" t="s">
        <v>241</v>
      </c>
      <c r="B37" s="363">
        <v>10026</v>
      </c>
      <c r="C37" s="364">
        <v>1557</v>
      </c>
      <c r="D37" s="364">
        <v>1931</v>
      </c>
      <c r="E37" s="365">
        <v>2116</v>
      </c>
      <c r="F37" s="365">
        <v>1989</v>
      </c>
      <c r="G37" s="365">
        <f>SUM(C37:F37)</f>
        <v>7593</v>
      </c>
    </row>
    <row r="38" spans="1:7">
      <c r="A38" s="366" t="s">
        <v>242</v>
      </c>
      <c r="B38" s="387">
        <v>-8757</v>
      </c>
      <c r="C38" s="386">
        <v>-1321</v>
      </c>
      <c r="D38" s="386">
        <v>-1633</v>
      </c>
      <c r="E38" s="386">
        <v>-1819</v>
      </c>
      <c r="F38" s="386">
        <v>-1814</v>
      </c>
      <c r="G38" s="386">
        <f>SUM(C38:F38)</f>
        <v>-6587</v>
      </c>
    </row>
    <row r="39" spans="1:7" ht="14.25" customHeight="1">
      <c r="A39" s="362" t="s">
        <v>243</v>
      </c>
      <c r="B39" s="363">
        <f>B37+B38</f>
        <v>1269</v>
      </c>
      <c r="C39" s="364">
        <f>C37+C38</f>
        <v>236</v>
      </c>
      <c r="D39" s="364">
        <f>D37+D38</f>
        <v>298</v>
      </c>
      <c r="E39" s="364">
        <f>E37+E38</f>
        <v>297</v>
      </c>
      <c r="F39" s="364">
        <f>F37+F38</f>
        <v>175</v>
      </c>
      <c r="G39" s="365">
        <f>SUM(C39:F39)</f>
        <v>1006</v>
      </c>
    </row>
    <row r="40" spans="1:7" s="372" customFormat="1" ht="14.25" customHeight="1">
      <c r="A40" s="369" t="s">
        <v>244</v>
      </c>
      <c r="B40" s="370">
        <f t="shared" ref="B40:G40" si="4">B39/B37</f>
        <v>0.12657091561938957</v>
      </c>
      <c r="C40" s="371">
        <f t="shared" si="4"/>
        <v>0.15157353885677585</v>
      </c>
      <c r="D40" s="371">
        <f t="shared" si="4"/>
        <v>0.15432418436043502</v>
      </c>
      <c r="E40" s="371">
        <f t="shared" si="4"/>
        <v>0.14035916824196598</v>
      </c>
      <c r="F40" s="371">
        <f t="shared" si="4"/>
        <v>8.7983911513323285E-2</v>
      </c>
      <c r="G40" s="371">
        <f t="shared" si="4"/>
        <v>0.13249045173185828</v>
      </c>
    </row>
    <row r="41" spans="1:7" ht="14.25" customHeight="1">
      <c r="A41" s="366" t="s">
        <v>245</v>
      </c>
      <c r="B41" s="373">
        <v>1552</v>
      </c>
      <c r="C41" s="374">
        <v>283</v>
      </c>
      <c r="D41" s="374">
        <v>351</v>
      </c>
      <c r="E41" s="375">
        <v>342</v>
      </c>
      <c r="F41" s="375">
        <v>226</v>
      </c>
      <c r="G41" s="375">
        <f>SUM(C41:F41)</f>
        <v>1202</v>
      </c>
    </row>
    <row r="42" spans="1:7" s="372" customFormat="1" ht="14.25" customHeight="1" thickBot="1">
      <c r="A42" s="376" t="s">
        <v>246</v>
      </c>
      <c r="B42" s="377">
        <f t="shared" ref="B42:G42" si="5">B41/B37</f>
        <v>0.15479752643127867</v>
      </c>
      <c r="C42" s="378">
        <f t="shared" si="5"/>
        <v>0.18175979447655749</v>
      </c>
      <c r="D42" s="378">
        <f t="shared" si="5"/>
        <v>0.18177110305541169</v>
      </c>
      <c r="E42" s="378">
        <f t="shared" si="5"/>
        <v>0.16162570888468808</v>
      </c>
      <c r="F42" s="378">
        <f t="shared" si="5"/>
        <v>0.11362493715434892</v>
      </c>
      <c r="G42" s="378">
        <f t="shared" si="5"/>
        <v>0.15830370077703149</v>
      </c>
    </row>
    <row r="44" spans="1:7" s="356" customFormat="1" ht="4.5" customHeight="1" thickBot="1">
      <c r="A44" s="355"/>
    </row>
    <row r="45" spans="1:7" ht="14.25" customHeight="1" thickBot="1">
      <c r="A45" s="342" t="s">
        <v>234</v>
      </c>
      <c r="B45" s="357" t="s">
        <v>229</v>
      </c>
      <c r="C45" s="343" t="s">
        <v>205</v>
      </c>
      <c r="D45" s="343" t="s">
        <v>206</v>
      </c>
      <c r="E45" s="343" t="s">
        <v>207</v>
      </c>
      <c r="F45" s="343" t="s">
        <v>212</v>
      </c>
      <c r="G45" s="343">
        <v>2018</v>
      </c>
    </row>
    <row r="46" spans="1:7" ht="14.5" thickTop="1">
      <c r="A46" s="359" t="s">
        <v>237</v>
      </c>
      <c r="B46" s="360"/>
      <c r="C46" s="361"/>
      <c r="D46" s="361"/>
      <c r="E46" s="361"/>
      <c r="F46" s="361"/>
      <c r="G46" s="361"/>
    </row>
    <row r="47" spans="1:7">
      <c r="A47" s="362" t="s">
        <v>238</v>
      </c>
      <c r="B47" s="363">
        <v>3217</v>
      </c>
      <c r="C47" s="364">
        <v>146</v>
      </c>
      <c r="D47" s="364">
        <v>169</v>
      </c>
      <c r="E47" s="365">
        <v>142</v>
      </c>
      <c r="F47" s="365">
        <v>144</v>
      </c>
      <c r="G47" s="365">
        <f>SUM(C47:F47)</f>
        <v>601</v>
      </c>
    </row>
    <row r="48" spans="1:7">
      <c r="A48" s="366" t="s">
        <v>239</v>
      </c>
      <c r="B48" s="387">
        <v>2985</v>
      </c>
      <c r="C48" s="386">
        <v>262</v>
      </c>
      <c r="D48" s="386">
        <v>275</v>
      </c>
      <c r="E48" s="386">
        <v>284</v>
      </c>
      <c r="F48" s="386">
        <v>262</v>
      </c>
      <c r="G48" s="386">
        <f>SUM(C48:F48)</f>
        <v>1083</v>
      </c>
    </row>
    <row r="49" spans="1:7">
      <c r="A49" s="359" t="s">
        <v>240</v>
      </c>
      <c r="B49" s="367"/>
      <c r="C49" s="368"/>
      <c r="D49" s="368"/>
      <c r="E49" s="368"/>
      <c r="F49" s="368"/>
      <c r="G49" s="368"/>
    </row>
    <row r="50" spans="1:7" ht="14.25" customHeight="1">
      <c r="A50" s="362" t="s">
        <v>241</v>
      </c>
      <c r="B50" s="363">
        <v>10026</v>
      </c>
      <c r="C50" s="364">
        <v>691</v>
      </c>
      <c r="D50" s="364">
        <v>808</v>
      </c>
      <c r="E50" s="365">
        <v>907</v>
      </c>
      <c r="F50" s="365">
        <v>819</v>
      </c>
      <c r="G50" s="365">
        <f>SUM(C50:F50)</f>
        <v>3225</v>
      </c>
    </row>
    <row r="51" spans="1:7">
      <c r="A51" s="366" t="s">
        <v>242</v>
      </c>
      <c r="B51" s="387">
        <v>-8757</v>
      </c>
      <c r="C51" s="386">
        <v>-583</v>
      </c>
      <c r="D51" s="386">
        <v>-667</v>
      </c>
      <c r="E51" s="386">
        <v>-762</v>
      </c>
      <c r="F51" s="386">
        <v>-701</v>
      </c>
      <c r="G51" s="386">
        <f>SUM(C51:F51)</f>
        <v>-2713</v>
      </c>
    </row>
    <row r="52" spans="1:7" ht="14.25" customHeight="1">
      <c r="A52" s="362" t="s">
        <v>243</v>
      </c>
      <c r="B52" s="363">
        <f>B50+B51</f>
        <v>1269</v>
      </c>
      <c r="C52" s="364">
        <f>C50+C51</f>
        <v>108</v>
      </c>
      <c r="D52" s="364">
        <f>D50+D51</f>
        <v>141</v>
      </c>
      <c r="E52" s="364">
        <f>E50+E51</f>
        <v>145</v>
      </c>
      <c r="F52" s="364">
        <f>F50+F51</f>
        <v>118</v>
      </c>
      <c r="G52" s="365">
        <f>SUM(C52:F52)</f>
        <v>512</v>
      </c>
    </row>
    <row r="53" spans="1:7" s="372" customFormat="1" ht="14.25" customHeight="1">
      <c r="A53" s="369" t="s">
        <v>244</v>
      </c>
      <c r="B53" s="370">
        <f t="shared" ref="B53:G53" si="6">B52/B50</f>
        <v>0.12657091561938957</v>
      </c>
      <c r="C53" s="371">
        <f t="shared" si="6"/>
        <v>0.15629522431259044</v>
      </c>
      <c r="D53" s="371">
        <f t="shared" si="6"/>
        <v>0.17450495049504949</v>
      </c>
      <c r="E53" s="371">
        <f t="shared" si="6"/>
        <v>0.15986769570011025</v>
      </c>
      <c r="F53" s="371">
        <f t="shared" si="6"/>
        <v>0.14407814407814407</v>
      </c>
      <c r="G53" s="371">
        <f t="shared" si="6"/>
        <v>0.15875968992248063</v>
      </c>
    </row>
    <row r="54" spans="1:7" ht="14.25" customHeight="1">
      <c r="A54" s="366" t="s">
        <v>245</v>
      </c>
      <c r="B54" s="373">
        <v>1552</v>
      </c>
      <c r="C54" s="374">
        <v>154</v>
      </c>
      <c r="D54" s="374">
        <v>174</v>
      </c>
      <c r="E54" s="375">
        <v>185</v>
      </c>
      <c r="F54" s="375">
        <v>128</v>
      </c>
      <c r="G54" s="375">
        <f>SUM(C54:F54)</f>
        <v>641</v>
      </c>
    </row>
    <row r="55" spans="1:7" s="372" customFormat="1" ht="14.25" customHeight="1" thickBot="1">
      <c r="A55" s="376" t="s">
        <v>246</v>
      </c>
      <c r="B55" s="377">
        <f t="shared" ref="B55:G55" si="7">B54/B50</f>
        <v>0.15479752643127867</v>
      </c>
      <c r="C55" s="378">
        <f t="shared" si="7"/>
        <v>0.22286541244573083</v>
      </c>
      <c r="D55" s="378">
        <f t="shared" si="7"/>
        <v>0.21534653465346534</v>
      </c>
      <c r="E55" s="378">
        <f t="shared" si="7"/>
        <v>0.20396912899669239</v>
      </c>
      <c r="F55" s="378">
        <f t="shared" si="7"/>
        <v>0.15628815628815629</v>
      </c>
      <c r="G55" s="378">
        <f t="shared" si="7"/>
        <v>0.19875968992248061</v>
      </c>
    </row>
    <row r="56" spans="1:7" ht="14.5" thickBot="1"/>
    <row r="57" spans="1:7" ht="14.25" customHeight="1" thickBot="1">
      <c r="A57" s="342" t="s">
        <v>235</v>
      </c>
      <c r="B57" s="357" t="s">
        <v>229</v>
      </c>
      <c r="C57" s="343" t="s">
        <v>205</v>
      </c>
      <c r="D57" s="343" t="s">
        <v>206</v>
      </c>
      <c r="E57" s="343" t="s">
        <v>207</v>
      </c>
      <c r="F57" s="343" t="s">
        <v>212</v>
      </c>
      <c r="G57" s="343">
        <v>2018</v>
      </c>
    </row>
    <row r="58" spans="1:7" ht="14.5" thickTop="1">
      <c r="A58" s="359" t="s">
        <v>237</v>
      </c>
      <c r="B58" s="360"/>
      <c r="C58" s="361"/>
      <c r="D58" s="361"/>
      <c r="E58" s="361"/>
      <c r="F58" s="361"/>
      <c r="G58" s="361"/>
    </row>
    <row r="59" spans="1:7">
      <c r="A59" s="362" t="s">
        <v>238</v>
      </c>
      <c r="B59" s="363">
        <v>3217</v>
      </c>
      <c r="C59" s="364">
        <f>'[3]Proforma por Trimestre'!G7</f>
        <v>3527</v>
      </c>
      <c r="D59" s="364">
        <f>'[3]Proforma por Trimestre'!L7</f>
        <v>3412</v>
      </c>
      <c r="E59" s="365">
        <f>'[3]Proforma por Trimestre'!Q7</f>
        <v>3421</v>
      </c>
      <c r="F59" s="365">
        <f>'[3]Proforma por Trimestre'!V7</f>
        <v>3051</v>
      </c>
      <c r="G59" s="365">
        <f>SUM(C59:F59)</f>
        <v>13411</v>
      </c>
    </row>
    <row r="60" spans="1:7">
      <c r="A60" s="366" t="s">
        <v>239</v>
      </c>
      <c r="B60" s="387">
        <v>2985</v>
      </c>
      <c r="C60" s="386">
        <f>'[3]Proforma por Trimestre'!G8</f>
        <v>3060</v>
      </c>
      <c r="D60" s="386">
        <f>'[3]Proforma por Trimestre'!L8</f>
        <v>3117</v>
      </c>
      <c r="E60" s="386">
        <f>'[3]Proforma por Trimestre'!Q8</f>
        <v>3124</v>
      </c>
      <c r="F60" s="386">
        <f>'[3]Proforma por Trimestre'!V8</f>
        <v>2971</v>
      </c>
      <c r="G60" s="386">
        <f>SUM(C60:F60)</f>
        <v>12272</v>
      </c>
    </row>
    <row r="61" spans="1:7">
      <c r="A61" s="359" t="s">
        <v>240</v>
      </c>
      <c r="B61" s="367"/>
      <c r="C61" s="368"/>
      <c r="D61" s="368"/>
      <c r="E61" s="368"/>
      <c r="F61" s="368"/>
      <c r="G61" s="368"/>
    </row>
    <row r="62" spans="1:7">
      <c r="A62" s="362" t="s">
        <v>241</v>
      </c>
      <c r="B62" s="363">
        <v>10026</v>
      </c>
      <c r="C62" s="364">
        <f>'[3]Proforma por Trimestre'!G10</f>
        <v>8443</v>
      </c>
      <c r="D62" s="364">
        <f>'[3]Proforma por Trimestre'!L10</f>
        <v>9937</v>
      </c>
      <c r="E62" s="365">
        <f>'[3]Proforma por Trimestre'!Q10</f>
        <v>10927</v>
      </c>
      <c r="F62" s="365">
        <f>'[3]Proforma por Trimestre'!V10</f>
        <v>10270</v>
      </c>
      <c r="G62" s="365">
        <f>SUM(C62:F62)</f>
        <v>39577</v>
      </c>
    </row>
    <row r="63" spans="1:7">
      <c r="A63" s="366" t="s">
        <v>242</v>
      </c>
      <c r="B63" s="387">
        <v>-8757</v>
      </c>
      <c r="C63" s="386">
        <f>'[3]Proforma por Trimestre'!G11</f>
        <v>-7167</v>
      </c>
      <c r="D63" s="386">
        <f>'[3]Proforma por Trimestre'!L11</f>
        <v>-8397</v>
      </c>
      <c r="E63" s="386">
        <f>'[3]Proforma por Trimestre'!Q11</f>
        <v>-9177</v>
      </c>
      <c r="F63" s="386">
        <f>'[3]Proforma por Trimestre'!V11</f>
        <v>-9006</v>
      </c>
      <c r="G63" s="386">
        <f>SUM(C63:F63)</f>
        <v>-33747</v>
      </c>
    </row>
    <row r="64" spans="1:7">
      <c r="A64" s="362" t="s">
        <v>243</v>
      </c>
      <c r="B64" s="363">
        <f>B62+B63</f>
        <v>1269</v>
      </c>
      <c r="C64" s="364">
        <f>C62+C63</f>
        <v>1276</v>
      </c>
      <c r="D64" s="364">
        <f>D62+D63</f>
        <v>1540</v>
      </c>
      <c r="E64" s="364">
        <f>E62+E63</f>
        <v>1750</v>
      </c>
      <c r="F64" s="364">
        <f>F62+F63</f>
        <v>1264</v>
      </c>
      <c r="G64" s="365">
        <f>SUM(C64:F64)</f>
        <v>5830</v>
      </c>
    </row>
    <row r="65" spans="1:10">
      <c r="A65" s="369" t="s">
        <v>244</v>
      </c>
      <c r="B65" s="370">
        <f t="shared" ref="B65:G65" si="8">B64/B62</f>
        <v>0.12657091561938957</v>
      </c>
      <c r="C65" s="371">
        <f t="shared" si="8"/>
        <v>0.15113111453274902</v>
      </c>
      <c r="D65" s="371">
        <f t="shared" si="8"/>
        <v>0.15497635101137164</v>
      </c>
      <c r="E65" s="371">
        <f t="shared" si="8"/>
        <v>0.1601537475976938</v>
      </c>
      <c r="F65" s="371">
        <f t="shared" si="8"/>
        <v>0.12307692307692308</v>
      </c>
      <c r="G65" s="371">
        <f t="shared" si="8"/>
        <v>0.14730777977107917</v>
      </c>
    </row>
    <row r="66" spans="1:10">
      <c r="A66" s="366" t="s">
        <v>245</v>
      </c>
      <c r="B66" s="373">
        <v>1552</v>
      </c>
      <c r="C66" s="374">
        <f>'[3]Proforma por Trimestre'!G18</f>
        <v>1410</v>
      </c>
      <c r="D66" s="374">
        <f>'[3]Proforma por Trimestre'!L18</f>
        <v>1657</v>
      </c>
      <c r="E66" s="375">
        <f>'[3]Proforma por Trimestre'!Q18</f>
        <v>1899</v>
      </c>
      <c r="F66" s="375">
        <f>'[3]Proforma por Trimestre'!V18</f>
        <v>1373</v>
      </c>
      <c r="G66" s="375">
        <f>SUM(C66:F66)</f>
        <v>6339</v>
      </c>
    </row>
    <row r="67" spans="1:10" ht="14.5" thickBot="1">
      <c r="A67" s="376" t="s">
        <v>246</v>
      </c>
      <c r="B67" s="377">
        <f t="shared" ref="B67:G67" si="9">B66/B62</f>
        <v>0.15479752643127867</v>
      </c>
      <c r="C67" s="378">
        <f t="shared" si="9"/>
        <v>0.16700225038493427</v>
      </c>
      <c r="D67" s="378">
        <f t="shared" si="9"/>
        <v>0.16675052832846934</v>
      </c>
      <c r="E67" s="378">
        <f t="shared" si="9"/>
        <v>0.17378969525029742</v>
      </c>
      <c r="F67" s="378">
        <f t="shared" si="9"/>
        <v>0.13369036027263875</v>
      </c>
      <c r="G67" s="378">
        <f t="shared" si="9"/>
        <v>0.16016878490032088</v>
      </c>
    </row>
    <row r="68" spans="1:10" ht="14.5" thickBot="1"/>
    <row r="69" spans="1:10" ht="14.25" customHeight="1" thickBot="1">
      <c r="A69" s="342" t="s">
        <v>236</v>
      </c>
      <c r="B69" s="357" t="s">
        <v>229</v>
      </c>
      <c r="C69" s="343" t="s">
        <v>205</v>
      </c>
      <c r="D69" s="343" t="s">
        <v>206</v>
      </c>
      <c r="E69" s="343" t="s">
        <v>207</v>
      </c>
      <c r="F69" s="343" t="s">
        <v>212</v>
      </c>
      <c r="G69" s="343">
        <v>2018</v>
      </c>
    </row>
    <row r="70" spans="1:10" ht="14.5" thickTop="1">
      <c r="A70" s="359" t="s">
        <v>237</v>
      </c>
      <c r="B70" s="360"/>
      <c r="C70" s="361"/>
      <c r="D70" s="361"/>
      <c r="E70" s="361"/>
      <c r="F70" s="361"/>
      <c r="G70" s="361"/>
    </row>
    <row r="71" spans="1:10">
      <c r="A71" s="362" t="s">
        <v>238</v>
      </c>
      <c r="B71" s="363">
        <v>3217</v>
      </c>
      <c r="C71" s="364">
        <f>'[3]Proforma por Trimestre'!E7</f>
        <v>638</v>
      </c>
      <c r="D71" s="364">
        <f>'[3]Proforma por Trimestre'!J7</f>
        <v>575</v>
      </c>
      <c r="E71" s="365">
        <f>'[3]Proforma por Trimestre'!O7</f>
        <v>548</v>
      </c>
      <c r="F71" s="365">
        <f>'[3]Proforma por Trimestre'!T7</f>
        <v>170</v>
      </c>
      <c r="G71" s="365">
        <f>SUM(C71:F71)</f>
        <v>1931</v>
      </c>
      <c r="J71" s="381"/>
    </row>
    <row r="72" spans="1:10">
      <c r="A72" s="366" t="s">
        <v>239</v>
      </c>
      <c r="B72" s="387">
        <v>2985</v>
      </c>
      <c r="C72" s="386">
        <f>'[3]Proforma por Trimestre'!E8</f>
        <v>811</v>
      </c>
      <c r="D72" s="386">
        <f>'[3]Proforma por Trimestre'!J8</f>
        <v>718</v>
      </c>
      <c r="E72" s="386">
        <f>'[3]Proforma por Trimestre'!O8</f>
        <v>564</v>
      </c>
      <c r="F72" s="386">
        <f>'[3]Proforma por Trimestre'!T8</f>
        <v>196</v>
      </c>
      <c r="G72" s="386">
        <f>SUM(C72:F72)</f>
        <v>2289</v>
      </c>
      <c r="J72" s="381"/>
    </row>
    <row r="73" spans="1:10">
      <c r="A73" s="359" t="s">
        <v>240</v>
      </c>
      <c r="B73" s="367"/>
      <c r="C73" s="368"/>
      <c r="D73" s="368"/>
      <c r="E73" s="368"/>
      <c r="F73" s="368"/>
      <c r="G73" s="368"/>
      <c r="J73" s="381"/>
    </row>
    <row r="74" spans="1:10">
      <c r="A74" s="362" t="s">
        <v>241</v>
      </c>
      <c r="B74" s="363">
        <v>10026</v>
      </c>
      <c r="C74" s="364">
        <f>'[3]Proforma por Trimestre'!E10</f>
        <v>1946</v>
      </c>
      <c r="D74" s="364">
        <f>'[3]Proforma por Trimestre'!J10</f>
        <v>2097</v>
      </c>
      <c r="E74" s="365">
        <f>'[3]Proforma por Trimestre'!O10</f>
        <v>1909</v>
      </c>
      <c r="F74" s="365">
        <f>'[3]Proforma por Trimestre'!T10</f>
        <v>630</v>
      </c>
      <c r="G74" s="365">
        <f>SUM(C74:F74)</f>
        <v>6582</v>
      </c>
      <c r="J74" s="381"/>
    </row>
    <row r="75" spans="1:10">
      <c r="A75" s="366" t="s">
        <v>242</v>
      </c>
      <c r="B75" s="387">
        <v>-8757</v>
      </c>
      <c r="C75" s="386">
        <f>'[3]Proforma por Trimestre'!E11</f>
        <v>-1883</v>
      </c>
      <c r="D75" s="386">
        <f>'[3]Proforma por Trimestre'!J11</f>
        <v>-1993</v>
      </c>
      <c r="E75" s="386">
        <f>'[3]Proforma por Trimestre'!O11</f>
        <v>-1797</v>
      </c>
      <c r="F75" s="386">
        <f>'[3]Proforma por Trimestre'!T11</f>
        <v>-590</v>
      </c>
      <c r="G75" s="386">
        <f>SUM(C75:F75)</f>
        <v>-6263</v>
      </c>
      <c r="J75" s="381"/>
    </row>
    <row r="76" spans="1:10">
      <c r="A76" s="362" t="s">
        <v>243</v>
      </c>
      <c r="B76" s="363">
        <f>B74+B75</f>
        <v>1269</v>
      </c>
      <c r="C76" s="364">
        <f>C74+C75</f>
        <v>63</v>
      </c>
      <c r="D76" s="364">
        <f>D74+D75</f>
        <v>104</v>
      </c>
      <c r="E76" s="364">
        <f>E74+E75</f>
        <v>112</v>
      </c>
      <c r="F76" s="364">
        <f>F74+F75</f>
        <v>40</v>
      </c>
      <c r="G76" s="365">
        <f>SUM(C76:F76)</f>
        <v>319</v>
      </c>
      <c r="J76" s="381"/>
    </row>
    <row r="77" spans="1:10">
      <c r="A77" s="369" t="s">
        <v>244</v>
      </c>
      <c r="B77" s="370">
        <f>B76/B74</f>
        <v>0.12657091561938957</v>
      </c>
      <c r="C77" s="371"/>
      <c r="D77" s="371"/>
      <c r="E77" s="371"/>
      <c r="F77" s="371"/>
      <c r="G77" s="371"/>
      <c r="J77" s="381"/>
    </row>
    <row r="78" spans="1:10" s="382" customFormat="1">
      <c r="A78" s="366" t="s">
        <v>245</v>
      </c>
      <c r="B78" s="373">
        <v>1552</v>
      </c>
      <c r="C78" s="374">
        <f>'[3]Proforma por Trimestre'!E18</f>
        <v>74</v>
      </c>
      <c r="D78" s="374">
        <f>'[3]Proforma por Trimestre'!J18</f>
        <v>99</v>
      </c>
      <c r="E78" s="375">
        <f>'[3]Proforma por Trimestre'!O18</f>
        <v>114</v>
      </c>
      <c r="F78" s="375">
        <f>'[3]Proforma por Trimestre'!T18</f>
        <v>31</v>
      </c>
      <c r="G78" s="375">
        <f>SUM(C78:F78)</f>
        <v>318</v>
      </c>
      <c r="J78" s="383"/>
    </row>
    <row r="79" spans="1:10" s="382" customFormat="1" ht="14.5" thickBot="1">
      <c r="A79" s="376" t="s">
        <v>246</v>
      </c>
      <c r="B79" s="377">
        <f>B78/B74</f>
        <v>0.15479752643127867</v>
      </c>
      <c r="C79" s="378"/>
      <c r="D79" s="378"/>
      <c r="E79" s="378"/>
      <c r="F79" s="378"/>
      <c r="G79" s="378"/>
    </row>
    <row r="80" spans="1:10" ht="14.5" thickBot="1"/>
    <row r="81" spans="1:7" ht="14.25" customHeight="1" thickBot="1">
      <c r="A81" s="342" t="s">
        <v>178</v>
      </c>
      <c r="B81" s="357" t="s">
        <v>229</v>
      </c>
      <c r="C81" s="343" t="s">
        <v>205</v>
      </c>
      <c r="D81" s="343" t="s">
        <v>206</v>
      </c>
      <c r="E81" s="343" t="s">
        <v>207</v>
      </c>
      <c r="F81" s="343" t="s">
        <v>212</v>
      </c>
      <c r="G81" s="343">
        <v>2018</v>
      </c>
    </row>
    <row r="82" spans="1:7" ht="14.5" thickTop="1">
      <c r="A82" s="359" t="s">
        <v>237</v>
      </c>
      <c r="B82" s="360"/>
      <c r="C82" s="361"/>
      <c r="D82" s="361"/>
      <c r="E82" s="361"/>
      <c r="F82" s="361"/>
      <c r="G82" s="361"/>
    </row>
    <row r="83" spans="1:7">
      <c r="A83" s="362" t="s">
        <v>238</v>
      </c>
      <c r="B83" s="363">
        <v>3217</v>
      </c>
      <c r="C83" s="364">
        <f>'[3]Proforma por Trimestre'!D7</f>
        <v>4165</v>
      </c>
      <c r="D83" s="364">
        <f>'[3]Proforma por Trimestre'!I7</f>
        <v>3987</v>
      </c>
      <c r="E83" s="365">
        <f>'[3]Proforma por Trimestre'!N7</f>
        <v>3969</v>
      </c>
      <c r="F83" s="365">
        <f>'[3]Proforma por Trimestre'!S7</f>
        <v>3221</v>
      </c>
      <c r="G83" s="365">
        <f>SUM(C83:F83)</f>
        <v>15342</v>
      </c>
    </row>
    <row r="84" spans="1:7">
      <c r="A84" s="366" t="s">
        <v>239</v>
      </c>
      <c r="B84" s="387">
        <v>2985</v>
      </c>
      <c r="C84" s="386">
        <f>'[3]Proforma por Trimestre'!D8</f>
        <v>3871</v>
      </c>
      <c r="D84" s="386">
        <f>'[3]Proforma por Trimestre'!I8</f>
        <v>3835</v>
      </c>
      <c r="E84" s="386">
        <f>'[3]Proforma por Trimestre'!N8</f>
        <v>3688</v>
      </c>
      <c r="F84" s="386">
        <f>'[3]Proforma por Trimestre'!S8</f>
        <v>3167</v>
      </c>
      <c r="G84" s="386">
        <f>SUM(C84:F84)</f>
        <v>14561</v>
      </c>
    </row>
    <row r="85" spans="1:7">
      <c r="A85" s="359" t="s">
        <v>240</v>
      </c>
      <c r="B85" s="367"/>
      <c r="C85" s="368"/>
      <c r="D85" s="368"/>
      <c r="E85" s="368"/>
      <c r="F85" s="368"/>
      <c r="G85" s="368"/>
    </row>
    <row r="86" spans="1:7">
      <c r="A86" s="362" t="s">
        <v>241</v>
      </c>
      <c r="B86" s="363">
        <v>10026</v>
      </c>
      <c r="C86" s="364">
        <f>'[3]Proforma por Trimestre'!D10</f>
        <v>10389</v>
      </c>
      <c r="D86" s="364">
        <f>'[3]Proforma por Trimestre'!I10</f>
        <v>12034</v>
      </c>
      <c r="E86" s="365">
        <f>'[3]Proforma por Trimestre'!N10</f>
        <v>12836</v>
      </c>
      <c r="F86" s="365">
        <f>'[3]Proforma por Trimestre'!S10</f>
        <v>10900</v>
      </c>
      <c r="G86" s="365">
        <f>SUM(C86:F86)</f>
        <v>46159</v>
      </c>
    </row>
    <row r="87" spans="1:7">
      <c r="A87" s="366" t="s">
        <v>242</v>
      </c>
      <c r="B87" s="387">
        <v>-8757</v>
      </c>
      <c r="C87" s="386">
        <f>'[3]Proforma por Trimestre'!D11</f>
        <v>-9050</v>
      </c>
      <c r="D87" s="386">
        <f>'[3]Proforma por Trimestre'!I11</f>
        <v>-10390</v>
      </c>
      <c r="E87" s="386">
        <f>'[3]Proforma por Trimestre'!N11</f>
        <v>-10974</v>
      </c>
      <c r="F87" s="386">
        <f>'[3]Proforma por Trimestre'!S11</f>
        <v>-9596</v>
      </c>
      <c r="G87" s="386">
        <f>SUM(C87:F87)</f>
        <v>-40010</v>
      </c>
    </row>
    <row r="88" spans="1:7">
      <c r="A88" s="362" t="s">
        <v>243</v>
      </c>
      <c r="B88" s="363">
        <f>B86+B87</f>
        <v>1269</v>
      </c>
      <c r="C88" s="364">
        <f>C86+C87</f>
        <v>1339</v>
      </c>
      <c r="D88" s="364">
        <f>D86+D87</f>
        <v>1644</v>
      </c>
      <c r="E88" s="364">
        <f>E86+E87</f>
        <v>1862</v>
      </c>
      <c r="F88" s="364">
        <f>F86+F87</f>
        <v>1304</v>
      </c>
      <c r="G88" s="365">
        <f>SUM(C88:F88)</f>
        <v>6149</v>
      </c>
    </row>
    <row r="89" spans="1:7">
      <c r="A89" s="369" t="s">
        <v>244</v>
      </c>
      <c r="B89" s="370">
        <f t="shared" ref="B89:G89" si="10">B88/B86</f>
        <v>0.12657091561938957</v>
      </c>
      <c r="C89" s="371">
        <f t="shared" si="10"/>
        <v>0.1288863220714217</v>
      </c>
      <c r="D89" s="371">
        <f t="shared" si="10"/>
        <v>0.13661293003157721</v>
      </c>
      <c r="E89" s="371">
        <f t="shared" si="10"/>
        <v>0.1450607665939545</v>
      </c>
      <c r="F89" s="371">
        <f t="shared" si="10"/>
        <v>0.11963302752293578</v>
      </c>
      <c r="G89" s="371">
        <f t="shared" si="10"/>
        <v>0.13321345783054225</v>
      </c>
    </row>
    <row r="90" spans="1:7">
      <c r="A90" s="366" t="s">
        <v>245</v>
      </c>
      <c r="B90" s="373">
        <v>1552</v>
      </c>
      <c r="C90" s="374">
        <f>'[3]Proforma por Trimestre'!D18</f>
        <v>1484</v>
      </c>
      <c r="D90" s="374">
        <f>'[3]Proforma por Trimestre'!I18</f>
        <v>1756</v>
      </c>
      <c r="E90" s="375">
        <f>'[3]Proforma por Trimestre'!N18</f>
        <v>2013</v>
      </c>
      <c r="F90" s="375">
        <f>'[3]Proforma por Trimestre'!S18</f>
        <v>1404</v>
      </c>
      <c r="G90" s="375">
        <f>SUM(C90:F90)</f>
        <v>6657</v>
      </c>
    </row>
    <row r="91" spans="1:7" ht="14.5" thickBot="1">
      <c r="A91" s="376" t="s">
        <v>246</v>
      </c>
      <c r="B91" s="377">
        <f t="shared" ref="B91:G91" si="11">B90/B86</f>
        <v>0.15479752643127867</v>
      </c>
      <c r="C91" s="378">
        <f t="shared" si="11"/>
        <v>0.1428433920492829</v>
      </c>
      <c r="D91" s="378">
        <f t="shared" si="11"/>
        <v>0.14591989363470168</v>
      </c>
      <c r="E91" s="378">
        <f t="shared" si="11"/>
        <v>0.1568245559364288</v>
      </c>
      <c r="F91" s="378">
        <f t="shared" si="11"/>
        <v>0.12880733944954129</v>
      </c>
      <c r="G91" s="378">
        <f t="shared" si="11"/>
        <v>0.14421889555666284</v>
      </c>
    </row>
    <row r="96" spans="1:7">
      <c r="A96" s="384"/>
    </row>
    <row r="97" spans="1:1" ht="15.5">
      <c r="A97" s="385"/>
    </row>
  </sheetData>
  <mergeCells count="1">
    <mergeCell ref="A1:G1"/>
  </mergeCells>
  <pageMargins left="0.511811024" right="0.511811024" top="0.78740157499999996" bottom="0.78740157499999996" header="0.31496062000000002" footer="0.31496062000000002"/>
  <pageSetup paperSize="9" orientation="portrait" r:id="rId1"/>
  <ignoredErrors>
    <ignoredError sqref="G8:G13 G47:G52 G54 G34:G39 G41 G21:G26 G28 G15:G16" formulaRange="1"/>
    <ignoredError sqref="G89 G65" formula="1"/>
    <ignoredError sqref="G53 G40 G27 G14"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Z107"/>
  <sheetViews>
    <sheetView showGridLines="0" zoomScale="80" zoomScaleNormal="80" workbookViewId="0">
      <selection activeCell="Z57" sqref="Z57:Z107"/>
    </sheetView>
  </sheetViews>
  <sheetFormatPr defaultColWidth="9.1796875" defaultRowHeight="14"/>
  <cols>
    <col min="1" max="1" width="24.26953125" style="504" customWidth="1"/>
    <col min="2" max="2" width="23.26953125" style="504" bestFit="1" customWidth="1"/>
    <col min="3" max="3" width="5" style="504" bestFit="1" customWidth="1"/>
    <col min="4" max="4" width="14.453125" style="504" bestFit="1" customWidth="1"/>
    <col min="5" max="6" width="9.453125" style="504" customWidth="1"/>
    <col min="7" max="7" width="9.453125" style="504" hidden="1" customWidth="1"/>
    <col min="8" max="15" width="0" style="504" hidden="1" customWidth="1"/>
    <col min="16" max="16384" width="9.1796875" style="504"/>
  </cols>
  <sheetData>
    <row r="1" spans="1:26" s="497" customFormat="1">
      <c r="A1" s="631" t="s">
        <v>230</v>
      </c>
      <c r="B1" s="631"/>
      <c r="C1" s="631"/>
      <c r="D1" s="631"/>
      <c r="E1" s="631"/>
      <c r="F1" s="631"/>
      <c r="G1" s="631"/>
    </row>
    <row r="2" spans="1:26" s="497" customFormat="1">
      <c r="A2" s="498"/>
      <c r="B2" s="498"/>
      <c r="C2" s="498"/>
      <c r="D2" s="498"/>
      <c r="E2" s="498"/>
      <c r="F2" s="498"/>
      <c r="G2" s="498"/>
    </row>
    <row r="3" spans="1:26" s="497" customFormat="1">
      <c r="A3" s="498"/>
      <c r="B3" s="498"/>
      <c r="C3" s="498"/>
      <c r="D3" s="498"/>
      <c r="E3" s="498"/>
      <c r="F3" s="498"/>
      <c r="G3" s="498"/>
    </row>
    <row r="4" spans="1:26" s="497" customFormat="1">
      <c r="A4" s="498"/>
      <c r="B4" s="498"/>
      <c r="C4" s="498"/>
      <c r="D4" s="498"/>
      <c r="E4" s="498"/>
      <c r="F4" s="498"/>
      <c r="G4" s="498"/>
    </row>
    <row r="5" spans="1:26" s="500" customFormat="1" ht="4.5" customHeight="1">
      <c r="A5" s="499"/>
      <c r="S5" s="497"/>
    </row>
    <row r="6" spans="1:26" ht="14.5" customHeight="1">
      <c r="A6" s="501"/>
      <c r="B6" s="502"/>
      <c r="C6" s="502"/>
      <c r="D6" s="502"/>
      <c r="E6" s="502"/>
      <c r="F6" s="502"/>
      <c r="G6" s="503"/>
      <c r="S6" s="500"/>
    </row>
    <row r="7" spans="1:26" s="500" customFormat="1" ht="4.5" customHeight="1">
      <c r="A7" s="499"/>
      <c r="S7" s="504"/>
    </row>
    <row r="8" spans="1:26" ht="19" customHeight="1">
      <c r="A8" s="505" t="s">
        <v>376</v>
      </c>
      <c r="S8" s="500"/>
    </row>
    <row r="9" spans="1:26" ht="14.25" customHeight="1" thickBot="1">
      <c r="A9" s="342" t="s">
        <v>262</v>
      </c>
      <c r="B9" s="506" t="s">
        <v>263</v>
      </c>
      <c r="C9" s="343" t="s">
        <v>264</v>
      </c>
      <c r="D9" s="343" t="s">
        <v>265</v>
      </c>
      <c r="E9" s="343" t="s">
        <v>266</v>
      </c>
      <c r="F9" s="343" t="s">
        <v>267</v>
      </c>
      <c r="G9" s="343">
        <v>2001</v>
      </c>
      <c r="H9" s="343">
        <v>2002</v>
      </c>
      <c r="I9" s="343">
        <v>2003</v>
      </c>
      <c r="J9" s="343">
        <v>2004</v>
      </c>
      <c r="K9" s="343">
        <v>2005</v>
      </c>
      <c r="L9" s="343">
        <v>2006</v>
      </c>
      <c r="M9" s="343">
        <v>2007</v>
      </c>
      <c r="N9" s="343">
        <v>2008</v>
      </c>
      <c r="O9" s="343">
        <v>2009</v>
      </c>
      <c r="P9" s="343">
        <v>2010</v>
      </c>
      <c r="Q9" s="343">
        <v>2011</v>
      </c>
      <c r="R9" s="343">
        <v>2012</v>
      </c>
      <c r="S9" s="343">
        <v>2013</v>
      </c>
      <c r="T9" s="343">
        <v>2014</v>
      </c>
      <c r="U9" s="343">
        <v>2015</v>
      </c>
      <c r="V9" s="343">
        <v>2016</v>
      </c>
      <c r="W9" s="343">
        <v>2017</v>
      </c>
      <c r="X9" s="343">
        <v>2018</v>
      </c>
      <c r="Y9" s="343">
        <v>2019</v>
      </c>
      <c r="Z9" s="343">
        <v>2020</v>
      </c>
    </row>
    <row r="10" spans="1:26" ht="15" thickTop="1">
      <c r="A10" s="507" t="s">
        <v>268</v>
      </c>
      <c r="B10" s="508" t="s">
        <v>269</v>
      </c>
      <c r="C10" s="508" t="s">
        <v>270</v>
      </c>
      <c r="D10" s="508" t="s">
        <v>271</v>
      </c>
      <c r="E10" s="509">
        <v>-20.541945999999999</v>
      </c>
      <c r="F10" s="509">
        <v>-43.742612999999999</v>
      </c>
      <c r="G10" s="507">
        <v>0</v>
      </c>
      <c r="H10" s="507">
        <v>3000</v>
      </c>
      <c r="I10" s="507">
        <v>3000</v>
      </c>
      <c r="J10" s="507">
        <v>3000</v>
      </c>
      <c r="K10" s="507">
        <v>3000</v>
      </c>
      <c r="L10" s="507">
        <v>3000</v>
      </c>
      <c r="M10" s="507">
        <v>4500</v>
      </c>
      <c r="N10" s="507">
        <v>4500</v>
      </c>
      <c r="O10" s="507">
        <v>4500</v>
      </c>
      <c r="P10" s="507">
        <v>4500</v>
      </c>
      <c r="Q10" s="507">
        <v>4500</v>
      </c>
      <c r="R10" s="507">
        <v>4500</v>
      </c>
      <c r="S10" s="507">
        <v>4500</v>
      </c>
      <c r="T10" s="507">
        <v>4500</v>
      </c>
      <c r="U10" s="507">
        <v>4500</v>
      </c>
      <c r="V10" s="507">
        <v>4500</v>
      </c>
      <c r="W10" s="507">
        <v>4500</v>
      </c>
      <c r="X10" s="507">
        <v>4500</v>
      </c>
      <c r="Y10" s="507">
        <v>4500</v>
      </c>
      <c r="Z10" s="507">
        <v>3850</v>
      </c>
    </row>
    <row r="11" spans="1:26" ht="14.5">
      <c r="A11" s="508" t="s">
        <v>272</v>
      </c>
      <c r="B11" s="508" t="s">
        <v>269</v>
      </c>
      <c r="C11" s="508" t="s">
        <v>273</v>
      </c>
      <c r="D11" s="508" t="s">
        <v>271</v>
      </c>
      <c r="E11" s="510">
        <v>-23.438216000000001</v>
      </c>
      <c r="F11" s="509">
        <v>-47.088388999999999</v>
      </c>
      <c r="G11" s="508">
        <v>0</v>
      </c>
      <c r="H11" s="508">
        <v>0</v>
      </c>
      <c r="I11" s="508">
        <v>0</v>
      </c>
      <c r="J11" s="508">
        <v>0</v>
      </c>
      <c r="K11" s="508">
        <v>900</v>
      </c>
      <c r="L11" s="508">
        <v>900</v>
      </c>
      <c r="M11" s="508">
        <v>900</v>
      </c>
      <c r="N11" s="508">
        <v>900</v>
      </c>
      <c r="O11" s="508">
        <v>900</v>
      </c>
      <c r="P11" s="508">
        <v>820</v>
      </c>
      <c r="Q11" s="508">
        <v>820</v>
      </c>
      <c r="R11" s="508">
        <v>820</v>
      </c>
      <c r="S11" s="508">
        <v>820</v>
      </c>
      <c r="T11" s="508">
        <v>820</v>
      </c>
      <c r="U11" s="508">
        <v>820</v>
      </c>
      <c r="V11" s="508">
        <v>950</v>
      </c>
      <c r="W11" s="508">
        <v>950</v>
      </c>
      <c r="X11" s="508">
        <v>950</v>
      </c>
      <c r="Y11" s="508">
        <v>950</v>
      </c>
      <c r="Z11" s="508">
        <v>950</v>
      </c>
    </row>
    <row r="12" spans="1:26" ht="14.5">
      <c r="A12" s="508" t="s">
        <v>274</v>
      </c>
      <c r="B12" s="508" t="s">
        <v>269</v>
      </c>
      <c r="C12" s="508" t="s">
        <v>273</v>
      </c>
      <c r="D12" s="508" t="s">
        <v>271</v>
      </c>
      <c r="E12" s="511">
        <v>-22.886655000000001</v>
      </c>
      <c r="F12" s="512">
        <v>-43.751722000000001</v>
      </c>
      <c r="G12" s="508">
        <v>1404</v>
      </c>
      <c r="H12" s="508">
        <v>1404</v>
      </c>
      <c r="I12" s="508">
        <v>1400</v>
      </c>
      <c r="J12" s="508">
        <v>1400</v>
      </c>
      <c r="K12" s="508">
        <v>1400</v>
      </c>
      <c r="L12" s="508">
        <v>1600</v>
      </c>
      <c r="M12" s="508">
        <v>1600</v>
      </c>
      <c r="N12" s="508">
        <v>900</v>
      </c>
      <c r="O12" s="508">
        <v>900</v>
      </c>
      <c r="P12" s="508">
        <v>930</v>
      </c>
      <c r="Q12" s="508">
        <v>930</v>
      </c>
      <c r="R12" s="508">
        <v>930</v>
      </c>
      <c r="S12" s="508">
        <v>932</v>
      </c>
      <c r="T12" s="508">
        <v>932</v>
      </c>
      <c r="U12" s="508">
        <v>932</v>
      </c>
      <c r="V12" s="508">
        <v>932</v>
      </c>
      <c r="W12" s="508">
        <v>932</v>
      </c>
      <c r="X12" s="508">
        <v>932</v>
      </c>
      <c r="Y12" s="508">
        <v>932</v>
      </c>
      <c r="Z12" s="508">
        <v>936</v>
      </c>
    </row>
    <row r="13" spans="1:26" ht="14.25" customHeight="1">
      <c r="A13" s="508" t="s">
        <v>275</v>
      </c>
      <c r="B13" s="508" t="s">
        <v>269</v>
      </c>
      <c r="C13" s="508" t="s">
        <v>270</v>
      </c>
      <c r="D13" s="508" t="s">
        <v>271</v>
      </c>
      <c r="E13" s="511">
        <v>-20.153541000000001</v>
      </c>
      <c r="F13" s="512">
        <v>-44.875486000000002</v>
      </c>
      <c r="G13" s="508">
        <v>500</v>
      </c>
      <c r="H13" s="508">
        <v>600</v>
      </c>
      <c r="I13" s="508">
        <v>600</v>
      </c>
      <c r="J13" s="508">
        <v>600</v>
      </c>
      <c r="K13" s="508">
        <v>600</v>
      </c>
      <c r="L13" s="508">
        <v>600</v>
      </c>
      <c r="M13" s="508">
        <v>600</v>
      </c>
      <c r="N13" s="508">
        <v>600</v>
      </c>
      <c r="O13" s="508">
        <v>600</v>
      </c>
      <c r="P13" s="508">
        <v>580</v>
      </c>
      <c r="Q13" s="508">
        <v>580</v>
      </c>
      <c r="R13" s="508">
        <v>580</v>
      </c>
      <c r="S13" s="508">
        <v>570</v>
      </c>
      <c r="T13" s="508">
        <v>570</v>
      </c>
      <c r="U13" s="508">
        <v>570</v>
      </c>
      <c r="V13" s="508">
        <v>570</v>
      </c>
      <c r="W13" s="508">
        <v>570</v>
      </c>
      <c r="X13" s="508">
        <v>570</v>
      </c>
      <c r="Y13" s="508">
        <v>570</v>
      </c>
      <c r="Z13" s="508">
        <v>600</v>
      </c>
    </row>
    <row r="14" spans="1:26" ht="14.5">
      <c r="A14" s="508" t="s">
        <v>276</v>
      </c>
      <c r="B14" s="508" t="s">
        <v>269</v>
      </c>
      <c r="C14" s="508" t="s">
        <v>273</v>
      </c>
      <c r="D14" s="508" t="s">
        <v>271</v>
      </c>
      <c r="E14" s="511">
        <v>-29.808160999999998</v>
      </c>
      <c r="F14" s="512">
        <v>-51.174163999999998</v>
      </c>
      <c r="G14" s="508">
        <v>390</v>
      </c>
      <c r="H14" s="508">
        <v>390</v>
      </c>
      <c r="I14" s="508">
        <v>440</v>
      </c>
      <c r="J14" s="508">
        <v>440</v>
      </c>
      <c r="K14" s="508">
        <v>440</v>
      </c>
      <c r="L14" s="508">
        <v>450</v>
      </c>
      <c r="M14" s="508">
        <v>480</v>
      </c>
      <c r="N14" s="508">
        <v>440</v>
      </c>
      <c r="O14" s="508">
        <v>440</v>
      </c>
      <c r="P14" s="508">
        <v>450</v>
      </c>
      <c r="Q14" s="508">
        <v>450</v>
      </c>
      <c r="R14" s="508">
        <v>450</v>
      </c>
      <c r="S14" s="508">
        <v>450</v>
      </c>
      <c r="T14" s="508">
        <v>450</v>
      </c>
      <c r="U14" s="508">
        <v>450</v>
      </c>
      <c r="V14" s="508">
        <v>450</v>
      </c>
      <c r="W14" s="508">
        <v>450</v>
      </c>
      <c r="X14" s="508">
        <v>450</v>
      </c>
      <c r="Y14" s="508">
        <v>450</v>
      </c>
      <c r="Z14" s="508">
        <v>450</v>
      </c>
    </row>
    <row r="15" spans="1:26" ht="14.25" customHeight="1">
      <c r="A15" s="508" t="s">
        <v>277</v>
      </c>
      <c r="B15" s="508" t="s">
        <v>269</v>
      </c>
      <c r="C15" s="508" t="s">
        <v>270</v>
      </c>
      <c r="D15" s="508" t="s">
        <v>271</v>
      </c>
      <c r="E15" s="511">
        <v>-19.936737000000001</v>
      </c>
      <c r="F15" s="512">
        <v>-43.477446</v>
      </c>
      <c r="G15" s="508">
        <v>330</v>
      </c>
      <c r="H15" s="508">
        <v>330</v>
      </c>
      <c r="I15" s="508">
        <v>350</v>
      </c>
      <c r="J15" s="508">
        <v>350</v>
      </c>
      <c r="K15" s="508">
        <v>350</v>
      </c>
      <c r="L15" s="508">
        <v>350</v>
      </c>
      <c r="M15" s="508">
        <v>350</v>
      </c>
      <c r="N15" s="508">
        <v>350</v>
      </c>
      <c r="O15" s="508">
        <v>350</v>
      </c>
      <c r="P15" s="508">
        <v>330</v>
      </c>
      <c r="Q15" s="508">
        <v>330</v>
      </c>
      <c r="R15" s="508">
        <v>330</v>
      </c>
      <c r="S15" s="508">
        <v>330</v>
      </c>
      <c r="T15" s="508">
        <v>330</v>
      </c>
      <c r="U15" s="508">
        <v>330</v>
      </c>
      <c r="V15" s="508">
        <v>330</v>
      </c>
      <c r="W15" s="508">
        <v>330</v>
      </c>
      <c r="X15" s="508">
        <v>330</v>
      </c>
      <c r="Y15" s="508">
        <v>330</v>
      </c>
      <c r="Z15" s="508">
        <v>330</v>
      </c>
    </row>
    <row r="16" spans="1:26" s="513" customFormat="1" ht="14.25" customHeight="1">
      <c r="A16" s="508" t="s">
        <v>278</v>
      </c>
      <c r="B16" s="508" t="s">
        <v>269</v>
      </c>
      <c r="C16" s="508" t="s">
        <v>273</v>
      </c>
      <c r="D16" s="508" t="s">
        <v>271</v>
      </c>
      <c r="E16" s="511">
        <v>-8.0745260000000005</v>
      </c>
      <c r="F16" s="512">
        <v>-34.975701000000001</v>
      </c>
      <c r="G16" s="508">
        <v>230</v>
      </c>
      <c r="H16" s="508">
        <v>230</v>
      </c>
      <c r="I16" s="508">
        <v>250</v>
      </c>
      <c r="J16" s="508">
        <v>250</v>
      </c>
      <c r="K16" s="508">
        <v>280</v>
      </c>
      <c r="L16" s="508">
        <v>280</v>
      </c>
      <c r="M16" s="508">
        <v>300</v>
      </c>
      <c r="N16" s="508">
        <v>300</v>
      </c>
      <c r="O16" s="508">
        <v>300</v>
      </c>
      <c r="P16" s="508">
        <v>260</v>
      </c>
      <c r="Q16" s="508">
        <v>260</v>
      </c>
      <c r="R16" s="508">
        <v>260</v>
      </c>
      <c r="S16" s="508">
        <v>265</v>
      </c>
      <c r="T16" s="508">
        <v>265</v>
      </c>
      <c r="U16" s="508">
        <v>265</v>
      </c>
      <c r="V16" s="508">
        <v>265</v>
      </c>
      <c r="W16" s="508">
        <v>265</v>
      </c>
      <c r="X16" s="508">
        <v>265</v>
      </c>
      <c r="Y16" s="508">
        <v>265</v>
      </c>
      <c r="Z16" s="508">
        <v>265</v>
      </c>
    </row>
    <row r="17" spans="1:26" ht="14.25" customHeight="1">
      <c r="A17" s="508" t="s">
        <v>279</v>
      </c>
      <c r="B17" s="508" t="s">
        <v>269</v>
      </c>
      <c r="C17" s="508" t="s">
        <v>273</v>
      </c>
      <c r="D17" s="508" t="s">
        <v>271</v>
      </c>
      <c r="E17" s="511">
        <v>-3.8548979999999999</v>
      </c>
      <c r="F17" s="512">
        <v>-38.605668999999999</v>
      </c>
      <c r="G17" s="508">
        <v>120</v>
      </c>
      <c r="H17" s="508">
        <v>120</v>
      </c>
      <c r="I17" s="508">
        <v>130</v>
      </c>
      <c r="J17" s="508">
        <v>130</v>
      </c>
      <c r="K17" s="508">
        <v>145</v>
      </c>
      <c r="L17" s="508">
        <v>170</v>
      </c>
      <c r="M17" s="508">
        <v>200</v>
      </c>
      <c r="N17" s="508">
        <v>200</v>
      </c>
      <c r="O17" s="508">
        <v>200</v>
      </c>
      <c r="P17" s="508">
        <v>200</v>
      </c>
      <c r="Q17" s="508">
        <v>200</v>
      </c>
      <c r="R17" s="508">
        <v>200</v>
      </c>
      <c r="S17" s="508">
        <v>198</v>
      </c>
      <c r="T17" s="508">
        <v>198</v>
      </c>
      <c r="U17" s="508">
        <v>198</v>
      </c>
      <c r="V17" s="508">
        <v>198</v>
      </c>
      <c r="W17" s="508">
        <v>198</v>
      </c>
      <c r="X17" s="508">
        <v>198</v>
      </c>
      <c r="Y17" s="508">
        <v>198</v>
      </c>
      <c r="Z17" s="508">
        <v>160</v>
      </c>
    </row>
    <row r="18" spans="1:26" s="513" customFormat="1" ht="14.25" customHeight="1">
      <c r="A18" s="508" t="s">
        <v>280</v>
      </c>
      <c r="B18" s="508" t="s">
        <v>269</v>
      </c>
      <c r="C18" s="508" t="s">
        <v>273</v>
      </c>
      <c r="D18" s="508" t="s">
        <v>271</v>
      </c>
      <c r="E18" s="511">
        <v>-25.563196000000001</v>
      </c>
      <c r="F18" s="512">
        <v>-49.421805999999997</v>
      </c>
      <c r="G18" s="508">
        <v>390</v>
      </c>
      <c r="H18" s="508">
        <v>390</v>
      </c>
      <c r="I18" s="508">
        <v>510</v>
      </c>
      <c r="J18" s="508">
        <v>510</v>
      </c>
      <c r="K18" s="508">
        <v>510</v>
      </c>
      <c r="L18" s="508">
        <v>560</v>
      </c>
      <c r="M18" s="508">
        <v>560</v>
      </c>
      <c r="N18" s="508">
        <v>560</v>
      </c>
      <c r="O18" s="508">
        <v>560</v>
      </c>
      <c r="P18" s="508">
        <v>540</v>
      </c>
      <c r="Q18" s="508">
        <v>540</v>
      </c>
      <c r="R18" s="508">
        <v>540</v>
      </c>
      <c r="S18" s="508">
        <v>541</v>
      </c>
      <c r="T18" s="508">
        <v>541</v>
      </c>
      <c r="U18" s="508">
        <v>0</v>
      </c>
      <c r="V18" s="508">
        <v>0</v>
      </c>
      <c r="W18" s="508">
        <v>0</v>
      </c>
      <c r="X18" s="508">
        <v>0</v>
      </c>
      <c r="Y18" s="508">
        <v>0</v>
      </c>
      <c r="Z18" s="508">
        <v>0</v>
      </c>
    </row>
    <row r="19" spans="1:26" ht="14.5">
      <c r="A19" s="514" t="s">
        <v>281</v>
      </c>
      <c r="B19" s="514" t="s">
        <v>269</v>
      </c>
      <c r="C19" s="514" t="s">
        <v>273</v>
      </c>
      <c r="D19" s="514" t="s">
        <v>271</v>
      </c>
      <c r="E19" s="515">
        <v>-12.85547</v>
      </c>
      <c r="F19" s="516">
        <v>-38.421968</v>
      </c>
      <c r="G19" s="514">
        <v>500</v>
      </c>
      <c r="H19" s="514">
        <v>600</v>
      </c>
      <c r="I19" s="514">
        <v>520</v>
      </c>
      <c r="J19" s="514">
        <v>520</v>
      </c>
      <c r="K19" s="514">
        <v>560</v>
      </c>
      <c r="L19" s="514">
        <v>560</v>
      </c>
      <c r="M19" s="514">
        <v>560</v>
      </c>
      <c r="N19" s="514">
        <v>560</v>
      </c>
      <c r="O19" s="514">
        <v>520</v>
      </c>
      <c r="P19" s="514">
        <v>490</v>
      </c>
      <c r="Q19" s="514">
        <v>490</v>
      </c>
      <c r="R19" s="514">
        <v>490</v>
      </c>
      <c r="S19" s="514">
        <v>495</v>
      </c>
      <c r="T19" s="514">
        <v>495</v>
      </c>
      <c r="U19" s="514">
        <v>0</v>
      </c>
      <c r="V19" s="514">
        <v>0</v>
      </c>
      <c r="W19" s="514">
        <v>0</v>
      </c>
      <c r="X19" s="514">
        <v>0</v>
      </c>
      <c r="Y19" s="514">
        <v>0</v>
      </c>
      <c r="Z19" s="514">
        <v>0</v>
      </c>
    </row>
    <row r="20" spans="1:26" s="500" customFormat="1" ht="14.5">
      <c r="A20" s="508" t="s">
        <v>282</v>
      </c>
      <c r="B20" s="508" t="s">
        <v>269</v>
      </c>
      <c r="C20" s="508" t="s">
        <v>273</v>
      </c>
      <c r="D20" s="508" t="s">
        <v>283</v>
      </c>
      <c r="E20" s="510">
        <v>-22.902715000000001</v>
      </c>
      <c r="F20" s="509">
        <v>-45.354213999999999</v>
      </c>
      <c r="G20" s="508">
        <v>0</v>
      </c>
      <c r="H20" s="508">
        <v>0</v>
      </c>
      <c r="I20" s="508">
        <v>0</v>
      </c>
      <c r="J20" s="508">
        <v>0</v>
      </c>
      <c r="K20" s="508">
        <v>0</v>
      </c>
      <c r="L20" s="508">
        <v>0</v>
      </c>
      <c r="M20" s="508">
        <v>0</v>
      </c>
      <c r="N20" s="508">
        <v>990</v>
      </c>
      <c r="O20" s="508">
        <v>990</v>
      </c>
      <c r="P20" s="508">
        <v>1000</v>
      </c>
      <c r="Q20" s="508">
        <v>700</v>
      </c>
      <c r="R20" s="508">
        <v>620</v>
      </c>
      <c r="S20" s="508">
        <v>620</v>
      </c>
      <c r="T20" s="508">
        <v>620</v>
      </c>
      <c r="U20" s="508">
        <v>620</v>
      </c>
      <c r="V20" s="508">
        <v>620</v>
      </c>
      <c r="W20" s="508">
        <v>620</v>
      </c>
      <c r="X20" s="508">
        <v>620</v>
      </c>
      <c r="Y20" s="508">
        <v>620</v>
      </c>
      <c r="Z20" s="508">
        <v>620</v>
      </c>
    </row>
    <row r="21" spans="1:26" ht="14.25" customHeight="1">
      <c r="A21" s="508" t="s">
        <v>284</v>
      </c>
      <c r="B21" s="508" t="s">
        <v>269</v>
      </c>
      <c r="C21" s="508" t="s">
        <v>273</v>
      </c>
      <c r="D21" s="508" t="s">
        <v>283</v>
      </c>
      <c r="E21" s="511">
        <v>-29.959537999999998</v>
      </c>
      <c r="F21" s="512">
        <v>-51.615285999999998</v>
      </c>
      <c r="G21" s="508">
        <v>310</v>
      </c>
      <c r="H21" s="508">
        <v>310</v>
      </c>
      <c r="I21" s="508">
        <v>375</v>
      </c>
      <c r="J21" s="508">
        <v>375</v>
      </c>
      <c r="K21" s="508">
        <v>400</v>
      </c>
      <c r="L21" s="508">
        <v>400</v>
      </c>
      <c r="M21" s="508">
        <v>390</v>
      </c>
      <c r="N21" s="508">
        <v>410</v>
      </c>
      <c r="O21" s="508">
        <v>430</v>
      </c>
      <c r="P21" s="508">
        <v>430</v>
      </c>
      <c r="Q21" s="508">
        <v>430</v>
      </c>
      <c r="R21" s="508">
        <v>430</v>
      </c>
      <c r="S21" s="508">
        <v>430</v>
      </c>
      <c r="T21" s="508">
        <v>430</v>
      </c>
      <c r="U21" s="508">
        <v>430</v>
      </c>
      <c r="V21" s="508">
        <v>430</v>
      </c>
      <c r="W21" s="508">
        <v>430</v>
      </c>
      <c r="X21" s="508">
        <v>430</v>
      </c>
      <c r="Y21" s="508">
        <v>430</v>
      </c>
      <c r="Z21" s="508">
        <v>430</v>
      </c>
    </row>
    <row r="22" spans="1:26" ht="14.5">
      <c r="A22" s="508" t="s">
        <v>285</v>
      </c>
      <c r="B22" s="508" t="s">
        <v>286</v>
      </c>
      <c r="C22" s="508" t="s">
        <v>273</v>
      </c>
      <c r="D22" s="508" t="s">
        <v>283</v>
      </c>
      <c r="E22" s="510">
        <v>41.894281999999997</v>
      </c>
      <c r="F22" s="509">
        <v>-83.359920000000002</v>
      </c>
      <c r="G22" s="508">
        <v>0</v>
      </c>
      <c r="H22" s="508">
        <v>0</v>
      </c>
      <c r="I22" s="508">
        <v>0</v>
      </c>
      <c r="J22" s="508">
        <v>0</v>
      </c>
      <c r="K22" s="508">
        <v>0</v>
      </c>
      <c r="L22" s="508">
        <v>0</v>
      </c>
      <c r="M22" s="508">
        <v>0</v>
      </c>
      <c r="N22" s="508">
        <v>460</v>
      </c>
      <c r="O22" s="508">
        <v>460</v>
      </c>
      <c r="P22" s="508">
        <v>520</v>
      </c>
      <c r="Q22" s="508">
        <v>520</v>
      </c>
      <c r="R22" s="508">
        <v>520</v>
      </c>
      <c r="S22" s="508">
        <v>551</v>
      </c>
      <c r="T22" s="508">
        <v>551</v>
      </c>
      <c r="U22" s="508">
        <v>551</v>
      </c>
      <c r="V22" s="508">
        <v>600</v>
      </c>
      <c r="W22" s="508">
        <v>600</v>
      </c>
      <c r="X22" s="508">
        <v>600</v>
      </c>
      <c r="Y22" s="508">
        <v>600</v>
      </c>
      <c r="Z22" s="508">
        <v>600</v>
      </c>
    </row>
    <row r="23" spans="1:26" ht="14.5">
      <c r="A23" s="508" t="s">
        <v>287</v>
      </c>
      <c r="B23" s="508" t="s">
        <v>286</v>
      </c>
      <c r="C23" s="508" t="s">
        <v>273</v>
      </c>
      <c r="D23" s="508" t="s">
        <v>283</v>
      </c>
      <c r="E23" s="509">
        <v>35.307222000000003</v>
      </c>
      <c r="F23" s="509">
        <v>-94.374323000000004</v>
      </c>
      <c r="G23" s="508">
        <v>0</v>
      </c>
      <c r="H23" s="508">
        <v>0</v>
      </c>
      <c r="I23" s="508">
        <v>0</v>
      </c>
      <c r="J23" s="508">
        <v>0</v>
      </c>
      <c r="K23" s="508">
        <v>0</v>
      </c>
      <c r="L23" s="508">
        <v>0</v>
      </c>
      <c r="M23" s="508">
        <v>0</v>
      </c>
      <c r="N23" s="508">
        <v>470</v>
      </c>
      <c r="O23" s="508">
        <v>470</v>
      </c>
      <c r="P23" s="508">
        <v>535</v>
      </c>
      <c r="Q23" s="508">
        <v>535</v>
      </c>
      <c r="R23" s="508">
        <v>535</v>
      </c>
      <c r="S23" s="508">
        <v>474</v>
      </c>
      <c r="T23" s="508">
        <v>474</v>
      </c>
      <c r="U23" s="508">
        <v>474</v>
      </c>
      <c r="V23" s="508">
        <v>550</v>
      </c>
      <c r="W23" s="508">
        <v>550</v>
      </c>
      <c r="X23" s="508">
        <v>550</v>
      </c>
      <c r="Y23" s="508">
        <v>550</v>
      </c>
      <c r="Z23" s="508">
        <v>500</v>
      </c>
    </row>
    <row r="24" spans="1:26" ht="14.5">
      <c r="A24" s="508" t="s">
        <v>288</v>
      </c>
      <c r="B24" s="508" t="s">
        <v>269</v>
      </c>
      <c r="C24" s="508" t="s">
        <v>273</v>
      </c>
      <c r="D24" s="508" t="s">
        <v>283</v>
      </c>
      <c r="E24" s="510">
        <v>-23.524728</v>
      </c>
      <c r="F24" s="509">
        <v>-46.157938000000001</v>
      </c>
      <c r="G24" s="517">
        <v>0</v>
      </c>
      <c r="H24" s="517">
        <v>0</v>
      </c>
      <c r="I24" s="517">
        <v>0</v>
      </c>
      <c r="J24" s="517">
        <v>0</v>
      </c>
      <c r="K24" s="517">
        <v>0</v>
      </c>
      <c r="L24" s="517">
        <v>0</v>
      </c>
      <c r="M24" s="517">
        <v>0</v>
      </c>
      <c r="N24" s="517">
        <v>0</v>
      </c>
      <c r="O24" s="517">
        <v>0</v>
      </c>
      <c r="P24" s="517">
        <v>0</v>
      </c>
      <c r="Q24" s="517">
        <v>0</v>
      </c>
      <c r="R24" s="517">
        <v>375</v>
      </c>
      <c r="S24" s="517">
        <v>375</v>
      </c>
      <c r="T24" s="517">
        <v>375</v>
      </c>
      <c r="U24" s="517">
        <v>0</v>
      </c>
      <c r="V24" s="517">
        <v>0</v>
      </c>
      <c r="W24" s="517">
        <v>375</v>
      </c>
      <c r="X24" s="517">
        <v>375</v>
      </c>
      <c r="Y24" s="517">
        <v>375</v>
      </c>
      <c r="Z24" s="517">
        <v>0</v>
      </c>
    </row>
    <row r="25" spans="1:26" ht="14.5">
      <c r="A25" s="508" t="s">
        <v>289</v>
      </c>
      <c r="B25" s="508" t="s">
        <v>286</v>
      </c>
      <c r="C25" s="508" t="s">
        <v>273</v>
      </c>
      <c r="D25" s="508" t="s">
        <v>283</v>
      </c>
      <c r="E25" s="509">
        <v>42.313298000000003</v>
      </c>
      <c r="F25" s="509">
        <v>-84.430014</v>
      </c>
      <c r="G25" s="508">
        <v>0</v>
      </c>
      <c r="H25" s="508">
        <v>0</v>
      </c>
      <c r="I25" s="508">
        <v>0</v>
      </c>
      <c r="J25" s="508">
        <v>0</v>
      </c>
      <c r="K25" s="508">
        <v>0</v>
      </c>
      <c r="L25" s="508">
        <v>0</v>
      </c>
      <c r="M25" s="508">
        <v>0</v>
      </c>
      <c r="N25" s="508">
        <v>250</v>
      </c>
      <c r="O25" s="508">
        <v>250</v>
      </c>
      <c r="P25" s="508">
        <v>300</v>
      </c>
      <c r="Q25" s="508">
        <v>300</v>
      </c>
      <c r="R25" s="508">
        <v>300</v>
      </c>
      <c r="S25" s="508">
        <v>299</v>
      </c>
      <c r="T25" s="508">
        <v>299</v>
      </c>
      <c r="U25" s="508">
        <v>299</v>
      </c>
      <c r="V25" s="508">
        <v>300</v>
      </c>
      <c r="W25" s="508">
        <v>300</v>
      </c>
      <c r="X25" s="508">
        <v>300</v>
      </c>
      <c r="Y25" s="508">
        <v>300</v>
      </c>
      <c r="Z25" s="508">
        <v>0</v>
      </c>
    </row>
    <row r="26" spans="1:26" ht="14.25" customHeight="1">
      <c r="A26" s="508" t="s">
        <v>290</v>
      </c>
      <c r="B26" s="508" t="s">
        <v>291</v>
      </c>
      <c r="C26" s="508" t="s">
        <v>273</v>
      </c>
      <c r="D26" s="508" t="s">
        <v>283</v>
      </c>
      <c r="E26" s="509">
        <v>43.229018000000003</v>
      </c>
      <c r="F26" s="509">
        <v>-2.8857249999999999</v>
      </c>
      <c r="G26" s="508">
        <v>0</v>
      </c>
      <c r="H26" s="508">
        <v>0</v>
      </c>
      <c r="I26" s="508">
        <v>0</v>
      </c>
      <c r="J26" s="508">
        <v>0</v>
      </c>
      <c r="K26" s="508">
        <v>0</v>
      </c>
      <c r="L26" s="508">
        <v>975</v>
      </c>
      <c r="M26" s="508">
        <v>975</v>
      </c>
      <c r="N26" s="508">
        <v>735</v>
      </c>
      <c r="O26" s="508">
        <v>740</v>
      </c>
      <c r="P26" s="508">
        <v>740</v>
      </c>
      <c r="Q26" s="508">
        <v>740</v>
      </c>
      <c r="R26" s="508">
        <v>735</v>
      </c>
      <c r="S26" s="508">
        <v>735</v>
      </c>
      <c r="T26" s="508">
        <v>820</v>
      </c>
      <c r="U26" s="508">
        <v>820</v>
      </c>
      <c r="V26" s="508">
        <v>0</v>
      </c>
      <c r="W26" s="508">
        <v>0</v>
      </c>
      <c r="X26" s="508">
        <v>0</v>
      </c>
      <c r="Y26" s="508">
        <v>0</v>
      </c>
      <c r="Z26" s="508">
        <v>0</v>
      </c>
    </row>
    <row r="27" spans="1:26" ht="14.5">
      <c r="A27" s="508" t="s">
        <v>292</v>
      </c>
      <c r="B27" s="508" t="s">
        <v>291</v>
      </c>
      <c r="C27" s="508" t="s">
        <v>273</v>
      </c>
      <c r="D27" s="508" t="s">
        <v>283</v>
      </c>
      <c r="E27" s="509">
        <v>43.011865</v>
      </c>
      <c r="F27" s="509">
        <v>-4.1367969999999996</v>
      </c>
      <c r="G27" s="508">
        <v>0</v>
      </c>
      <c r="H27" s="508">
        <v>0</v>
      </c>
      <c r="I27" s="508">
        <v>0</v>
      </c>
      <c r="J27" s="508">
        <v>0</v>
      </c>
      <c r="K27" s="508">
        <v>0</v>
      </c>
      <c r="L27" s="508">
        <v>0</v>
      </c>
      <c r="M27" s="508">
        <v>0</v>
      </c>
      <c r="N27" s="508">
        <v>240</v>
      </c>
      <c r="O27" s="508">
        <v>240</v>
      </c>
      <c r="P27" s="508">
        <v>240</v>
      </c>
      <c r="Q27" s="508">
        <v>240</v>
      </c>
      <c r="R27" s="508">
        <v>240</v>
      </c>
      <c r="S27" s="508">
        <v>240</v>
      </c>
      <c r="T27" s="508">
        <v>240</v>
      </c>
      <c r="U27" s="508">
        <v>240</v>
      </c>
      <c r="V27" s="508">
        <v>0</v>
      </c>
      <c r="W27" s="508">
        <v>0</v>
      </c>
      <c r="X27" s="508">
        <v>0</v>
      </c>
      <c r="Y27" s="508">
        <v>0</v>
      </c>
      <c r="Z27" s="508">
        <v>0</v>
      </c>
    </row>
    <row r="28" spans="1:26" ht="14.25" customHeight="1">
      <c r="A28" s="508" t="s">
        <v>293</v>
      </c>
      <c r="B28" s="508" t="s">
        <v>291</v>
      </c>
      <c r="C28" s="508" t="s">
        <v>273</v>
      </c>
      <c r="D28" s="508" t="s">
        <v>283</v>
      </c>
      <c r="E28" s="509">
        <v>43.195217</v>
      </c>
      <c r="F28" s="509">
        <v>-2.3100360000000002</v>
      </c>
      <c r="G28" s="508">
        <v>0</v>
      </c>
      <c r="H28" s="508">
        <v>0</v>
      </c>
      <c r="I28" s="508">
        <v>0</v>
      </c>
      <c r="J28" s="508">
        <v>0</v>
      </c>
      <c r="K28" s="508">
        <v>0</v>
      </c>
      <c r="L28" s="508">
        <v>0</v>
      </c>
      <c r="M28" s="508">
        <v>175</v>
      </c>
      <c r="N28" s="508">
        <v>175</v>
      </c>
      <c r="O28" s="508">
        <v>175</v>
      </c>
      <c r="P28" s="508">
        <v>0</v>
      </c>
      <c r="Q28" s="508">
        <v>0</v>
      </c>
      <c r="R28" s="508">
        <v>0</v>
      </c>
      <c r="S28" s="508">
        <v>0</v>
      </c>
      <c r="T28" s="508">
        <v>0</v>
      </c>
      <c r="U28" s="508">
        <v>0</v>
      </c>
      <c r="V28" s="508">
        <v>0</v>
      </c>
      <c r="W28" s="508">
        <v>0</v>
      </c>
      <c r="X28" s="508">
        <v>0</v>
      </c>
      <c r="Y28" s="508">
        <v>0</v>
      </c>
      <c r="Z28" s="508">
        <v>0</v>
      </c>
    </row>
    <row r="29" spans="1:26" s="513" customFormat="1" ht="14.25" customHeight="1">
      <c r="A29" s="514" t="s">
        <v>294</v>
      </c>
      <c r="B29" s="514" t="s">
        <v>295</v>
      </c>
      <c r="C29" s="514" t="s">
        <v>270</v>
      </c>
      <c r="D29" s="514" t="s">
        <v>283</v>
      </c>
      <c r="E29" s="518">
        <v>15.159207</v>
      </c>
      <c r="F29" s="519">
        <v>78.005082000000002</v>
      </c>
      <c r="G29" s="514">
        <v>0</v>
      </c>
      <c r="H29" s="514">
        <v>0</v>
      </c>
      <c r="I29" s="514">
        <v>0</v>
      </c>
      <c r="J29" s="514">
        <v>0</v>
      </c>
      <c r="K29" s="514">
        <v>0</v>
      </c>
      <c r="L29" s="514">
        <v>0</v>
      </c>
      <c r="M29" s="514">
        <v>0</v>
      </c>
      <c r="N29" s="514">
        <v>0</v>
      </c>
      <c r="O29" s="514">
        <v>0</v>
      </c>
      <c r="P29" s="514">
        <v>0</v>
      </c>
      <c r="Q29" s="514">
        <v>0</v>
      </c>
      <c r="R29" s="514">
        <v>250</v>
      </c>
      <c r="S29" s="514">
        <v>250</v>
      </c>
      <c r="T29" s="514">
        <v>250</v>
      </c>
      <c r="U29" s="514">
        <v>250</v>
      </c>
      <c r="V29" s="514">
        <v>250</v>
      </c>
      <c r="W29" s="514">
        <v>250</v>
      </c>
      <c r="X29" s="514">
        <v>0</v>
      </c>
      <c r="Y29" s="514">
        <v>0</v>
      </c>
      <c r="Z29" s="514">
        <v>0</v>
      </c>
    </row>
    <row r="30" spans="1:26" ht="14.25" customHeight="1">
      <c r="A30" s="508" t="s">
        <v>296</v>
      </c>
      <c r="B30" s="508" t="s">
        <v>297</v>
      </c>
      <c r="C30" s="508" t="s">
        <v>273</v>
      </c>
      <c r="D30" s="508" t="s">
        <v>298</v>
      </c>
      <c r="E30" s="510">
        <v>-9.058961</v>
      </c>
      <c r="F30" s="509">
        <v>-78.600645</v>
      </c>
      <c r="G30" s="508">
        <v>0</v>
      </c>
      <c r="H30" s="508">
        <v>0</v>
      </c>
      <c r="I30" s="508">
        <v>0</v>
      </c>
      <c r="J30" s="508">
        <v>0</v>
      </c>
      <c r="K30" s="508">
        <v>0</v>
      </c>
      <c r="L30" s="508">
        <v>540</v>
      </c>
      <c r="M30" s="508">
        <v>540</v>
      </c>
      <c r="N30" s="508">
        <v>560</v>
      </c>
      <c r="O30" s="508">
        <v>600</v>
      </c>
      <c r="P30" s="508">
        <v>650</v>
      </c>
      <c r="Q30" s="508">
        <v>650</v>
      </c>
      <c r="R30" s="508">
        <v>650</v>
      </c>
      <c r="S30" s="508">
        <v>650</v>
      </c>
      <c r="T30" s="508">
        <v>650</v>
      </c>
      <c r="U30" s="508">
        <v>650</v>
      </c>
      <c r="V30" s="508">
        <v>720</v>
      </c>
      <c r="W30" s="508">
        <v>720</v>
      </c>
      <c r="X30" s="508">
        <v>720</v>
      </c>
      <c r="Y30" s="508">
        <v>720</v>
      </c>
      <c r="Z30" s="508">
        <v>340</v>
      </c>
    </row>
    <row r="31" spans="1:26" s="513" customFormat="1" ht="14.25" customHeight="1">
      <c r="A31" s="508" t="s">
        <v>299</v>
      </c>
      <c r="B31" s="508" t="s">
        <v>300</v>
      </c>
      <c r="C31" s="508" t="s">
        <v>273</v>
      </c>
      <c r="D31" s="508" t="s">
        <v>298</v>
      </c>
      <c r="E31" s="510">
        <v>-32.988267999999998</v>
      </c>
      <c r="F31" s="509">
        <v>-60.754866</v>
      </c>
      <c r="G31" s="508">
        <v>0</v>
      </c>
      <c r="H31" s="508">
        <v>0</v>
      </c>
      <c r="I31" s="508">
        <v>0</v>
      </c>
      <c r="J31" s="508">
        <v>0</v>
      </c>
      <c r="K31" s="508">
        <v>0</v>
      </c>
      <c r="L31" s="508">
        <v>0</v>
      </c>
      <c r="M31" s="508">
        <v>0</v>
      </c>
      <c r="N31" s="508">
        <v>0</v>
      </c>
      <c r="O31" s="508">
        <v>0</v>
      </c>
      <c r="P31" s="508">
        <v>0</v>
      </c>
      <c r="Q31" s="508">
        <v>0</v>
      </c>
      <c r="R31" s="508">
        <v>0</v>
      </c>
      <c r="S31" s="508">
        <v>0</v>
      </c>
      <c r="T31" s="508">
        <v>0</v>
      </c>
      <c r="U31" s="508">
        <v>0</v>
      </c>
      <c r="V31" s="508">
        <v>0</v>
      </c>
      <c r="W31" s="508">
        <v>0</v>
      </c>
      <c r="X31" s="508">
        <v>650</v>
      </c>
      <c r="Y31" s="508">
        <v>650</v>
      </c>
      <c r="Z31" s="508">
        <v>450</v>
      </c>
    </row>
    <row r="32" spans="1:26" ht="14.5">
      <c r="A32" s="508" t="s">
        <v>301</v>
      </c>
      <c r="B32" s="508" t="s">
        <v>302</v>
      </c>
      <c r="C32" s="508" t="s">
        <v>273</v>
      </c>
      <c r="D32" s="508" t="s">
        <v>298</v>
      </c>
      <c r="E32" s="510">
        <v>10.202360000000001</v>
      </c>
      <c r="F32" s="509">
        <v>-71.278664000000006</v>
      </c>
      <c r="G32" s="508">
        <v>0</v>
      </c>
      <c r="H32" s="508">
        <v>0</v>
      </c>
      <c r="I32" s="508">
        <v>0</v>
      </c>
      <c r="J32" s="508">
        <v>0</v>
      </c>
      <c r="K32" s="508">
        <v>0</v>
      </c>
      <c r="L32" s="508">
        <v>0</v>
      </c>
      <c r="M32" s="508">
        <v>300</v>
      </c>
      <c r="N32" s="508">
        <v>300</v>
      </c>
      <c r="O32" s="508">
        <v>300</v>
      </c>
      <c r="P32" s="508">
        <v>300</v>
      </c>
      <c r="Q32" s="508">
        <v>300</v>
      </c>
      <c r="R32" s="508">
        <v>300</v>
      </c>
      <c r="S32" s="508">
        <v>250</v>
      </c>
      <c r="T32" s="508">
        <v>250</v>
      </c>
      <c r="U32" s="508">
        <v>250</v>
      </c>
      <c r="V32" s="508">
        <v>250</v>
      </c>
      <c r="W32" s="508">
        <v>250</v>
      </c>
      <c r="X32" s="508">
        <v>250</v>
      </c>
      <c r="Y32" s="508">
        <v>0</v>
      </c>
      <c r="Z32" s="508">
        <v>250</v>
      </c>
    </row>
    <row r="33" spans="1:26" s="500" customFormat="1" ht="14.5">
      <c r="A33" s="508" t="s">
        <v>303</v>
      </c>
      <c r="B33" s="508" t="s">
        <v>304</v>
      </c>
      <c r="C33" s="508" t="s">
        <v>273</v>
      </c>
      <c r="D33" s="508" t="s">
        <v>298</v>
      </c>
      <c r="E33" s="511">
        <v>-34.811472000000002</v>
      </c>
      <c r="F33" s="512">
        <v>-56.100338000000001</v>
      </c>
      <c r="G33" s="508">
        <v>70</v>
      </c>
      <c r="H33" s="508">
        <v>70</v>
      </c>
      <c r="I33" s="508">
        <v>70</v>
      </c>
      <c r="J33" s="508">
        <v>70</v>
      </c>
      <c r="K33" s="508">
        <v>70</v>
      </c>
      <c r="L33" s="508">
        <v>100</v>
      </c>
      <c r="M33" s="508">
        <v>100</v>
      </c>
      <c r="N33" s="508">
        <v>100</v>
      </c>
      <c r="O33" s="508">
        <v>100</v>
      </c>
      <c r="P33" s="508">
        <v>100</v>
      </c>
      <c r="Q33" s="508">
        <v>100</v>
      </c>
      <c r="R33" s="508">
        <v>100</v>
      </c>
      <c r="S33" s="508">
        <v>100</v>
      </c>
      <c r="T33" s="508">
        <v>100</v>
      </c>
      <c r="U33" s="508">
        <v>100</v>
      </c>
      <c r="V33" s="508">
        <v>100</v>
      </c>
      <c r="W33" s="508">
        <v>100</v>
      </c>
      <c r="X33" s="508">
        <v>100</v>
      </c>
      <c r="Y33" s="508">
        <v>100</v>
      </c>
      <c r="Z33" s="508">
        <v>100</v>
      </c>
    </row>
    <row r="34" spans="1:26" ht="14.25" customHeight="1">
      <c r="A34" s="508" t="s">
        <v>305</v>
      </c>
      <c r="B34" s="508" t="s">
        <v>306</v>
      </c>
      <c r="C34" s="508" t="s">
        <v>273</v>
      </c>
      <c r="D34" s="508" t="s">
        <v>298</v>
      </c>
      <c r="E34" s="511">
        <v>-33.401152000000003</v>
      </c>
      <c r="F34" s="512">
        <v>-70.682151000000005</v>
      </c>
      <c r="G34" s="508">
        <v>360</v>
      </c>
      <c r="H34" s="508">
        <v>360</v>
      </c>
      <c r="I34" s="508">
        <v>440</v>
      </c>
      <c r="J34" s="508">
        <v>440</v>
      </c>
      <c r="K34" s="508">
        <v>440</v>
      </c>
      <c r="L34" s="508">
        <v>470</v>
      </c>
      <c r="M34" s="508">
        <v>460</v>
      </c>
      <c r="N34" s="508">
        <v>470</v>
      </c>
      <c r="O34" s="508">
        <v>490</v>
      </c>
      <c r="P34" s="508">
        <v>490</v>
      </c>
      <c r="Q34" s="508">
        <v>490</v>
      </c>
      <c r="R34" s="508">
        <v>490</v>
      </c>
      <c r="S34" s="508">
        <v>520</v>
      </c>
      <c r="T34" s="508">
        <v>520</v>
      </c>
      <c r="U34" s="508">
        <v>520</v>
      </c>
      <c r="V34" s="508">
        <v>520</v>
      </c>
      <c r="W34" s="508">
        <v>520</v>
      </c>
      <c r="X34" s="508">
        <v>0</v>
      </c>
      <c r="Y34" s="508">
        <v>0</v>
      </c>
      <c r="Z34" s="508">
        <v>0</v>
      </c>
    </row>
    <row r="35" spans="1:26" ht="14.5">
      <c r="A35" s="514" t="s">
        <v>307</v>
      </c>
      <c r="B35" s="514" t="s">
        <v>308</v>
      </c>
      <c r="C35" s="514" t="s">
        <v>273</v>
      </c>
      <c r="D35" s="514" t="s">
        <v>298</v>
      </c>
      <c r="E35" s="518">
        <v>5.7279109999999998</v>
      </c>
      <c r="F35" s="519">
        <v>-73.222161</v>
      </c>
      <c r="G35" s="514">
        <v>0</v>
      </c>
      <c r="H35" s="514">
        <v>0</v>
      </c>
      <c r="I35" s="514">
        <v>0</v>
      </c>
      <c r="J35" s="514">
        <v>0</v>
      </c>
      <c r="K35" s="514">
        <v>500</v>
      </c>
      <c r="L35" s="514">
        <v>530</v>
      </c>
      <c r="M35" s="514">
        <v>515</v>
      </c>
      <c r="N35" s="514">
        <v>510</v>
      </c>
      <c r="O35" s="514">
        <v>580</v>
      </c>
      <c r="P35" s="514">
        <v>550</v>
      </c>
      <c r="Q35" s="514">
        <v>550</v>
      </c>
      <c r="R35" s="514">
        <v>710</v>
      </c>
      <c r="S35" s="514">
        <v>720</v>
      </c>
      <c r="T35" s="514">
        <v>854</v>
      </c>
      <c r="U35" s="514">
        <v>854</v>
      </c>
      <c r="V35" s="514">
        <v>674</v>
      </c>
      <c r="W35" s="514">
        <v>650</v>
      </c>
      <c r="X35" s="514">
        <v>0</v>
      </c>
      <c r="Y35" s="514">
        <v>0</v>
      </c>
      <c r="Z35" s="514">
        <v>0</v>
      </c>
    </row>
    <row r="36" spans="1:26" ht="14.5">
      <c r="A36" s="520" t="s">
        <v>309</v>
      </c>
      <c r="B36" s="520" t="s">
        <v>310</v>
      </c>
      <c r="C36" s="520" t="s">
        <v>273</v>
      </c>
      <c r="D36" s="520" t="s">
        <v>311</v>
      </c>
      <c r="E36" s="521">
        <v>19.632771000000002</v>
      </c>
      <c r="F36" s="522">
        <v>-99.179068000000001</v>
      </c>
      <c r="G36" s="520">
        <v>0</v>
      </c>
      <c r="H36" s="520">
        <v>0</v>
      </c>
      <c r="I36" s="520">
        <v>0</v>
      </c>
      <c r="J36" s="520">
        <v>0</v>
      </c>
      <c r="K36" s="520">
        <v>0</v>
      </c>
      <c r="L36" s="520">
        <v>0</v>
      </c>
      <c r="M36" s="520">
        <v>350</v>
      </c>
      <c r="N36" s="520">
        <v>500</v>
      </c>
      <c r="O36" s="520">
        <v>500</v>
      </c>
      <c r="P36" s="520">
        <v>500</v>
      </c>
      <c r="Q36" s="520">
        <v>500</v>
      </c>
      <c r="R36" s="520">
        <v>500</v>
      </c>
      <c r="S36" s="520">
        <v>500</v>
      </c>
      <c r="T36" s="520">
        <v>500</v>
      </c>
      <c r="U36" s="520">
        <v>500</v>
      </c>
      <c r="V36" s="520">
        <v>500</v>
      </c>
      <c r="W36" s="520">
        <v>500</v>
      </c>
      <c r="X36" s="520">
        <v>500</v>
      </c>
      <c r="Y36" s="520">
        <v>500</v>
      </c>
      <c r="Z36" s="520">
        <v>500</v>
      </c>
    </row>
    <row r="37" spans="1:26" ht="14.5">
      <c r="A37" s="508" t="s">
        <v>312</v>
      </c>
      <c r="B37" s="508" t="s">
        <v>286</v>
      </c>
      <c r="C37" s="508" t="s">
        <v>273</v>
      </c>
      <c r="D37" s="520" t="s">
        <v>311</v>
      </c>
      <c r="E37" s="509">
        <v>32.462156999999998</v>
      </c>
      <c r="F37" s="509">
        <v>-97.028647000000007</v>
      </c>
      <c r="G37" s="508">
        <v>0</v>
      </c>
      <c r="H37" s="508">
        <v>0</v>
      </c>
      <c r="I37" s="508">
        <v>0</v>
      </c>
      <c r="J37" s="508">
        <v>0</v>
      </c>
      <c r="K37" s="508">
        <v>0</v>
      </c>
      <c r="L37" s="508">
        <v>0</v>
      </c>
      <c r="M37" s="508">
        <v>1500</v>
      </c>
      <c r="N37" s="508">
        <v>1500</v>
      </c>
      <c r="O37" s="508">
        <v>1500</v>
      </c>
      <c r="P37" s="508">
        <v>1500</v>
      </c>
      <c r="Q37" s="508">
        <v>1500</v>
      </c>
      <c r="R37" s="508">
        <v>1500</v>
      </c>
      <c r="S37" s="508">
        <v>1500</v>
      </c>
      <c r="T37" s="508">
        <v>1500</v>
      </c>
      <c r="U37" s="508">
        <v>1500</v>
      </c>
      <c r="V37" s="508">
        <v>1741</v>
      </c>
      <c r="W37" s="508">
        <v>1753</v>
      </c>
      <c r="X37" s="508">
        <v>1753</v>
      </c>
      <c r="Y37" s="508">
        <v>1753</v>
      </c>
      <c r="Z37" s="508">
        <v>1395</v>
      </c>
    </row>
    <row r="38" spans="1:26" ht="14.5">
      <c r="A38" s="508" t="s">
        <v>313</v>
      </c>
      <c r="B38" s="508" t="s">
        <v>286</v>
      </c>
      <c r="C38" s="508" t="s">
        <v>273</v>
      </c>
      <c r="D38" s="520" t="s">
        <v>311</v>
      </c>
      <c r="E38" s="509">
        <v>37.186810000000001</v>
      </c>
      <c r="F38" s="509">
        <v>-77.450515999999993</v>
      </c>
      <c r="G38" s="508">
        <v>0</v>
      </c>
      <c r="H38" s="508">
        <v>0</v>
      </c>
      <c r="I38" s="508">
        <v>0</v>
      </c>
      <c r="J38" s="508">
        <v>0</v>
      </c>
      <c r="K38" s="508">
        <v>0</v>
      </c>
      <c r="L38" s="508">
        <v>0</v>
      </c>
      <c r="M38" s="508">
        <v>1000</v>
      </c>
      <c r="N38" s="508">
        <v>1000</v>
      </c>
      <c r="O38" s="508">
        <v>1000</v>
      </c>
      <c r="P38" s="508">
        <v>1000</v>
      </c>
      <c r="Q38" s="508">
        <v>1000</v>
      </c>
      <c r="R38" s="508">
        <v>1000</v>
      </c>
      <c r="S38" s="508">
        <v>1000</v>
      </c>
      <c r="T38" s="508">
        <v>1000</v>
      </c>
      <c r="U38" s="508">
        <v>1000</v>
      </c>
      <c r="V38" s="508">
        <v>857</v>
      </c>
      <c r="W38" s="508">
        <v>965</v>
      </c>
      <c r="X38" s="508">
        <v>965</v>
      </c>
      <c r="Y38" s="508">
        <v>965</v>
      </c>
      <c r="Z38" s="508">
        <v>833</v>
      </c>
    </row>
    <row r="39" spans="1:26" ht="14.25" customHeight="1">
      <c r="A39" s="508" t="s">
        <v>314</v>
      </c>
      <c r="B39" s="508" t="s">
        <v>315</v>
      </c>
      <c r="C39" s="508" t="s">
        <v>273</v>
      </c>
      <c r="D39" s="520" t="s">
        <v>311</v>
      </c>
      <c r="E39" s="509">
        <v>43.857089999999999</v>
      </c>
      <c r="F39" s="509">
        <v>-78.910328000000007</v>
      </c>
      <c r="G39" s="508">
        <v>0</v>
      </c>
      <c r="H39" s="508">
        <v>872</v>
      </c>
      <c r="I39" s="508">
        <v>871</v>
      </c>
      <c r="J39" s="508">
        <v>871</v>
      </c>
      <c r="K39" s="508">
        <v>871</v>
      </c>
      <c r="L39" s="508">
        <v>870</v>
      </c>
      <c r="M39" s="508">
        <v>900</v>
      </c>
      <c r="N39" s="508">
        <v>900</v>
      </c>
      <c r="O39" s="508">
        <v>900</v>
      </c>
      <c r="P39" s="508">
        <v>900</v>
      </c>
      <c r="Q39" s="508">
        <v>900</v>
      </c>
      <c r="R39" s="508">
        <v>900</v>
      </c>
      <c r="S39" s="508">
        <v>900</v>
      </c>
      <c r="T39" s="508">
        <v>900</v>
      </c>
      <c r="U39" s="508">
        <v>900</v>
      </c>
      <c r="V39" s="508">
        <v>900</v>
      </c>
      <c r="W39" s="508">
        <v>949</v>
      </c>
      <c r="X39" s="508">
        <v>949</v>
      </c>
      <c r="Y39" s="508">
        <v>949</v>
      </c>
      <c r="Z39" s="508">
        <v>788</v>
      </c>
    </row>
    <row r="40" spans="1:26" ht="14.5">
      <c r="A40" s="508" t="s">
        <v>316</v>
      </c>
      <c r="B40" s="508" t="s">
        <v>286</v>
      </c>
      <c r="C40" s="508" t="s">
        <v>273</v>
      </c>
      <c r="D40" s="520" t="s">
        <v>311</v>
      </c>
      <c r="E40" s="509">
        <v>34.244720000000001</v>
      </c>
      <c r="F40" s="509">
        <v>-84.797549000000004</v>
      </c>
      <c r="G40" s="508">
        <v>0</v>
      </c>
      <c r="H40" s="508">
        <v>780</v>
      </c>
      <c r="I40" s="508">
        <v>780</v>
      </c>
      <c r="J40" s="508">
        <v>780</v>
      </c>
      <c r="K40" s="508">
        <v>780</v>
      </c>
      <c r="L40" s="508">
        <v>780</v>
      </c>
      <c r="M40" s="508">
        <v>780</v>
      </c>
      <c r="N40" s="508">
        <v>840</v>
      </c>
      <c r="O40" s="508">
        <v>840</v>
      </c>
      <c r="P40" s="508">
        <v>840</v>
      </c>
      <c r="Q40" s="508">
        <v>840</v>
      </c>
      <c r="R40" s="508">
        <v>840</v>
      </c>
      <c r="S40" s="508">
        <v>840</v>
      </c>
      <c r="T40" s="508">
        <v>840</v>
      </c>
      <c r="U40" s="508">
        <v>840</v>
      </c>
      <c r="V40" s="508">
        <v>967</v>
      </c>
      <c r="W40" s="508">
        <v>925</v>
      </c>
      <c r="X40" s="508">
        <v>925</v>
      </c>
      <c r="Y40" s="508">
        <v>925</v>
      </c>
      <c r="Z40" s="508">
        <v>965</v>
      </c>
    </row>
    <row r="41" spans="1:26" ht="14.25" customHeight="1">
      <c r="A41" s="508" t="s">
        <v>317</v>
      </c>
      <c r="B41" s="508" t="s">
        <v>286</v>
      </c>
      <c r="C41" s="508" t="s">
        <v>273</v>
      </c>
      <c r="D41" s="520" t="s">
        <v>311</v>
      </c>
      <c r="E41" s="511">
        <v>42.2042</v>
      </c>
      <c r="F41" s="512">
        <v>-84.364417000000003</v>
      </c>
      <c r="G41" s="508">
        <v>635</v>
      </c>
      <c r="H41" s="508">
        <v>607</v>
      </c>
      <c r="I41" s="508">
        <v>608</v>
      </c>
      <c r="J41" s="508">
        <v>608</v>
      </c>
      <c r="K41" s="508">
        <v>608</v>
      </c>
      <c r="L41" s="508">
        <v>610</v>
      </c>
      <c r="M41" s="508">
        <v>610</v>
      </c>
      <c r="N41" s="508">
        <v>610</v>
      </c>
      <c r="O41" s="508">
        <v>610</v>
      </c>
      <c r="P41" s="508">
        <v>610</v>
      </c>
      <c r="Q41" s="508">
        <v>610</v>
      </c>
      <c r="R41" s="508">
        <v>610</v>
      </c>
      <c r="S41" s="508">
        <v>610</v>
      </c>
      <c r="T41" s="508">
        <v>610</v>
      </c>
      <c r="U41" s="508">
        <v>610</v>
      </c>
      <c r="V41" s="508">
        <v>714</v>
      </c>
      <c r="W41" s="508">
        <v>764</v>
      </c>
      <c r="X41" s="508">
        <v>764</v>
      </c>
      <c r="Y41" s="508">
        <v>764</v>
      </c>
      <c r="Z41" s="508">
        <v>676</v>
      </c>
    </row>
    <row r="42" spans="1:26" s="513" customFormat="1" ht="14.25" customHeight="1">
      <c r="A42" s="508" t="s">
        <v>318</v>
      </c>
      <c r="B42" s="508" t="s">
        <v>286</v>
      </c>
      <c r="C42" s="508" t="s">
        <v>273</v>
      </c>
      <c r="D42" s="520" t="s">
        <v>311</v>
      </c>
      <c r="E42" s="509">
        <v>44.894903999999997</v>
      </c>
      <c r="F42" s="509">
        <v>-93.011009000000001</v>
      </c>
      <c r="G42" s="508">
        <v>0</v>
      </c>
      <c r="H42" s="508">
        <v>0</v>
      </c>
      <c r="I42" s="508">
        <v>0</v>
      </c>
      <c r="J42" s="508">
        <v>544</v>
      </c>
      <c r="K42" s="508">
        <v>544</v>
      </c>
      <c r="L42" s="508">
        <v>540</v>
      </c>
      <c r="M42" s="508">
        <v>520</v>
      </c>
      <c r="N42" s="508">
        <v>520</v>
      </c>
      <c r="O42" s="508">
        <v>520</v>
      </c>
      <c r="P42" s="508">
        <v>520</v>
      </c>
      <c r="Q42" s="508">
        <v>520</v>
      </c>
      <c r="R42" s="508">
        <v>520</v>
      </c>
      <c r="S42" s="508">
        <v>520</v>
      </c>
      <c r="T42" s="508">
        <v>620</v>
      </c>
      <c r="U42" s="508">
        <v>620</v>
      </c>
      <c r="V42" s="508">
        <v>527</v>
      </c>
      <c r="W42" s="508">
        <v>502</v>
      </c>
      <c r="X42" s="508">
        <v>502</v>
      </c>
      <c r="Y42" s="508">
        <v>502</v>
      </c>
      <c r="Z42" s="508">
        <v>0</v>
      </c>
    </row>
    <row r="43" spans="1:26" ht="14.25" customHeight="1">
      <c r="A43" s="508" t="s">
        <v>319</v>
      </c>
      <c r="B43" s="508" t="s">
        <v>286</v>
      </c>
      <c r="C43" s="508" t="s">
        <v>273</v>
      </c>
      <c r="D43" s="520" t="s">
        <v>311</v>
      </c>
      <c r="E43" s="511">
        <v>35.340643</v>
      </c>
      <c r="F43" s="512">
        <v>-80.827214999999995</v>
      </c>
      <c r="G43" s="508">
        <v>435</v>
      </c>
      <c r="H43" s="508">
        <v>417</v>
      </c>
      <c r="I43" s="508">
        <v>417</v>
      </c>
      <c r="J43" s="508">
        <v>417</v>
      </c>
      <c r="K43" s="508">
        <v>417</v>
      </c>
      <c r="L43" s="508">
        <v>420</v>
      </c>
      <c r="M43" s="508">
        <v>370</v>
      </c>
      <c r="N43" s="508">
        <v>370</v>
      </c>
      <c r="O43" s="508">
        <v>370</v>
      </c>
      <c r="P43" s="508">
        <v>370</v>
      </c>
      <c r="Q43" s="508">
        <v>370</v>
      </c>
      <c r="R43" s="508">
        <v>370</v>
      </c>
      <c r="S43" s="508">
        <v>370</v>
      </c>
      <c r="T43" s="508">
        <v>370</v>
      </c>
      <c r="U43" s="508">
        <v>370</v>
      </c>
      <c r="V43" s="508">
        <v>459</v>
      </c>
      <c r="W43" s="508">
        <v>468</v>
      </c>
      <c r="X43" s="508">
        <v>468</v>
      </c>
      <c r="Y43" s="508">
        <v>468</v>
      </c>
      <c r="Z43" s="508">
        <v>420</v>
      </c>
    </row>
    <row r="44" spans="1:26" s="513" customFormat="1" ht="14.25" customHeight="1">
      <c r="A44" s="508" t="s">
        <v>320</v>
      </c>
      <c r="B44" s="508" t="s">
        <v>315</v>
      </c>
      <c r="C44" s="508" t="s">
        <v>273</v>
      </c>
      <c r="D44" s="520" t="s">
        <v>311</v>
      </c>
      <c r="E44" s="511">
        <v>50.133490999999999</v>
      </c>
      <c r="F44" s="512">
        <v>-96.905995300000001</v>
      </c>
      <c r="G44" s="508">
        <v>355</v>
      </c>
      <c r="H44" s="508">
        <v>349</v>
      </c>
      <c r="I44" s="508">
        <v>349</v>
      </c>
      <c r="J44" s="508">
        <v>349</v>
      </c>
      <c r="K44" s="508">
        <v>349</v>
      </c>
      <c r="L44" s="508">
        <v>350</v>
      </c>
      <c r="M44" s="508">
        <v>430</v>
      </c>
      <c r="N44" s="508">
        <v>430</v>
      </c>
      <c r="O44" s="508">
        <v>430</v>
      </c>
      <c r="P44" s="508">
        <v>430</v>
      </c>
      <c r="Q44" s="508">
        <v>430</v>
      </c>
      <c r="R44" s="508">
        <v>430</v>
      </c>
      <c r="S44" s="508">
        <v>430</v>
      </c>
      <c r="T44" s="508">
        <v>430</v>
      </c>
      <c r="U44" s="508">
        <v>430</v>
      </c>
      <c r="V44" s="508">
        <v>361</v>
      </c>
      <c r="W44" s="508">
        <v>394</v>
      </c>
      <c r="X44" s="508">
        <v>394</v>
      </c>
      <c r="Y44" s="508">
        <v>394</v>
      </c>
      <c r="Z44" s="508">
        <v>397</v>
      </c>
    </row>
    <row r="45" spans="1:26" ht="14.5">
      <c r="A45" s="508" t="s">
        <v>321</v>
      </c>
      <c r="B45" s="508" t="s">
        <v>286</v>
      </c>
      <c r="C45" s="508" t="s">
        <v>273</v>
      </c>
      <c r="D45" s="520" t="s">
        <v>311</v>
      </c>
      <c r="E45" s="509">
        <v>41.584448000000002</v>
      </c>
      <c r="F45" s="509">
        <v>-91.045434999999998</v>
      </c>
      <c r="G45" s="508">
        <v>0</v>
      </c>
      <c r="H45" s="508">
        <v>0</v>
      </c>
      <c r="I45" s="508">
        <v>0</v>
      </c>
      <c r="J45" s="508">
        <v>318</v>
      </c>
      <c r="K45" s="508">
        <v>318</v>
      </c>
      <c r="L45" s="508">
        <v>320</v>
      </c>
      <c r="M45" s="508">
        <v>320</v>
      </c>
      <c r="N45" s="508">
        <v>320</v>
      </c>
      <c r="O45" s="508">
        <v>320</v>
      </c>
      <c r="P45" s="508">
        <v>320</v>
      </c>
      <c r="Q45" s="508">
        <v>320</v>
      </c>
      <c r="R45" s="508">
        <v>320</v>
      </c>
      <c r="S45" s="508">
        <v>320</v>
      </c>
      <c r="T45" s="508">
        <v>320</v>
      </c>
      <c r="U45" s="508">
        <v>320</v>
      </c>
      <c r="V45" s="508">
        <v>359</v>
      </c>
      <c r="W45" s="508">
        <v>322</v>
      </c>
      <c r="X45" s="508">
        <v>322</v>
      </c>
      <c r="Y45" s="508">
        <v>322</v>
      </c>
      <c r="Z45" s="508">
        <v>298</v>
      </c>
    </row>
    <row r="46" spans="1:26" ht="14.25" customHeight="1">
      <c r="A46" s="508" t="s">
        <v>322</v>
      </c>
      <c r="B46" s="508" t="s">
        <v>286</v>
      </c>
      <c r="C46" s="508" t="s">
        <v>273</v>
      </c>
      <c r="D46" s="520" t="s">
        <v>311</v>
      </c>
      <c r="E46" s="509">
        <v>40.481270000000002</v>
      </c>
      <c r="F46" s="509">
        <v>-74.320730999999995</v>
      </c>
      <c r="G46" s="508">
        <v>0</v>
      </c>
      <c r="H46" s="508">
        <v>726</v>
      </c>
      <c r="I46" s="508">
        <v>726</v>
      </c>
      <c r="J46" s="508">
        <v>726</v>
      </c>
      <c r="K46" s="508">
        <v>726</v>
      </c>
      <c r="L46" s="508">
        <v>730</v>
      </c>
      <c r="M46" s="508">
        <v>730</v>
      </c>
      <c r="N46" s="508">
        <v>730</v>
      </c>
      <c r="O46" s="508">
        <v>730</v>
      </c>
      <c r="P46" s="508">
        <v>730</v>
      </c>
      <c r="Q46" s="508">
        <v>730</v>
      </c>
      <c r="R46" s="508">
        <v>730</v>
      </c>
      <c r="S46" s="508">
        <v>730</v>
      </c>
      <c r="T46" s="508">
        <v>730</v>
      </c>
      <c r="U46" s="508">
        <v>730</v>
      </c>
      <c r="V46" s="508">
        <v>730</v>
      </c>
      <c r="W46" s="508">
        <v>760</v>
      </c>
      <c r="X46" s="508">
        <v>0</v>
      </c>
      <c r="Y46" s="508">
        <v>0</v>
      </c>
      <c r="Z46" s="508">
        <v>0</v>
      </c>
    </row>
    <row r="47" spans="1:26" ht="14.5">
      <c r="A47" s="508" t="s">
        <v>323</v>
      </c>
      <c r="B47" s="508" t="s">
        <v>286</v>
      </c>
      <c r="C47" s="508" t="s">
        <v>273</v>
      </c>
      <c r="D47" s="520" t="s">
        <v>311</v>
      </c>
      <c r="E47" s="523">
        <v>36.129846000000001</v>
      </c>
      <c r="F47" s="523">
        <v>-96.112184999999997</v>
      </c>
      <c r="G47" s="508">
        <v>0</v>
      </c>
      <c r="H47" s="508">
        <v>0</v>
      </c>
      <c r="I47" s="508">
        <v>0</v>
      </c>
      <c r="J47" s="508">
        <v>0</v>
      </c>
      <c r="K47" s="508">
        <v>0</v>
      </c>
      <c r="L47" s="508">
        <v>540</v>
      </c>
      <c r="M47" s="508">
        <v>625</v>
      </c>
      <c r="N47" s="508">
        <v>630</v>
      </c>
      <c r="O47" s="508">
        <v>630</v>
      </c>
      <c r="P47" s="508">
        <v>0</v>
      </c>
      <c r="Q47" s="508">
        <v>0</v>
      </c>
      <c r="R47" s="508">
        <v>0</v>
      </c>
      <c r="S47" s="508">
        <v>0</v>
      </c>
      <c r="T47" s="508">
        <v>0</v>
      </c>
      <c r="U47" s="508">
        <v>0</v>
      </c>
      <c r="V47" s="508">
        <v>0</v>
      </c>
      <c r="W47" s="508">
        <v>0</v>
      </c>
      <c r="X47" s="508">
        <v>0</v>
      </c>
      <c r="Y47" s="508">
        <v>0</v>
      </c>
      <c r="Z47" s="508">
        <v>0</v>
      </c>
    </row>
    <row r="48" spans="1:26" ht="14.5">
      <c r="A48" s="508" t="s">
        <v>324</v>
      </c>
      <c r="B48" s="508" t="s">
        <v>286</v>
      </c>
      <c r="C48" s="508" t="s">
        <v>273</v>
      </c>
      <c r="D48" s="520" t="s">
        <v>311</v>
      </c>
      <c r="E48" s="509">
        <v>40.481659999999998</v>
      </c>
      <c r="F48" s="509">
        <v>-74.320538999999997</v>
      </c>
      <c r="G48" s="508">
        <v>0</v>
      </c>
      <c r="H48" s="508">
        <v>817</v>
      </c>
      <c r="I48" s="508">
        <v>817</v>
      </c>
      <c r="J48" s="508">
        <v>816</v>
      </c>
      <c r="K48" s="508">
        <v>816</v>
      </c>
      <c r="L48" s="508">
        <v>0</v>
      </c>
      <c r="M48" s="508">
        <v>0</v>
      </c>
      <c r="N48" s="508">
        <v>0</v>
      </c>
      <c r="O48" s="508">
        <v>0</v>
      </c>
      <c r="P48" s="508">
        <v>0</v>
      </c>
      <c r="Q48" s="508">
        <v>0</v>
      </c>
      <c r="R48" s="508">
        <v>0</v>
      </c>
      <c r="S48" s="508">
        <v>0</v>
      </c>
      <c r="T48" s="508">
        <v>0</v>
      </c>
      <c r="U48" s="508">
        <v>0</v>
      </c>
      <c r="V48" s="508">
        <v>0</v>
      </c>
      <c r="W48" s="508">
        <v>0</v>
      </c>
      <c r="X48" s="508">
        <v>0</v>
      </c>
      <c r="Y48" s="508">
        <v>0</v>
      </c>
      <c r="Z48" s="508">
        <v>0</v>
      </c>
    </row>
    <row r="49" spans="1:26" ht="14.5">
      <c r="A49" s="508" t="s">
        <v>325</v>
      </c>
      <c r="B49" s="508" t="s">
        <v>286</v>
      </c>
      <c r="C49" s="508" t="s">
        <v>273</v>
      </c>
      <c r="D49" s="520" t="s">
        <v>311</v>
      </c>
      <c r="E49" s="512">
        <v>35.979564000000003</v>
      </c>
      <c r="F49" s="512">
        <v>-83.959891999999996</v>
      </c>
      <c r="G49" s="508">
        <v>408</v>
      </c>
      <c r="H49" s="508">
        <v>413</v>
      </c>
      <c r="I49" s="508">
        <v>413</v>
      </c>
      <c r="J49" s="508">
        <v>499</v>
      </c>
      <c r="K49" s="508">
        <v>499</v>
      </c>
      <c r="L49" s="508">
        <v>500</v>
      </c>
      <c r="M49" s="508">
        <v>520</v>
      </c>
      <c r="N49" s="508">
        <v>520</v>
      </c>
      <c r="O49" s="508">
        <v>520</v>
      </c>
      <c r="P49" s="508">
        <v>520</v>
      </c>
      <c r="Q49" s="508">
        <v>520</v>
      </c>
      <c r="R49" s="508">
        <v>520</v>
      </c>
      <c r="S49" s="508">
        <v>520</v>
      </c>
      <c r="T49" s="508">
        <v>520</v>
      </c>
      <c r="U49" s="508">
        <v>520</v>
      </c>
      <c r="V49" s="508">
        <v>520</v>
      </c>
      <c r="W49" s="508">
        <v>594</v>
      </c>
      <c r="X49" s="508">
        <v>0</v>
      </c>
      <c r="Y49" s="508">
        <v>0</v>
      </c>
      <c r="Z49" s="508">
        <v>0</v>
      </c>
    </row>
    <row r="50" spans="1:26" ht="14.5">
      <c r="A50" s="507" t="s">
        <v>326</v>
      </c>
      <c r="B50" s="508" t="s">
        <v>286</v>
      </c>
      <c r="C50" s="508" t="s">
        <v>273</v>
      </c>
      <c r="D50" s="520" t="s">
        <v>311</v>
      </c>
      <c r="E50" s="511">
        <v>30.195855999999999</v>
      </c>
      <c r="F50" s="512">
        <v>-81.565618999999998</v>
      </c>
      <c r="G50" s="508">
        <v>562</v>
      </c>
      <c r="H50" s="508">
        <v>580</v>
      </c>
      <c r="I50" s="508">
        <v>581</v>
      </c>
      <c r="J50" s="508">
        <v>581</v>
      </c>
      <c r="K50" s="508">
        <v>581</v>
      </c>
      <c r="L50" s="508">
        <v>580</v>
      </c>
      <c r="M50" s="508">
        <v>730</v>
      </c>
      <c r="N50" s="508">
        <v>730</v>
      </c>
      <c r="O50" s="508">
        <v>730</v>
      </c>
      <c r="P50" s="508">
        <v>730</v>
      </c>
      <c r="Q50" s="508">
        <v>730</v>
      </c>
      <c r="R50" s="508">
        <v>730</v>
      </c>
      <c r="S50" s="508">
        <v>730</v>
      </c>
      <c r="T50" s="508">
        <v>730</v>
      </c>
      <c r="U50" s="508">
        <v>730</v>
      </c>
      <c r="V50" s="508">
        <v>763</v>
      </c>
      <c r="W50" s="508">
        <v>756</v>
      </c>
      <c r="X50" s="508">
        <v>0</v>
      </c>
      <c r="Y50" s="508">
        <v>0</v>
      </c>
      <c r="Z50" s="508">
        <v>0</v>
      </c>
    </row>
    <row r="51" spans="1:26" ht="14.5">
      <c r="A51" s="507" t="s">
        <v>327</v>
      </c>
      <c r="B51" s="508" t="s">
        <v>286</v>
      </c>
      <c r="C51" s="508" t="s">
        <v>273</v>
      </c>
      <c r="D51" s="520" t="s">
        <v>311</v>
      </c>
      <c r="E51" s="509">
        <v>34.094273999999999</v>
      </c>
      <c r="F51" s="509">
        <v>-117.532212</v>
      </c>
      <c r="G51" s="508">
        <v>0</v>
      </c>
      <c r="H51" s="508">
        <v>0</v>
      </c>
      <c r="I51" s="508">
        <v>0</v>
      </c>
      <c r="J51" s="508">
        <v>0</v>
      </c>
      <c r="K51" s="508">
        <v>0</v>
      </c>
      <c r="L51" s="508">
        <v>0</v>
      </c>
      <c r="M51" s="508">
        <v>0</v>
      </c>
      <c r="N51" s="508">
        <v>0</v>
      </c>
      <c r="O51" s="508">
        <v>0</v>
      </c>
      <c r="P51" s="508">
        <v>470</v>
      </c>
      <c r="Q51" s="508">
        <v>470</v>
      </c>
      <c r="R51" s="508">
        <v>470</v>
      </c>
      <c r="S51" s="508">
        <v>472</v>
      </c>
      <c r="T51" s="508">
        <v>472</v>
      </c>
      <c r="U51" s="508">
        <v>472</v>
      </c>
      <c r="V51" s="508">
        <v>524</v>
      </c>
      <c r="W51" s="508">
        <v>830</v>
      </c>
      <c r="X51" s="508">
        <v>0</v>
      </c>
      <c r="Y51" s="508">
        <v>0</v>
      </c>
      <c r="Z51" s="508">
        <v>0</v>
      </c>
    </row>
    <row r="52" spans="1:26" ht="14.5">
      <c r="A52" s="507" t="s">
        <v>328</v>
      </c>
      <c r="B52" s="508" t="s">
        <v>315</v>
      </c>
      <c r="C52" s="508" t="s">
        <v>273</v>
      </c>
      <c r="D52" s="520" t="s">
        <v>311</v>
      </c>
      <c r="E52" s="511">
        <v>43.371059000000002</v>
      </c>
      <c r="F52" s="512">
        <v>-80.280720000000002</v>
      </c>
      <c r="G52" s="508">
        <v>305</v>
      </c>
      <c r="H52" s="508">
        <v>326</v>
      </c>
      <c r="I52" s="508">
        <v>327</v>
      </c>
      <c r="J52" s="508">
        <v>327</v>
      </c>
      <c r="K52" s="508">
        <v>327</v>
      </c>
      <c r="L52" s="508">
        <v>330</v>
      </c>
      <c r="M52" s="508">
        <v>330</v>
      </c>
      <c r="N52" s="508">
        <v>330</v>
      </c>
      <c r="O52" s="508">
        <v>330</v>
      </c>
      <c r="P52" s="508">
        <v>330</v>
      </c>
      <c r="Q52" s="508">
        <v>330</v>
      </c>
      <c r="R52" s="508">
        <v>330</v>
      </c>
      <c r="S52" s="508">
        <v>330</v>
      </c>
      <c r="T52" s="508">
        <v>330</v>
      </c>
      <c r="U52" s="508">
        <v>0</v>
      </c>
      <c r="V52" s="508">
        <v>0</v>
      </c>
      <c r="W52" s="508">
        <v>0</v>
      </c>
      <c r="X52" s="508">
        <v>0</v>
      </c>
      <c r="Y52" s="508">
        <v>0</v>
      </c>
      <c r="Z52" s="508">
        <v>0</v>
      </c>
    </row>
    <row r="53" spans="1:26" ht="14.5">
      <c r="A53" s="524" t="s">
        <v>329</v>
      </c>
      <c r="B53" s="514" t="s">
        <v>286</v>
      </c>
      <c r="C53" s="514" t="s">
        <v>273</v>
      </c>
      <c r="D53" s="514" t="s">
        <v>311</v>
      </c>
      <c r="E53" s="519">
        <v>30.083807</v>
      </c>
      <c r="F53" s="519">
        <v>-94.073594</v>
      </c>
      <c r="G53" s="514">
        <v>0</v>
      </c>
      <c r="H53" s="514">
        <v>0</v>
      </c>
      <c r="I53" s="514">
        <v>0</v>
      </c>
      <c r="J53" s="514">
        <v>771</v>
      </c>
      <c r="K53" s="514">
        <v>771</v>
      </c>
      <c r="L53" s="514">
        <v>590</v>
      </c>
      <c r="M53" s="514">
        <v>590</v>
      </c>
      <c r="N53" s="514">
        <v>590</v>
      </c>
      <c r="O53" s="514">
        <v>590</v>
      </c>
      <c r="P53" s="514">
        <v>590</v>
      </c>
      <c r="Q53" s="514">
        <v>590</v>
      </c>
      <c r="R53" s="514">
        <v>600</v>
      </c>
      <c r="S53" s="514">
        <v>600</v>
      </c>
      <c r="T53" s="514">
        <v>600</v>
      </c>
      <c r="U53" s="514">
        <v>600</v>
      </c>
      <c r="V53" s="514">
        <v>600</v>
      </c>
      <c r="W53" s="514">
        <v>698</v>
      </c>
      <c r="X53" s="514">
        <v>0</v>
      </c>
      <c r="Y53" s="514">
        <v>0</v>
      </c>
      <c r="Z53" s="514">
        <v>0</v>
      </c>
    </row>
    <row r="55" spans="1:26" ht="14.25" customHeight="1">
      <c r="A55" s="505" t="s">
        <v>336</v>
      </c>
    </row>
    <row r="56" spans="1:26" ht="14.25" customHeight="1" thickBot="1">
      <c r="A56" s="342" t="s">
        <v>262</v>
      </c>
      <c r="B56" s="506" t="s">
        <v>263</v>
      </c>
      <c r="C56" s="343" t="s">
        <v>264</v>
      </c>
      <c r="D56" s="343" t="s">
        <v>265</v>
      </c>
      <c r="E56" s="343" t="s">
        <v>266</v>
      </c>
      <c r="F56" s="343" t="s">
        <v>267</v>
      </c>
      <c r="G56" s="343">
        <v>2001</v>
      </c>
      <c r="H56" s="343">
        <v>2002</v>
      </c>
      <c r="I56" s="343">
        <v>2003</v>
      </c>
      <c r="J56" s="343">
        <v>2004</v>
      </c>
      <c r="K56" s="343">
        <v>2005</v>
      </c>
      <c r="L56" s="343">
        <v>2006</v>
      </c>
      <c r="M56" s="343">
        <v>2007</v>
      </c>
      <c r="N56" s="343">
        <v>2008</v>
      </c>
      <c r="O56" s="343">
        <v>2009</v>
      </c>
      <c r="P56" s="343">
        <v>2010</v>
      </c>
      <c r="Q56" s="343">
        <v>2011</v>
      </c>
      <c r="R56" s="343">
        <v>2012</v>
      </c>
      <c r="S56" s="343">
        <v>2013</v>
      </c>
      <c r="T56" s="343">
        <v>2014</v>
      </c>
      <c r="U56" s="343">
        <v>2015</v>
      </c>
      <c r="V56" s="343">
        <v>2016</v>
      </c>
      <c r="W56" s="343">
        <v>2017</v>
      </c>
      <c r="X56" s="343">
        <v>2018</v>
      </c>
      <c r="Y56" s="343">
        <v>2019</v>
      </c>
      <c r="Z56" s="343">
        <v>2020</v>
      </c>
    </row>
    <row r="57" spans="1:26" ht="15" thickTop="1">
      <c r="A57" s="507" t="s">
        <v>268</v>
      </c>
      <c r="B57" s="508" t="s">
        <v>269</v>
      </c>
      <c r="C57" s="508" t="s">
        <v>270</v>
      </c>
      <c r="D57" s="508" t="s">
        <v>271</v>
      </c>
      <c r="E57" s="509">
        <v>-20.541945999999999</v>
      </c>
      <c r="F57" s="509">
        <v>-43.742612999999999</v>
      </c>
      <c r="G57" s="507">
        <v>0</v>
      </c>
      <c r="H57" s="507">
        <v>740</v>
      </c>
      <c r="I57" s="507">
        <v>655</v>
      </c>
      <c r="J57" s="507">
        <v>655</v>
      </c>
      <c r="K57" s="507">
        <v>965</v>
      </c>
      <c r="L57" s="507">
        <v>970</v>
      </c>
      <c r="M57" s="507">
        <v>970</v>
      </c>
      <c r="N57" s="507">
        <v>960</v>
      </c>
      <c r="O57" s="507">
        <v>1070</v>
      </c>
      <c r="P57" s="507">
        <v>1070</v>
      </c>
      <c r="Q57" s="507">
        <v>1070</v>
      </c>
      <c r="R57" s="507">
        <v>1070</v>
      </c>
      <c r="S57" s="507">
        <v>2050</v>
      </c>
      <c r="T57" s="507">
        <v>2026</v>
      </c>
      <c r="U57" s="507">
        <v>2026</v>
      </c>
      <c r="V57" s="507">
        <v>3126</v>
      </c>
      <c r="W57" s="507">
        <v>3126</v>
      </c>
      <c r="X57" s="507">
        <v>3126</v>
      </c>
      <c r="Y57" s="507">
        <v>3126</v>
      </c>
      <c r="Z57" s="507">
        <v>3030</v>
      </c>
    </row>
    <row r="58" spans="1:26" ht="14.25" customHeight="1">
      <c r="A58" s="508" t="s">
        <v>272</v>
      </c>
      <c r="B58" s="508" t="s">
        <v>269</v>
      </c>
      <c r="C58" s="508" t="s">
        <v>273</v>
      </c>
      <c r="D58" s="508" t="s">
        <v>271</v>
      </c>
      <c r="E58" s="510">
        <v>-23.438216000000001</v>
      </c>
      <c r="F58" s="509">
        <v>-47.088388999999999</v>
      </c>
      <c r="G58" s="508">
        <v>0</v>
      </c>
      <c r="H58" s="508">
        <v>0</v>
      </c>
      <c r="I58" s="508">
        <v>0</v>
      </c>
      <c r="J58" s="508">
        <v>0</v>
      </c>
      <c r="K58" s="508">
        <v>0</v>
      </c>
      <c r="L58" s="508">
        <v>600</v>
      </c>
      <c r="M58" s="508">
        <v>600</v>
      </c>
      <c r="N58" s="508">
        <v>600</v>
      </c>
      <c r="O58" s="508">
        <v>600</v>
      </c>
      <c r="P58" s="508">
        <v>610</v>
      </c>
      <c r="Q58" s="508">
        <v>610</v>
      </c>
      <c r="R58" s="508">
        <v>610</v>
      </c>
      <c r="S58" s="508">
        <v>600</v>
      </c>
      <c r="T58" s="508">
        <v>600</v>
      </c>
      <c r="U58" s="508">
        <v>600</v>
      </c>
      <c r="V58" s="508">
        <v>600</v>
      </c>
      <c r="W58" s="508">
        <v>600</v>
      </c>
      <c r="X58" s="508">
        <v>600</v>
      </c>
      <c r="Y58" s="508">
        <v>600</v>
      </c>
      <c r="Z58" s="508">
        <v>600</v>
      </c>
    </row>
    <row r="59" spans="1:26" ht="14.5">
      <c r="A59" s="508" t="s">
        <v>330</v>
      </c>
      <c r="B59" s="508" t="s">
        <v>269</v>
      </c>
      <c r="C59" s="508" t="s">
        <v>273</v>
      </c>
      <c r="D59" s="508" t="s">
        <v>271</v>
      </c>
      <c r="E59" s="510">
        <v>-23.634902</v>
      </c>
      <c r="F59" s="509">
        <v>-46.622323000000002</v>
      </c>
      <c r="G59" s="508">
        <v>0</v>
      </c>
      <c r="H59" s="508">
        <v>0</v>
      </c>
      <c r="I59" s="508">
        <v>215</v>
      </c>
      <c r="J59" s="508">
        <v>305</v>
      </c>
      <c r="K59" s="508">
        <v>305</v>
      </c>
      <c r="L59" s="508">
        <v>300</v>
      </c>
      <c r="M59" s="508">
        <v>100</v>
      </c>
      <c r="N59" s="508">
        <v>250</v>
      </c>
      <c r="O59" s="508">
        <v>100</v>
      </c>
      <c r="P59" s="508">
        <v>100</v>
      </c>
      <c r="Q59" s="508">
        <v>100</v>
      </c>
      <c r="R59" s="508">
        <v>100</v>
      </c>
      <c r="S59" s="508">
        <v>104</v>
      </c>
      <c r="T59" s="508">
        <v>0</v>
      </c>
      <c r="U59" s="508">
        <v>0</v>
      </c>
      <c r="V59" s="508">
        <v>0</v>
      </c>
      <c r="W59" s="508">
        <v>0</v>
      </c>
      <c r="X59" s="508">
        <v>0</v>
      </c>
      <c r="Y59" s="508">
        <v>0</v>
      </c>
      <c r="Z59" s="508">
        <v>1520</v>
      </c>
    </row>
    <row r="60" spans="1:26" ht="14.5">
      <c r="A60" s="508" t="s">
        <v>274</v>
      </c>
      <c r="B60" s="508" t="s">
        <v>269</v>
      </c>
      <c r="C60" s="508" t="s">
        <v>273</v>
      </c>
      <c r="D60" s="508" t="s">
        <v>271</v>
      </c>
      <c r="E60" s="511">
        <v>-22.886655000000001</v>
      </c>
      <c r="F60" s="512">
        <v>-43.751722000000001</v>
      </c>
      <c r="G60" s="508">
        <v>1510</v>
      </c>
      <c r="H60" s="508">
        <v>1510</v>
      </c>
      <c r="I60" s="508">
        <v>1320</v>
      </c>
      <c r="J60" s="508">
        <v>1320</v>
      </c>
      <c r="K60" s="508">
        <v>1320</v>
      </c>
      <c r="L60" s="508">
        <v>1400</v>
      </c>
      <c r="M60" s="508">
        <v>1400</v>
      </c>
      <c r="N60" s="508">
        <v>1400</v>
      </c>
      <c r="O60" s="508">
        <v>1400</v>
      </c>
      <c r="P60" s="508">
        <v>1350</v>
      </c>
      <c r="Q60" s="508">
        <v>1350</v>
      </c>
      <c r="R60" s="508">
        <v>1350</v>
      </c>
      <c r="S60" s="508">
        <v>1414</v>
      </c>
      <c r="T60" s="508">
        <v>1414</v>
      </c>
      <c r="U60" s="508">
        <v>1414</v>
      </c>
      <c r="V60" s="508">
        <v>1414</v>
      </c>
      <c r="W60" s="508">
        <v>1414</v>
      </c>
      <c r="X60" s="508">
        <v>1414</v>
      </c>
      <c r="Y60" s="508">
        <v>1414</v>
      </c>
      <c r="Z60" s="508">
        <v>460</v>
      </c>
    </row>
    <row r="61" spans="1:26" ht="14.5">
      <c r="A61" s="508" t="s">
        <v>275</v>
      </c>
      <c r="B61" s="508" t="s">
        <v>269</v>
      </c>
      <c r="C61" s="508" t="s">
        <v>270</v>
      </c>
      <c r="D61" s="508" t="s">
        <v>271</v>
      </c>
      <c r="E61" s="511">
        <v>-20.153541000000001</v>
      </c>
      <c r="F61" s="512">
        <v>-44.875486000000002</v>
      </c>
      <c r="G61" s="508">
        <v>456</v>
      </c>
      <c r="H61" s="508">
        <v>456</v>
      </c>
      <c r="I61" s="508">
        <v>550</v>
      </c>
      <c r="J61" s="508">
        <v>550</v>
      </c>
      <c r="K61" s="508">
        <v>550</v>
      </c>
      <c r="L61" s="508">
        <v>530</v>
      </c>
      <c r="M61" s="508">
        <v>530</v>
      </c>
      <c r="N61" s="508">
        <v>530</v>
      </c>
      <c r="O61" s="508">
        <v>530</v>
      </c>
      <c r="P61" s="508">
        <v>520</v>
      </c>
      <c r="Q61" s="508">
        <v>520</v>
      </c>
      <c r="R61" s="508">
        <v>520</v>
      </c>
      <c r="S61" s="508">
        <v>518</v>
      </c>
      <c r="T61" s="508">
        <v>460</v>
      </c>
      <c r="U61" s="508">
        <v>460</v>
      </c>
      <c r="V61" s="508">
        <v>460</v>
      </c>
      <c r="W61" s="508">
        <v>460</v>
      </c>
      <c r="X61" s="508">
        <v>460</v>
      </c>
      <c r="Y61" s="508">
        <v>460</v>
      </c>
      <c r="Z61" s="508">
        <v>495</v>
      </c>
    </row>
    <row r="62" spans="1:26" ht="14.5">
      <c r="A62" s="508" t="s">
        <v>276</v>
      </c>
      <c r="B62" s="508" t="s">
        <v>269</v>
      </c>
      <c r="C62" s="508" t="s">
        <v>273</v>
      </c>
      <c r="D62" s="508" t="s">
        <v>271</v>
      </c>
      <c r="E62" s="511">
        <v>-29.808160999999998</v>
      </c>
      <c r="F62" s="512">
        <v>-51.174163999999998</v>
      </c>
      <c r="G62" s="508">
        <v>470</v>
      </c>
      <c r="H62" s="508">
        <v>470</v>
      </c>
      <c r="I62" s="508">
        <v>400</v>
      </c>
      <c r="J62" s="508">
        <v>400</v>
      </c>
      <c r="K62" s="508">
        <v>490</v>
      </c>
      <c r="L62" s="508">
        <v>520</v>
      </c>
      <c r="M62" s="508">
        <v>520</v>
      </c>
      <c r="N62" s="508">
        <v>490</v>
      </c>
      <c r="O62" s="508">
        <v>490</v>
      </c>
      <c r="P62" s="508">
        <v>500</v>
      </c>
      <c r="Q62" s="508">
        <v>500</v>
      </c>
      <c r="R62" s="508">
        <v>500</v>
      </c>
      <c r="S62" s="508">
        <v>495</v>
      </c>
      <c r="T62" s="508">
        <v>495</v>
      </c>
      <c r="U62" s="508">
        <v>495</v>
      </c>
      <c r="V62" s="508">
        <v>495</v>
      </c>
      <c r="W62" s="508">
        <v>495</v>
      </c>
      <c r="X62" s="508">
        <v>495</v>
      </c>
      <c r="Y62" s="508">
        <v>495</v>
      </c>
      <c r="Z62" s="508">
        <v>180</v>
      </c>
    </row>
    <row r="63" spans="1:26" ht="14.5">
      <c r="A63" s="508" t="s">
        <v>277</v>
      </c>
      <c r="B63" s="508" t="s">
        <v>269</v>
      </c>
      <c r="C63" s="508" t="s">
        <v>270</v>
      </c>
      <c r="D63" s="508" t="s">
        <v>271</v>
      </c>
      <c r="E63" s="511">
        <v>-19.936737000000001</v>
      </c>
      <c r="F63" s="512">
        <v>-43.477446</v>
      </c>
      <c r="G63" s="508">
        <v>198</v>
      </c>
      <c r="H63" s="508">
        <v>198</v>
      </c>
      <c r="I63" s="508">
        <v>200</v>
      </c>
      <c r="J63" s="508">
        <v>200</v>
      </c>
      <c r="K63" s="508">
        <v>200</v>
      </c>
      <c r="L63" s="508">
        <v>200</v>
      </c>
      <c r="M63" s="508">
        <v>200</v>
      </c>
      <c r="N63" s="508">
        <v>200</v>
      </c>
      <c r="O63" s="508">
        <v>200</v>
      </c>
      <c r="P63" s="508">
        <v>200</v>
      </c>
      <c r="Q63" s="508">
        <v>200</v>
      </c>
      <c r="R63" s="508">
        <v>200</v>
      </c>
      <c r="S63" s="508">
        <v>196</v>
      </c>
      <c r="T63" s="508">
        <v>196</v>
      </c>
      <c r="U63" s="508">
        <v>196</v>
      </c>
      <c r="V63" s="508">
        <v>196</v>
      </c>
      <c r="W63" s="508">
        <v>196</v>
      </c>
      <c r="X63" s="508">
        <v>196</v>
      </c>
      <c r="Y63" s="508">
        <v>196</v>
      </c>
      <c r="Z63" s="508">
        <v>242</v>
      </c>
    </row>
    <row r="64" spans="1:26" ht="14.5">
      <c r="A64" s="508" t="s">
        <v>278</v>
      </c>
      <c r="B64" s="508" t="s">
        <v>269</v>
      </c>
      <c r="C64" s="508" t="s">
        <v>273</v>
      </c>
      <c r="D64" s="508" t="s">
        <v>271</v>
      </c>
      <c r="E64" s="511">
        <v>-8.0745260000000005</v>
      </c>
      <c r="F64" s="512">
        <v>-34.975701000000001</v>
      </c>
      <c r="G64" s="508">
        <v>270</v>
      </c>
      <c r="H64" s="508">
        <v>270</v>
      </c>
      <c r="I64" s="508">
        <v>240</v>
      </c>
      <c r="J64" s="508">
        <v>240</v>
      </c>
      <c r="K64" s="508">
        <v>250</v>
      </c>
      <c r="L64" s="508">
        <v>250</v>
      </c>
      <c r="M64" s="508">
        <v>250</v>
      </c>
      <c r="N64" s="508">
        <v>160</v>
      </c>
      <c r="O64" s="508">
        <v>160</v>
      </c>
      <c r="P64" s="508">
        <v>160</v>
      </c>
      <c r="Q64" s="508">
        <v>160</v>
      </c>
      <c r="R64" s="508">
        <v>160</v>
      </c>
      <c r="S64" s="508">
        <v>242</v>
      </c>
      <c r="T64" s="508">
        <v>242</v>
      </c>
      <c r="U64" s="508">
        <v>242</v>
      </c>
      <c r="V64" s="508">
        <v>242</v>
      </c>
      <c r="W64" s="508">
        <v>242</v>
      </c>
      <c r="X64" s="508">
        <v>242</v>
      </c>
      <c r="Y64" s="508">
        <v>242</v>
      </c>
      <c r="Z64" s="508">
        <v>140</v>
      </c>
    </row>
    <row r="65" spans="1:26" ht="14.5">
      <c r="A65" s="508" t="s">
        <v>375</v>
      </c>
      <c r="B65" s="508" t="s">
        <v>269</v>
      </c>
      <c r="C65" s="508" t="s">
        <v>273</v>
      </c>
      <c r="D65" s="508" t="s">
        <v>271</v>
      </c>
      <c r="E65" s="601">
        <v>-2.85</v>
      </c>
      <c r="F65" s="602">
        <v>-39.15</v>
      </c>
      <c r="G65" s="508"/>
      <c r="H65" s="508"/>
      <c r="I65" s="508"/>
      <c r="J65" s="508"/>
      <c r="K65" s="508"/>
      <c r="L65" s="508"/>
      <c r="M65" s="508"/>
      <c r="N65" s="508"/>
      <c r="O65" s="508"/>
      <c r="P65" s="508">
        <v>0</v>
      </c>
      <c r="Q65" s="508">
        <v>0</v>
      </c>
      <c r="R65" s="508">
        <v>0</v>
      </c>
      <c r="S65" s="508">
        <v>0</v>
      </c>
      <c r="T65" s="508">
        <v>0</v>
      </c>
      <c r="U65" s="508">
        <v>0</v>
      </c>
      <c r="V65" s="508">
        <v>0</v>
      </c>
      <c r="W65" s="508">
        <v>0</v>
      </c>
      <c r="X65" s="508">
        <v>0</v>
      </c>
      <c r="Y65" s="508">
        <v>0</v>
      </c>
      <c r="Z65" s="508">
        <v>600</v>
      </c>
    </row>
    <row r="66" spans="1:26" ht="14.5">
      <c r="A66" s="508" t="s">
        <v>279</v>
      </c>
      <c r="B66" s="508" t="s">
        <v>269</v>
      </c>
      <c r="C66" s="508" t="s">
        <v>273</v>
      </c>
      <c r="D66" s="508" t="s">
        <v>271</v>
      </c>
      <c r="E66" s="511">
        <v>-3.8548979999999999</v>
      </c>
      <c r="F66" s="512">
        <v>-38.605668999999999</v>
      </c>
      <c r="G66" s="508">
        <v>120</v>
      </c>
      <c r="H66" s="508">
        <v>120</v>
      </c>
      <c r="I66" s="508">
        <v>110</v>
      </c>
      <c r="J66" s="508">
        <v>110</v>
      </c>
      <c r="K66" s="508">
        <v>120</v>
      </c>
      <c r="L66" s="508">
        <v>160</v>
      </c>
      <c r="M66" s="508">
        <v>160</v>
      </c>
      <c r="N66" s="508">
        <v>250</v>
      </c>
      <c r="O66" s="508">
        <v>250</v>
      </c>
      <c r="P66" s="508">
        <v>240</v>
      </c>
      <c r="Q66" s="508">
        <v>240</v>
      </c>
      <c r="R66" s="508">
        <v>240</v>
      </c>
      <c r="S66" s="508">
        <v>161</v>
      </c>
      <c r="T66" s="508">
        <v>161</v>
      </c>
      <c r="U66" s="508">
        <v>161</v>
      </c>
      <c r="V66" s="508">
        <v>161</v>
      </c>
      <c r="W66" s="508">
        <v>161</v>
      </c>
      <c r="X66" s="508">
        <v>161</v>
      </c>
      <c r="Y66" s="508">
        <v>161</v>
      </c>
      <c r="Z66" s="508">
        <v>0</v>
      </c>
    </row>
    <row r="67" spans="1:26" ht="14.5">
      <c r="A67" s="508" t="s">
        <v>280</v>
      </c>
      <c r="B67" s="508" t="s">
        <v>269</v>
      </c>
      <c r="C67" s="508" t="s">
        <v>273</v>
      </c>
      <c r="D67" s="508" t="s">
        <v>271</v>
      </c>
      <c r="E67" s="511">
        <v>-25.563196000000001</v>
      </c>
      <c r="F67" s="512">
        <v>-49.421805999999997</v>
      </c>
      <c r="G67" s="508">
        <v>167</v>
      </c>
      <c r="H67" s="508">
        <v>167</v>
      </c>
      <c r="I67" s="508">
        <v>130</v>
      </c>
      <c r="J67" s="508">
        <v>130</v>
      </c>
      <c r="K67" s="508">
        <v>130</v>
      </c>
      <c r="L67" s="508">
        <v>180</v>
      </c>
      <c r="M67" s="508">
        <v>180</v>
      </c>
      <c r="N67" s="508">
        <v>180</v>
      </c>
      <c r="O67" s="508">
        <v>180</v>
      </c>
      <c r="P67" s="508">
        <v>170</v>
      </c>
      <c r="Q67" s="508">
        <v>170</v>
      </c>
      <c r="R67" s="508">
        <v>170</v>
      </c>
      <c r="S67" s="508">
        <v>166</v>
      </c>
      <c r="T67" s="508">
        <v>0</v>
      </c>
      <c r="U67" s="508">
        <v>0</v>
      </c>
      <c r="V67" s="508">
        <v>0</v>
      </c>
      <c r="W67" s="508">
        <v>0</v>
      </c>
      <c r="X67" s="508">
        <v>0</v>
      </c>
      <c r="Y67" s="508">
        <v>0</v>
      </c>
      <c r="Z67" s="508">
        <v>0</v>
      </c>
    </row>
    <row r="68" spans="1:26" s="525" customFormat="1" ht="14.5">
      <c r="A68" s="514" t="s">
        <v>281</v>
      </c>
      <c r="B68" s="514" t="s">
        <v>269</v>
      </c>
      <c r="C68" s="514" t="s">
        <v>273</v>
      </c>
      <c r="D68" s="514" t="s">
        <v>271</v>
      </c>
      <c r="E68" s="515">
        <v>-12.85547</v>
      </c>
      <c r="F68" s="516">
        <v>-38.421968</v>
      </c>
      <c r="G68" s="514">
        <v>400</v>
      </c>
      <c r="H68" s="514">
        <v>500</v>
      </c>
      <c r="I68" s="514">
        <v>430</v>
      </c>
      <c r="J68" s="514">
        <v>430</v>
      </c>
      <c r="K68" s="514">
        <v>430</v>
      </c>
      <c r="L68" s="514">
        <v>430</v>
      </c>
      <c r="M68" s="514">
        <v>430</v>
      </c>
      <c r="N68" s="514">
        <v>430</v>
      </c>
      <c r="O68" s="514">
        <v>430</v>
      </c>
      <c r="P68" s="514">
        <v>400</v>
      </c>
      <c r="Q68" s="514">
        <v>400</v>
      </c>
      <c r="R68" s="514">
        <v>400</v>
      </c>
      <c r="S68" s="514">
        <v>397</v>
      </c>
      <c r="T68" s="514">
        <v>0</v>
      </c>
      <c r="U68" s="514">
        <v>0</v>
      </c>
      <c r="V68" s="514">
        <v>0</v>
      </c>
      <c r="W68" s="514">
        <v>0</v>
      </c>
      <c r="X68" s="514">
        <v>0</v>
      </c>
      <c r="Y68" s="514">
        <v>0</v>
      </c>
      <c r="Z68" s="514">
        <v>0</v>
      </c>
    </row>
    <row r="69" spans="1:26" s="525" customFormat="1" ht="14.5">
      <c r="A69" s="508" t="s">
        <v>282</v>
      </c>
      <c r="B69" s="508" t="s">
        <v>269</v>
      </c>
      <c r="C69" s="508" t="s">
        <v>273</v>
      </c>
      <c r="D69" s="508" t="s">
        <v>283</v>
      </c>
      <c r="E69" s="510">
        <v>-22.902715000000001</v>
      </c>
      <c r="F69" s="509">
        <v>-45.354213999999999</v>
      </c>
      <c r="G69" s="526">
        <v>0</v>
      </c>
      <c r="H69" s="526">
        <v>0</v>
      </c>
      <c r="I69" s="526">
        <v>0</v>
      </c>
      <c r="J69" s="526">
        <v>0</v>
      </c>
      <c r="K69" s="526">
        <v>0</v>
      </c>
      <c r="L69" s="526">
        <v>0</v>
      </c>
      <c r="M69" s="526">
        <v>0</v>
      </c>
      <c r="N69" s="526">
        <v>970</v>
      </c>
      <c r="O69" s="526">
        <v>950</v>
      </c>
      <c r="P69" s="526">
        <v>910</v>
      </c>
      <c r="Q69" s="526">
        <v>910</v>
      </c>
      <c r="R69" s="526">
        <v>690</v>
      </c>
      <c r="S69" s="526">
        <v>1188</v>
      </c>
      <c r="T69" s="526">
        <v>1188</v>
      </c>
      <c r="U69" s="526">
        <v>1188</v>
      </c>
      <c r="V69" s="526">
        <v>1188</v>
      </c>
      <c r="W69" s="526">
        <v>1188</v>
      </c>
      <c r="X69" s="526">
        <v>1188</v>
      </c>
      <c r="Y69" s="526">
        <v>1188</v>
      </c>
      <c r="Z69" s="526">
        <v>1188</v>
      </c>
    </row>
    <row r="70" spans="1:26" ht="14.5">
      <c r="A70" s="508" t="s">
        <v>284</v>
      </c>
      <c r="B70" s="508" t="s">
        <v>269</v>
      </c>
      <c r="C70" s="508" t="s">
        <v>273</v>
      </c>
      <c r="D70" s="508" t="s">
        <v>283</v>
      </c>
      <c r="E70" s="511">
        <v>-29.959537999999998</v>
      </c>
      <c r="F70" s="512">
        <v>-51.615285999999998</v>
      </c>
      <c r="G70" s="508">
        <v>380</v>
      </c>
      <c r="H70" s="508">
        <v>380</v>
      </c>
      <c r="I70" s="526">
        <v>390</v>
      </c>
      <c r="J70" s="526">
        <v>390</v>
      </c>
      <c r="K70" s="526">
        <v>500</v>
      </c>
      <c r="L70" s="526">
        <v>500</v>
      </c>
      <c r="M70" s="526">
        <v>490</v>
      </c>
      <c r="N70" s="526">
        <v>490</v>
      </c>
      <c r="O70" s="526">
        <v>490</v>
      </c>
      <c r="P70" s="526">
        <v>470</v>
      </c>
      <c r="Q70" s="526">
        <v>470</v>
      </c>
      <c r="R70" s="526">
        <v>465</v>
      </c>
      <c r="S70" s="526">
        <v>465</v>
      </c>
      <c r="T70" s="526">
        <v>465</v>
      </c>
      <c r="U70" s="526">
        <v>465</v>
      </c>
      <c r="V70" s="526">
        <v>465</v>
      </c>
      <c r="W70" s="526">
        <v>465</v>
      </c>
      <c r="X70" s="526">
        <v>615</v>
      </c>
      <c r="Y70" s="526">
        <v>615</v>
      </c>
      <c r="Z70" s="526">
        <v>615</v>
      </c>
    </row>
    <row r="71" spans="1:26" ht="14.25" customHeight="1">
      <c r="A71" s="508" t="s">
        <v>285</v>
      </c>
      <c r="B71" s="508" t="s">
        <v>286</v>
      </c>
      <c r="C71" s="508" t="s">
        <v>273</v>
      </c>
      <c r="D71" s="508" t="s">
        <v>283</v>
      </c>
      <c r="E71" s="510">
        <v>41.894281999999997</v>
      </c>
      <c r="F71" s="509">
        <v>-83.359920000000002</v>
      </c>
      <c r="G71" s="508">
        <v>0</v>
      </c>
      <c r="H71" s="508">
        <v>0</v>
      </c>
      <c r="I71" s="526">
        <v>0</v>
      </c>
      <c r="J71" s="526">
        <v>0</v>
      </c>
      <c r="K71" s="526">
        <v>0</v>
      </c>
      <c r="L71" s="526">
        <v>0</v>
      </c>
      <c r="M71" s="526">
        <v>0</v>
      </c>
      <c r="N71" s="526">
        <v>490</v>
      </c>
      <c r="O71" s="526">
        <v>490</v>
      </c>
      <c r="P71" s="526">
        <v>490</v>
      </c>
      <c r="Q71" s="526">
        <v>490</v>
      </c>
      <c r="R71" s="526">
        <v>490</v>
      </c>
      <c r="S71" s="526">
        <v>490</v>
      </c>
      <c r="T71" s="526">
        <v>490</v>
      </c>
      <c r="U71" s="526">
        <v>490</v>
      </c>
      <c r="V71" s="526">
        <v>490</v>
      </c>
      <c r="W71" s="526">
        <v>490</v>
      </c>
      <c r="X71" s="526">
        <v>690</v>
      </c>
      <c r="Y71" s="526">
        <v>690</v>
      </c>
      <c r="Z71" s="526">
        <v>625</v>
      </c>
    </row>
    <row r="72" spans="1:26" ht="14.5">
      <c r="A72" s="508" t="s">
        <v>287</v>
      </c>
      <c r="B72" s="508" t="s">
        <v>286</v>
      </c>
      <c r="C72" s="508" t="s">
        <v>273</v>
      </c>
      <c r="D72" s="508" t="s">
        <v>283</v>
      </c>
      <c r="E72" s="509">
        <v>35.307222000000003</v>
      </c>
      <c r="F72" s="509">
        <v>-94.374323000000004</v>
      </c>
      <c r="G72" s="508">
        <v>0</v>
      </c>
      <c r="H72" s="508">
        <v>0</v>
      </c>
      <c r="I72" s="526">
        <v>0</v>
      </c>
      <c r="J72" s="526">
        <v>0</v>
      </c>
      <c r="K72" s="526">
        <v>0</v>
      </c>
      <c r="L72" s="526">
        <v>0</v>
      </c>
      <c r="M72" s="526">
        <v>0</v>
      </c>
      <c r="N72" s="526">
        <v>495</v>
      </c>
      <c r="O72" s="526">
        <v>495</v>
      </c>
      <c r="P72" s="526">
        <v>495</v>
      </c>
      <c r="Q72" s="526">
        <v>495</v>
      </c>
      <c r="R72" s="526">
        <v>495</v>
      </c>
      <c r="S72" s="526">
        <v>463</v>
      </c>
      <c r="T72" s="526">
        <v>463</v>
      </c>
      <c r="U72" s="526">
        <v>550</v>
      </c>
      <c r="V72" s="526">
        <v>550</v>
      </c>
      <c r="W72" s="526">
        <v>550</v>
      </c>
      <c r="X72" s="526">
        <v>550</v>
      </c>
      <c r="Y72" s="526">
        <v>550</v>
      </c>
      <c r="Z72" s="526">
        <v>500</v>
      </c>
    </row>
    <row r="73" spans="1:26" ht="14.5">
      <c r="A73" s="508" t="s">
        <v>288</v>
      </c>
      <c r="B73" s="508" t="s">
        <v>269</v>
      </c>
      <c r="C73" s="508" t="s">
        <v>273</v>
      </c>
      <c r="D73" s="508" t="s">
        <v>283</v>
      </c>
      <c r="E73" s="510">
        <v>-23.524728</v>
      </c>
      <c r="F73" s="509">
        <v>-46.157938000000001</v>
      </c>
      <c r="G73" s="517">
        <v>0</v>
      </c>
      <c r="H73" s="517">
        <v>0</v>
      </c>
      <c r="I73" s="526">
        <v>0</v>
      </c>
      <c r="J73" s="526">
        <v>0</v>
      </c>
      <c r="K73" s="526">
        <v>0</v>
      </c>
      <c r="L73" s="526">
        <v>0</v>
      </c>
      <c r="M73" s="526">
        <v>0</v>
      </c>
      <c r="N73" s="526">
        <v>0</v>
      </c>
      <c r="O73" s="526">
        <v>0</v>
      </c>
      <c r="P73" s="526">
        <v>0</v>
      </c>
      <c r="Q73" s="526">
        <v>0</v>
      </c>
      <c r="R73" s="526">
        <v>200</v>
      </c>
      <c r="S73" s="526">
        <v>200</v>
      </c>
      <c r="T73" s="526">
        <v>264</v>
      </c>
      <c r="U73" s="526">
        <v>264</v>
      </c>
      <c r="V73" s="526">
        <v>264</v>
      </c>
      <c r="W73" s="526">
        <v>264</v>
      </c>
      <c r="X73" s="526">
        <v>264</v>
      </c>
      <c r="Y73" s="526">
        <v>264</v>
      </c>
      <c r="Z73" s="526">
        <v>0</v>
      </c>
    </row>
    <row r="74" spans="1:26" ht="14.5">
      <c r="A74" s="508" t="s">
        <v>331</v>
      </c>
      <c r="B74" s="508" t="s">
        <v>269</v>
      </c>
      <c r="C74" s="508" t="s">
        <v>273</v>
      </c>
      <c r="D74" s="508" t="s">
        <v>283</v>
      </c>
      <c r="E74" s="510">
        <v>-23.493226</v>
      </c>
      <c r="F74" s="509">
        <v>-47.442335999999997</v>
      </c>
      <c r="G74" s="517">
        <v>0</v>
      </c>
      <c r="H74" s="517">
        <v>0</v>
      </c>
      <c r="I74" s="526">
        <v>0</v>
      </c>
      <c r="J74" s="526">
        <v>0</v>
      </c>
      <c r="K74" s="526">
        <v>0</v>
      </c>
      <c r="L74" s="526">
        <v>0</v>
      </c>
      <c r="M74" s="526">
        <v>0</v>
      </c>
      <c r="N74" s="526">
        <v>0</v>
      </c>
      <c r="O74" s="526">
        <v>0</v>
      </c>
      <c r="P74" s="526">
        <v>0</v>
      </c>
      <c r="Q74" s="526">
        <v>0</v>
      </c>
      <c r="R74" s="526">
        <v>20</v>
      </c>
      <c r="S74" s="526">
        <v>23</v>
      </c>
      <c r="T74" s="526">
        <v>23</v>
      </c>
      <c r="U74" s="526">
        <v>0</v>
      </c>
      <c r="V74" s="526">
        <v>0</v>
      </c>
      <c r="W74" s="526">
        <v>0</v>
      </c>
      <c r="X74" s="526">
        <v>0</v>
      </c>
      <c r="Y74" s="526">
        <v>0</v>
      </c>
      <c r="Z74" s="526">
        <v>0</v>
      </c>
    </row>
    <row r="75" spans="1:26" ht="14.5">
      <c r="A75" s="508" t="s">
        <v>289</v>
      </c>
      <c r="B75" s="508" t="s">
        <v>286</v>
      </c>
      <c r="C75" s="508" t="s">
        <v>273</v>
      </c>
      <c r="D75" s="508" t="s">
        <v>283</v>
      </c>
      <c r="E75" s="509">
        <v>42.313298000000003</v>
      </c>
      <c r="F75" s="509">
        <v>-84.430014</v>
      </c>
      <c r="G75" s="517">
        <v>0</v>
      </c>
      <c r="H75" s="517">
        <v>0</v>
      </c>
      <c r="I75" s="526">
        <v>0</v>
      </c>
      <c r="J75" s="526">
        <v>0</v>
      </c>
      <c r="K75" s="526">
        <v>0</v>
      </c>
      <c r="L75" s="526">
        <v>0</v>
      </c>
      <c r="M75" s="526">
        <v>0</v>
      </c>
      <c r="N75" s="526">
        <v>140</v>
      </c>
      <c r="O75" s="526">
        <v>140</v>
      </c>
      <c r="P75" s="526">
        <v>255</v>
      </c>
      <c r="Q75" s="526">
        <v>255</v>
      </c>
      <c r="R75" s="526">
        <v>280</v>
      </c>
      <c r="S75" s="526">
        <v>276</v>
      </c>
      <c r="T75" s="526">
        <v>276</v>
      </c>
      <c r="U75" s="526">
        <v>276</v>
      </c>
      <c r="V75" s="526">
        <v>276</v>
      </c>
      <c r="W75" s="526">
        <v>276</v>
      </c>
      <c r="X75" s="526">
        <v>276</v>
      </c>
      <c r="Y75" s="526">
        <v>276</v>
      </c>
      <c r="Z75" s="526">
        <v>0</v>
      </c>
    </row>
    <row r="76" spans="1:26" ht="14.5">
      <c r="A76" s="508" t="s">
        <v>290</v>
      </c>
      <c r="B76" s="508" t="s">
        <v>291</v>
      </c>
      <c r="C76" s="508" t="s">
        <v>273</v>
      </c>
      <c r="D76" s="508" t="s">
        <v>283</v>
      </c>
      <c r="E76" s="509">
        <v>43.229018000000003</v>
      </c>
      <c r="F76" s="509">
        <v>-2.8857249999999999</v>
      </c>
      <c r="G76" s="517">
        <v>0</v>
      </c>
      <c r="H76" s="517">
        <v>0</v>
      </c>
      <c r="I76" s="517">
        <v>0</v>
      </c>
      <c r="J76" s="517">
        <v>0</v>
      </c>
      <c r="K76" s="517">
        <v>0</v>
      </c>
      <c r="L76" s="517">
        <v>850</v>
      </c>
      <c r="M76" s="517">
        <v>825</v>
      </c>
      <c r="N76" s="517">
        <v>825</v>
      </c>
      <c r="O76" s="517">
        <v>825</v>
      </c>
      <c r="P76" s="517">
        <v>825</v>
      </c>
      <c r="Q76" s="517">
        <v>825</v>
      </c>
      <c r="R76" s="526">
        <v>370</v>
      </c>
      <c r="S76" s="526">
        <v>372</v>
      </c>
      <c r="T76" s="526">
        <v>372</v>
      </c>
      <c r="U76" s="526">
        <v>372</v>
      </c>
      <c r="V76" s="526">
        <v>0</v>
      </c>
      <c r="W76" s="526">
        <v>0</v>
      </c>
      <c r="X76" s="526">
        <v>0</v>
      </c>
      <c r="Y76" s="526">
        <v>0</v>
      </c>
      <c r="Z76" s="526">
        <v>0</v>
      </c>
    </row>
    <row r="77" spans="1:26" ht="14.5">
      <c r="A77" s="508" t="s">
        <v>292</v>
      </c>
      <c r="B77" s="508" t="s">
        <v>291</v>
      </c>
      <c r="C77" s="508" t="s">
        <v>273</v>
      </c>
      <c r="D77" s="508" t="s">
        <v>283</v>
      </c>
      <c r="E77" s="509">
        <v>43.011865</v>
      </c>
      <c r="F77" s="509">
        <v>-4.1367969999999996</v>
      </c>
      <c r="G77" s="517">
        <v>0</v>
      </c>
      <c r="H77" s="517">
        <v>0</v>
      </c>
      <c r="I77" s="517">
        <v>0</v>
      </c>
      <c r="J77" s="517">
        <v>0</v>
      </c>
      <c r="K77" s="517">
        <v>0</v>
      </c>
      <c r="L77" s="517">
        <v>0</v>
      </c>
      <c r="M77" s="517">
        <v>0</v>
      </c>
      <c r="N77" s="517">
        <v>0</v>
      </c>
      <c r="O77" s="517">
        <v>0</v>
      </c>
      <c r="P77" s="517">
        <v>0</v>
      </c>
      <c r="Q77" s="517">
        <v>0</v>
      </c>
      <c r="R77" s="526">
        <v>160</v>
      </c>
      <c r="S77" s="526">
        <v>161</v>
      </c>
      <c r="T77" s="526">
        <v>161</v>
      </c>
      <c r="U77" s="526">
        <v>161</v>
      </c>
      <c r="V77" s="526">
        <v>0</v>
      </c>
      <c r="W77" s="526">
        <v>0</v>
      </c>
      <c r="X77" s="526">
        <v>0</v>
      </c>
      <c r="Y77" s="526">
        <v>0</v>
      </c>
      <c r="Z77" s="526">
        <v>0</v>
      </c>
    </row>
    <row r="78" spans="1:26" ht="14.5">
      <c r="A78" s="508" t="s">
        <v>332</v>
      </c>
      <c r="B78" s="508" t="s">
        <v>291</v>
      </c>
      <c r="C78" s="508" t="s">
        <v>273</v>
      </c>
      <c r="D78" s="508" t="s">
        <v>283</v>
      </c>
      <c r="E78" s="509">
        <v>43.171785999999997</v>
      </c>
      <c r="F78" s="509">
        <v>-2.3224369999999999</v>
      </c>
      <c r="G78" s="517">
        <v>0</v>
      </c>
      <c r="H78" s="517">
        <v>0</v>
      </c>
      <c r="I78" s="517">
        <v>0</v>
      </c>
      <c r="J78" s="517">
        <v>0</v>
      </c>
      <c r="K78" s="517">
        <v>0</v>
      </c>
      <c r="L78" s="517">
        <v>0</v>
      </c>
      <c r="M78" s="517">
        <v>0</v>
      </c>
      <c r="N78" s="517">
        <v>0</v>
      </c>
      <c r="O78" s="517">
        <v>0</v>
      </c>
      <c r="P78" s="517">
        <v>0</v>
      </c>
      <c r="Q78" s="517">
        <v>0</v>
      </c>
      <c r="R78" s="526">
        <v>330</v>
      </c>
      <c r="S78" s="526">
        <v>377</v>
      </c>
      <c r="T78" s="526">
        <v>377</v>
      </c>
      <c r="U78" s="526">
        <v>397</v>
      </c>
      <c r="V78" s="526">
        <v>0</v>
      </c>
      <c r="W78" s="526">
        <v>0</v>
      </c>
      <c r="X78" s="526">
        <v>0</v>
      </c>
      <c r="Y78" s="526">
        <v>0</v>
      </c>
      <c r="Z78" s="526">
        <v>0</v>
      </c>
    </row>
    <row r="79" spans="1:26" ht="14.5">
      <c r="A79" s="508" t="s">
        <v>333</v>
      </c>
      <c r="B79" s="508" t="s">
        <v>291</v>
      </c>
      <c r="C79" s="508" t="s">
        <v>273</v>
      </c>
      <c r="D79" s="508" t="s">
        <v>283</v>
      </c>
      <c r="E79" s="509">
        <v>37.118794000000001</v>
      </c>
      <c r="F79" s="509">
        <v>-88.370418000000001</v>
      </c>
      <c r="G79" s="517">
        <v>0</v>
      </c>
      <c r="H79" s="517">
        <v>0</v>
      </c>
      <c r="I79" s="517">
        <v>0</v>
      </c>
      <c r="J79" s="517">
        <v>0</v>
      </c>
      <c r="K79" s="517">
        <v>0</v>
      </c>
      <c r="L79" s="517">
        <v>0</v>
      </c>
      <c r="M79" s="517">
        <v>0</v>
      </c>
      <c r="N79" s="517">
        <v>0</v>
      </c>
      <c r="O79" s="517">
        <v>0</v>
      </c>
      <c r="P79" s="517">
        <v>0</v>
      </c>
      <c r="Q79" s="517">
        <v>0</v>
      </c>
      <c r="R79" s="526">
        <v>200</v>
      </c>
      <c r="S79" s="526">
        <v>200</v>
      </c>
      <c r="T79" s="526">
        <v>200</v>
      </c>
      <c r="U79" s="526">
        <v>200</v>
      </c>
      <c r="V79" s="526">
        <v>0</v>
      </c>
      <c r="W79" s="526">
        <v>0</v>
      </c>
      <c r="X79" s="526">
        <v>0</v>
      </c>
      <c r="Y79" s="526">
        <v>0</v>
      </c>
      <c r="Z79" s="526">
        <v>0</v>
      </c>
    </row>
    <row r="80" spans="1:26" ht="14.5">
      <c r="A80" s="508" t="s">
        <v>293</v>
      </c>
      <c r="B80" s="508" t="s">
        <v>291</v>
      </c>
      <c r="C80" s="508" t="s">
        <v>273</v>
      </c>
      <c r="D80" s="508" t="s">
        <v>283</v>
      </c>
      <c r="E80" s="509">
        <v>43.195217</v>
      </c>
      <c r="F80" s="509">
        <v>-2.3100360000000002</v>
      </c>
      <c r="G80" s="517">
        <v>0</v>
      </c>
      <c r="H80" s="517">
        <v>0</v>
      </c>
      <c r="I80" s="517">
        <v>0</v>
      </c>
      <c r="J80" s="517">
        <v>0</v>
      </c>
      <c r="K80" s="517">
        <v>0</v>
      </c>
      <c r="L80" s="517">
        <v>0</v>
      </c>
      <c r="M80" s="508">
        <v>395</v>
      </c>
      <c r="N80" s="508">
        <v>395</v>
      </c>
      <c r="O80" s="508">
        <v>355</v>
      </c>
      <c r="P80" s="508">
        <v>245</v>
      </c>
      <c r="Q80" s="508">
        <v>245</v>
      </c>
      <c r="R80" s="526">
        <v>0</v>
      </c>
      <c r="S80" s="526">
        <v>0</v>
      </c>
      <c r="T80" s="526">
        <v>0</v>
      </c>
      <c r="U80" s="526">
        <v>0</v>
      </c>
      <c r="V80" s="526">
        <v>0</v>
      </c>
      <c r="W80" s="526">
        <v>0</v>
      </c>
      <c r="X80" s="526">
        <v>0</v>
      </c>
      <c r="Y80" s="526">
        <v>0</v>
      </c>
      <c r="Z80" s="526">
        <v>0</v>
      </c>
    </row>
    <row r="81" spans="1:26" ht="14.5">
      <c r="A81" s="514" t="s">
        <v>294</v>
      </c>
      <c r="B81" s="514" t="s">
        <v>295</v>
      </c>
      <c r="C81" s="514" t="s">
        <v>270</v>
      </c>
      <c r="D81" s="514" t="s">
        <v>283</v>
      </c>
      <c r="E81" s="518">
        <v>15.159207</v>
      </c>
      <c r="F81" s="519">
        <v>78.005082000000002</v>
      </c>
      <c r="G81" s="514">
        <v>0</v>
      </c>
      <c r="H81" s="514">
        <v>0</v>
      </c>
      <c r="I81" s="514">
        <v>0</v>
      </c>
      <c r="J81" s="514">
        <v>0</v>
      </c>
      <c r="K81" s="514">
        <v>0</v>
      </c>
      <c r="L81" s="514">
        <v>0</v>
      </c>
      <c r="M81" s="514">
        <v>0</v>
      </c>
      <c r="N81" s="514">
        <v>0</v>
      </c>
      <c r="O81" s="514">
        <v>0</v>
      </c>
      <c r="P81" s="514">
        <v>0</v>
      </c>
      <c r="Q81" s="514">
        <v>0</v>
      </c>
      <c r="R81" s="514">
        <v>0</v>
      </c>
      <c r="S81" s="514">
        <v>300</v>
      </c>
      <c r="T81" s="514">
        <v>300</v>
      </c>
      <c r="U81" s="514">
        <v>300</v>
      </c>
      <c r="V81" s="514">
        <v>300</v>
      </c>
      <c r="W81" s="514">
        <v>300</v>
      </c>
      <c r="X81" s="514">
        <v>0</v>
      </c>
      <c r="Y81" s="514">
        <v>0</v>
      </c>
      <c r="Z81" s="514">
        <v>0</v>
      </c>
    </row>
    <row r="82" spans="1:26" ht="14.5">
      <c r="A82" s="508" t="s">
        <v>296</v>
      </c>
      <c r="B82" s="508" t="s">
        <v>297</v>
      </c>
      <c r="C82" s="508" t="s">
        <v>273</v>
      </c>
      <c r="D82" s="508" t="s">
        <v>298</v>
      </c>
      <c r="E82" s="510">
        <v>-9.058961</v>
      </c>
      <c r="F82" s="509">
        <v>-78.600645</v>
      </c>
      <c r="G82" s="526">
        <v>0</v>
      </c>
      <c r="H82" s="526">
        <v>0</v>
      </c>
      <c r="I82" s="526">
        <v>0</v>
      </c>
      <c r="J82" s="526">
        <v>0</v>
      </c>
      <c r="K82" s="526">
        <v>0</v>
      </c>
      <c r="L82" s="526">
        <v>640</v>
      </c>
      <c r="M82" s="526">
        <v>640</v>
      </c>
      <c r="N82" s="526">
        <v>900</v>
      </c>
      <c r="O82" s="526">
        <v>960</v>
      </c>
      <c r="P82" s="526">
        <v>960</v>
      </c>
      <c r="Q82" s="526">
        <v>960</v>
      </c>
      <c r="R82" s="526">
        <v>960</v>
      </c>
      <c r="S82" s="526">
        <v>1020</v>
      </c>
      <c r="T82" s="526">
        <v>520</v>
      </c>
      <c r="U82" s="526">
        <v>520</v>
      </c>
      <c r="V82" s="526">
        <v>573</v>
      </c>
      <c r="W82" s="526">
        <v>573</v>
      </c>
      <c r="X82" s="526">
        <v>573</v>
      </c>
      <c r="Y82" s="526">
        <v>573</v>
      </c>
      <c r="Z82" s="526">
        <v>573</v>
      </c>
    </row>
    <row r="83" spans="1:26" ht="14.5">
      <c r="A83" s="508" t="s">
        <v>299</v>
      </c>
      <c r="B83" s="508" t="s">
        <v>300</v>
      </c>
      <c r="C83" s="508" t="s">
        <v>273</v>
      </c>
      <c r="D83" s="508" t="s">
        <v>298</v>
      </c>
      <c r="E83" s="510">
        <v>-32.988267999999998</v>
      </c>
      <c r="F83" s="509">
        <v>-60.754866</v>
      </c>
      <c r="G83" s="508">
        <v>75</v>
      </c>
      <c r="H83" s="508">
        <v>0</v>
      </c>
      <c r="I83" s="508">
        <v>0</v>
      </c>
      <c r="J83" s="508">
        <v>0</v>
      </c>
      <c r="K83" s="508">
        <v>240</v>
      </c>
      <c r="L83" s="508">
        <v>240</v>
      </c>
      <c r="M83" s="526">
        <v>260</v>
      </c>
      <c r="N83" s="526">
        <v>260</v>
      </c>
      <c r="O83" s="526">
        <v>260</v>
      </c>
      <c r="P83" s="526">
        <v>240</v>
      </c>
      <c r="Q83" s="526">
        <v>240</v>
      </c>
      <c r="R83" s="526">
        <v>250</v>
      </c>
      <c r="S83" s="526">
        <v>255</v>
      </c>
      <c r="T83" s="526">
        <v>263</v>
      </c>
      <c r="U83" s="526">
        <v>263</v>
      </c>
      <c r="V83" s="526">
        <v>263</v>
      </c>
      <c r="W83" s="526">
        <v>263</v>
      </c>
      <c r="X83" s="526">
        <v>263</v>
      </c>
      <c r="Y83" s="526">
        <v>263</v>
      </c>
      <c r="Z83" s="526">
        <v>240</v>
      </c>
    </row>
    <row r="84" spans="1:26" ht="14.5">
      <c r="A84" s="508" t="s">
        <v>301</v>
      </c>
      <c r="B84" s="508" t="s">
        <v>302</v>
      </c>
      <c r="C84" s="508" t="s">
        <v>273</v>
      </c>
      <c r="D84" s="508" t="s">
        <v>298</v>
      </c>
      <c r="E84" s="510">
        <v>10.202360000000001</v>
      </c>
      <c r="F84" s="509">
        <v>-71.278664000000006</v>
      </c>
      <c r="G84" s="508">
        <v>0</v>
      </c>
      <c r="H84" s="508">
        <v>0</v>
      </c>
      <c r="I84" s="508">
        <v>0</v>
      </c>
      <c r="J84" s="508">
        <v>0</v>
      </c>
      <c r="K84" s="508">
        <v>0</v>
      </c>
      <c r="L84" s="508">
        <v>0</v>
      </c>
      <c r="M84" s="526">
        <v>200</v>
      </c>
      <c r="N84" s="526">
        <v>200</v>
      </c>
      <c r="O84" s="526">
        <v>200</v>
      </c>
      <c r="P84" s="526">
        <v>200</v>
      </c>
      <c r="Q84" s="526">
        <v>200</v>
      </c>
      <c r="R84" s="526">
        <v>200</v>
      </c>
      <c r="S84" s="526">
        <v>170</v>
      </c>
      <c r="T84" s="526">
        <v>170</v>
      </c>
      <c r="U84" s="526">
        <v>170</v>
      </c>
      <c r="V84" s="526">
        <v>170</v>
      </c>
      <c r="W84" s="526">
        <v>173</v>
      </c>
      <c r="X84" s="526">
        <v>173</v>
      </c>
      <c r="Y84" s="526">
        <v>0</v>
      </c>
      <c r="Z84" s="526">
        <v>170</v>
      </c>
    </row>
    <row r="85" spans="1:26" ht="14.5">
      <c r="A85" s="508" t="s">
        <v>303</v>
      </c>
      <c r="B85" s="508" t="s">
        <v>304</v>
      </c>
      <c r="C85" s="508" t="s">
        <v>273</v>
      </c>
      <c r="D85" s="508" t="s">
        <v>298</v>
      </c>
      <c r="E85" s="511">
        <v>-34.811472000000002</v>
      </c>
      <c r="F85" s="512">
        <v>-56.100338000000001</v>
      </c>
      <c r="G85" s="508">
        <v>72</v>
      </c>
      <c r="H85" s="508">
        <v>72</v>
      </c>
      <c r="I85" s="508">
        <v>72</v>
      </c>
      <c r="J85" s="508">
        <v>72</v>
      </c>
      <c r="K85" s="508">
        <v>72</v>
      </c>
      <c r="L85" s="508">
        <v>80</v>
      </c>
      <c r="M85" s="508">
        <v>80</v>
      </c>
      <c r="N85" s="508">
        <v>80</v>
      </c>
      <c r="O85" s="508">
        <v>80</v>
      </c>
      <c r="P85" s="508">
        <v>80</v>
      </c>
      <c r="Q85" s="508">
        <v>80</v>
      </c>
      <c r="R85" s="526">
        <v>90</v>
      </c>
      <c r="S85" s="526">
        <v>90</v>
      </c>
      <c r="T85" s="526">
        <v>90</v>
      </c>
      <c r="U85" s="526">
        <v>90</v>
      </c>
      <c r="V85" s="526">
        <v>90</v>
      </c>
      <c r="W85" s="526">
        <v>90</v>
      </c>
      <c r="X85" s="526">
        <v>90</v>
      </c>
      <c r="Y85" s="526">
        <v>90</v>
      </c>
      <c r="Z85" s="526">
        <v>90</v>
      </c>
    </row>
    <row r="86" spans="1:26" ht="14.5">
      <c r="A86" s="508" t="s">
        <v>305</v>
      </c>
      <c r="B86" s="508" t="s">
        <v>306</v>
      </c>
      <c r="C86" s="508" t="s">
        <v>273</v>
      </c>
      <c r="D86" s="508" t="s">
        <v>298</v>
      </c>
      <c r="E86" s="511">
        <v>-33.401152000000003</v>
      </c>
      <c r="F86" s="512">
        <v>-70.682151000000005</v>
      </c>
      <c r="G86" s="508">
        <v>440</v>
      </c>
      <c r="H86" s="508">
        <v>440</v>
      </c>
      <c r="I86" s="508">
        <v>465</v>
      </c>
      <c r="J86" s="508">
        <v>465</v>
      </c>
      <c r="K86" s="508">
        <v>465</v>
      </c>
      <c r="L86" s="508">
        <v>490</v>
      </c>
      <c r="M86" s="508">
        <v>450</v>
      </c>
      <c r="N86" s="508">
        <v>460</v>
      </c>
      <c r="O86" s="508">
        <v>470</v>
      </c>
      <c r="P86" s="508">
        <v>470</v>
      </c>
      <c r="Q86" s="508">
        <v>470</v>
      </c>
      <c r="R86" s="526">
        <v>470</v>
      </c>
      <c r="S86" s="526">
        <v>530</v>
      </c>
      <c r="T86" s="526">
        <v>530</v>
      </c>
      <c r="U86" s="526">
        <v>530</v>
      </c>
      <c r="V86" s="526">
        <v>530</v>
      </c>
      <c r="W86" s="526">
        <v>530</v>
      </c>
      <c r="X86" s="526">
        <v>0</v>
      </c>
      <c r="Y86" s="526">
        <v>0</v>
      </c>
      <c r="Z86" s="526">
        <v>0</v>
      </c>
    </row>
    <row r="87" spans="1:26" ht="14.5">
      <c r="A87" s="514" t="s">
        <v>307</v>
      </c>
      <c r="B87" s="514" t="s">
        <v>308</v>
      </c>
      <c r="C87" s="514" t="s">
        <v>273</v>
      </c>
      <c r="D87" s="514" t="s">
        <v>298</v>
      </c>
      <c r="E87" s="518">
        <v>5.7279109999999998</v>
      </c>
      <c r="F87" s="519">
        <v>-73.222161</v>
      </c>
      <c r="G87" s="514">
        <v>0</v>
      </c>
      <c r="H87" s="514">
        <v>0</v>
      </c>
      <c r="I87" s="514">
        <v>0</v>
      </c>
      <c r="J87" s="514">
        <v>0</v>
      </c>
      <c r="K87" s="514">
        <v>586</v>
      </c>
      <c r="L87" s="514">
        <v>620</v>
      </c>
      <c r="M87" s="514">
        <v>650</v>
      </c>
      <c r="N87" s="514">
        <v>690</v>
      </c>
      <c r="O87" s="514">
        <v>640</v>
      </c>
      <c r="P87" s="514">
        <v>650</v>
      </c>
      <c r="Q87" s="514">
        <v>650</v>
      </c>
      <c r="R87" s="527">
        <v>865</v>
      </c>
      <c r="S87" s="527">
        <v>707</v>
      </c>
      <c r="T87" s="527">
        <v>764</v>
      </c>
      <c r="U87" s="527">
        <v>764</v>
      </c>
      <c r="V87" s="527">
        <v>545</v>
      </c>
      <c r="W87" s="527">
        <v>545</v>
      </c>
      <c r="X87" s="527">
        <v>0</v>
      </c>
      <c r="Y87" s="527">
        <v>0</v>
      </c>
      <c r="Z87" s="527">
        <v>0</v>
      </c>
    </row>
    <row r="88" spans="1:26" ht="14.5">
      <c r="A88" s="520" t="s">
        <v>309</v>
      </c>
      <c r="B88" s="520" t="s">
        <v>310</v>
      </c>
      <c r="C88" s="520" t="s">
        <v>273</v>
      </c>
      <c r="D88" s="520" t="s">
        <v>311</v>
      </c>
      <c r="E88" s="521">
        <v>19.632771000000002</v>
      </c>
      <c r="F88" s="522">
        <v>-99.179068000000001</v>
      </c>
      <c r="G88" s="520">
        <v>0</v>
      </c>
      <c r="H88" s="520">
        <v>0</v>
      </c>
      <c r="I88" s="520">
        <v>0</v>
      </c>
      <c r="J88" s="520">
        <v>0</v>
      </c>
      <c r="K88" s="520">
        <v>0</v>
      </c>
      <c r="L88" s="520">
        <v>0</v>
      </c>
      <c r="M88" s="520">
        <v>330</v>
      </c>
      <c r="N88" s="520">
        <v>340</v>
      </c>
      <c r="O88" s="520">
        <v>340</v>
      </c>
      <c r="P88" s="520">
        <v>430</v>
      </c>
      <c r="Q88" s="520">
        <v>430</v>
      </c>
      <c r="R88" s="520">
        <v>450</v>
      </c>
      <c r="S88" s="520">
        <v>400</v>
      </c>
      <c r="T88" s="520">
        <v>400</v>
      </c>
      <c r="U88" s="520">
        <v>400</v>
      </c>
      <c r="V88" s="520">
        <v>400</v>
      </c>
      <c r="W88" s="520">
        <v>400</v>
      </c>
      <c r="X88" s="520">
        <v>400</v>
      </c>
      <c r="Y88" s="520">
        <v>400</v>
      </c>
      <c r="Z88" s="520">
        <v>400</v>
      </c>
    </row>
    <row r="89" spans="1:26" ht="14.5">
      <c r="A89" s="508" t="s">
        <v>312</v>
      </c>
      <c r="B89" s="508" t="s">
        <v>286</v>
      </c>
      <c r="C89" s="508" t="s">
        <v>273</v>
      </c>
      <c r="D89" s="520" t="s">
        <v>311</v>
      </c>
      <c r="E89" s="509">
        <v>32.462156999999998</v>
      </c>
      <c r="F89" s="509">
        <v>-97.028647000000007</v>
      </c>
      <c r="G89" s="526">
        <v>0</v>
      </c>
      <c r="H89" s="526">
        <v>0</v>
      </c>
      <c r="I89" s="526">
        <v>0</v>
      </c>
      <c r="J89" s="526">
        <v>0</v>
      </c>
      <c r="K89" s="526">
        <v>0</v>
      </c>
      <c r="L89" s="526">
        <v>0</v>
      </c>
      <c r="M89" s="526">
        <v>1400</v>
      </c>
      <c r="N89" s="526">
        <v>1400</v>
      </c>
      <c r="O89" s="526">
        <v>1400</v>
      </c>
      <c r="P89" s="526">
        <v>1400</v>
      </c>
      <c r="Q89" s="526">
        <v>1400</v>
      </c>
      <c r="R89" s="526">
        <v>1400</v>
      </c>
      <c r="S89" s="526">
        <v>1449</v>
      </c>
      <c r="T89" s="526">
        <v>1449</v>
      </c>
      <c r="U89" s="526">
        <v>1449</v>
      </c>
      <c r="V89" s="526">
        <v>1408</v>
      </c>
      <c r="W89" s="526">
        <v>1411</v>
      </c>
      <c r="X89" s="526">
        <v>1411</v>
      </c>
      <c r="Y89" s="526">
        <v>1411</v>
      </c>
      <c r="Z89" s="526">
        <v>1338</v>
      </c>
    </row>
    <row r="90" spans="1:26" ht="14.5">
      <c r="A90" s="508" t="s">
        <v>313</v>
      </c>
      <c r="B90" s="508" t="s">
        <v>286</v>
      </c>
      <c r="C90" s="508" t="s">
        <v>273</v>
      </c>
      <c r="D90" s="520" t="s">
        <v>311</v>
      </c>
      <c r="E90" s="509">
        <v>37.186810000000001</v>
      </c>
      <c r="F90" s="509">
        <v>-77.450515999999993</v>
      </c>
      <c r="G90" s="526">
        <v>0</v>
      </c>
      <c r="H90" s="526">
        <v>0</v>
      </c>
      <c r="I90" s="526">
        <v>0</v>
      </c>
      <c r="J90" s="526">
        <v>0</v>
      </c>
      <c r="K90" s="526">
        <v>0</v>
      </c>
      <c r="L90" s="526">
        <v>0</v>
      </c>
      <c r="M90" s="526">
        <v>1000</v>
      </c>
      <c r="N90" s="526">
        <v>1000</v>
      </c>
      <c r="O90" s="526">
        <v>1000</v>
      </c>
      <c r="P90" s="526">
        <v>1000</v>
      </c>
      <c r="Q90" s="526">
        <v>1000</v>
      </c>
      <c r="R90" s="526">
        <v>1000</v>
      </c>
      <c r="S90" s="526">
        <v>1000</v>
      </c>
      <c r="T90" s="526">
        <v>700</v>
      </c>
      <c r="U90" s="526">
        <v>700</v>
      </c>
      <c r="V90" s="526">
        <v>562</v>
      </c>
      <c r="W90" s="526">
        <v>476</v>
      </c>
      <c r="X90" s="526">
        <v>476</v>
      </c>
      <c r="Y90" s="526">
        <v>476</v>
      </c>
      <c r="Z90" s="526">
        <v>496</v>
      </c>
    </row>
    <row r="91" spans="1:26" ht="14.5">
      <c r="A91" s="508" t="s">
        <v>314</v>
      </c>
      <c r="B91" s="508" t="s">
        <v>315</v>
      </c>
      <c r="C91" s="508" t="s">
        <v>273</v>
      </c>
      <c r="D91" s="520" t="s">
        <v>311</v>
      </c>
      <c r="E91" s="509">
        <v>43.857089999999999</v>
      </c>
      <c r="F91" s="509">
        <v>-78.910328000000007</v>
      </c>
      <c r="G91" s="526">
        <v>0</v>
      </c>
      <c r="H91" s="526">
        <v>998</v>
      </c>
      <c r="I91" s="526">
        <v>998</v>
      </c>
      <c r="J91" s="526">
        <v>726</v>
      </c>
      <c r="K91" s="526">
        <v>726</v>
      </c>
      <c r="L91" s="526">
        <v>730</v>
      </c>
      <c r="M91" s="526">
        <v>730</v>
      </c>
      <c r="N91" s="526">
        <v>730</v>
      </c>
      <c r="O91" s="526">
        <v>730</v>
      </c>
      <c r="P91" s="526">
        <v>730</v>
      </c>
      <c r="Q91" s="526">
        <v>730</v>
      </c>
      <c r="R91" s="526">
        <v>730</v>
      </c>
      <c r="S91" s="526">
        <v>840</v>
      </c>
      <c r="T91" s="526">
        <v>840</v>
      </c>
      <c r="U91" s="526">
        <v>840</v>
      </c>
      <c r="V91" s="526">
        <v>788</v>
      </c>
      <c r="W91" s="526">
        <v>775</v>
      </c>
      <c r="X91" s="526">
        <v>775</v>
      </c>
      <c r="Y91" s="526">
        <v>775</v>
      </c>
      <c r="Z91" s="526">
        <v>724</v>
      </c>
    </row>
    <row r="92" spans="1:26" ht="14.5">
      <c r="A92" s="508" t="s">
        <v>316</v>
      </c>
      <c r="B92" s="508" t="s">
        <v>286</v>
      </c>
      <c r="C92" s="508" t="s">
        <v>273</v>
      </c>
      <c r="D92" s="520" t="s">
        <v>311</v>
      </c>
      <c r="E92" s="509">
        <v>34.244720000000001</v>
      </c>
      <c r="F92" s="509">
        <v>-84.797549000000004</v>
      </c>
      <c r="G92" s="526">
        <v>0</v>
      </c>
      <c r="H92" s="526">
        <v>544</v>
      </c>
      <c r="I92" s="526">
        <v>544</v>
      </c>
      <c r="J92" s="526">
        <v>581</v>
      </c>
      <c r="K92" s="526">
        <v>581</v>
      </c>
      <c r="L92" s="526">
        <v>580</v>
      </c>
      <c r="M92" s="526">
        <v>580</v>
      </c>
      <c r="N92" s="526">
        <v>580</v>
      </c>
      <c r="O92" s="526">
        <v>580</v>
      </c>
      <c r="P92" s="526">
        <v>580</v>
      </c>
      <c r="Q92" s="526">
        <v>580</v>
      </c>
      <c r="R92" s="526">
        <v>580</v>
      </c>
      <c r="S92" s="526">
        <v>580</v>
      </c>
      <c r="T92" s="526">
        <v>580</v>
      </c>
      <c r="U92" s="526">
        <v>580</v>
      </c>
      <c r="V92" s="526">
        <v>580</v>
      </c>
      <c r="W92" s="526">
        <v>610</v>
      </c>
      <c r="X92" s="526">
        <v>610</v>
      </c>
      <c r="Y92" s="526">
        <v>610</v>
      </c>
      <c r="Z92" s="526">
        <v>562</v>
      </c>
    </row>
    <row r="93" spans="1:26" ht="14.5">
      <c r="A93" s="508" t="s">
        <v>317</v>
      </c>
      <c r="B93" s="508" t="s">
        <v>286</v>
      </c>
      <c r="C93" s="508" t="s">
        <v>273</v>
      </c>
      <c r="D93" s="520" t="s">
        <v>311</v>
      </c>
      <c r="E93" s="511">
        <v>42.2042</v>
      </c>
      <c r="F93" s="512">
        <v>-84.364417000000003</v>
      </c>
      <c r="G93" s="508">
        <v>499</v>
      </c>
      <c r="H93" s="508">
        <v>544</v>
      </c>
      <c r="I93" s="508">
        <v>544</v>
      </c>
      <c r="J93" s="508">
        <v>544</v>
      </c>
      <c r="K93" s="526">
        <v>544</v>
      </c>
      <c r="L93" s="526">
        <v>540</v>
      </c>
      <c r="M93" s="526">
        <v>540</v>
      </c>
      <c r="N93" s="526">
        <v>540</v>
      </c>
      <c r="O93" s="526">
        <v>540</v>
      </c>
      <c r="P93" s="526">
        <v>540</v>
      </c>
      <c r="Q93" s="526">
        <v>540</v>
      </c>
      <c r="R93" s="526">
        <v>540</v>
      </c>
      <c r="S93" s="526">
        <v>540</v>
      </c>
      <c r="T93" s="526">
        <v>540</v>
      </c>
      <c r="U93" s="526">
        <v>540</v>
      </c>
      <c r="V93" s="526">
        <v>467</v>
      </c>
      <c r="W93" s="526">
        <v>494</v>
      </c>
      <c r="X93" s="526">
        <v>494</v>
      </c>
      <c r="Y93" s="526">
        <v>494</v>
      </c>
      <c r="Z93" s="526">
        <v>522</v>
      </c>
    </row>
    <row r="94" spans="1:26" ht="14.5">
      <c r="A94" s="508" t="s">
        <v>318</v>
      </c>
      <c r="B94" s="508" t="s">
        <v>286</v>
      </c>
      <c r="C94" s="508" t="s">
        <v>273</v>
      </c>
      <c r="D94" s="520" t="s">
        <v>311</v>
      </c>
      <c r="E94" s="509">
        <v>44.894903999999997</v>
      </c>
      <c r="F94" s="509">
        <v>-93.011009000000001</v>
      </c>
      <c r="G94" s="508">
        <v>0</v>
      </c>
      <c r="H94" s="508">
        <v>0</v>
      </c>
      <c r="I94" s="508">
        <v>0</v>
      </c>
      <c r="J94" s="508">
        <v>499</v>
      </c>
      <c r="K94" s="526">
        <v>499</v>
      </c>
      <c r="L94" s="526">
        <v>500</v>
      </c>
      <c r="M94" s="526">
        <v>420</v>
      </c>
      <c r="N94" s="526">
        <v>420</v>
      </c>
      <c r="O94" s="526">
        <v>420</v>
      </c>
      <c r="P94" s="526">
        <v>420</v>
      </c>
      <c r="Q94" s="526">
        <v>420</v>
      </c>
      <c r="R94" s="526">
        <v>420</v>
      </c>
      <c r="S94" s="526">
        <v>420</v>
      </c>
      <c r="T94" s="526">
        <v>420</v>
      </c>
      <c r="U94" s="526">
        <v>420</v>
      </c>
      <c r="V94" s="526">
        <v>420</v>
      </c>
      <c r="W94" s="526">
        <v>455</v>
      </c>
      <c r="X94" s="526">
        <v>455</v>
      </c>
      <c r="Y94" s="526">
        <v>455</v>
      </c>
      <c r="Z94" s="526">
        <v>296</v>
      </c>
    </row>
    <row r="95" spans="1:26" ht="14.5">
      <c r="A95" s="508" t="s">
        <v>319</v>
      </c>
      <c r="B95" s="508" t="s">
        <v>286</v>
      </c>
      <c r="C95" s="508" t="s">
        <v>273</v>
      </c>
      <c r="D95" s="520" t="s">
        <v>311</v>
      </c>
      <c r="E95" s="511">
        <v>35.340643</v>
      </c>
      <c r="F95" s="512">
        <v>-80.827214999999995</v>
      </c>
      <c r="G95" s="508">
        <v>363</v>
      </c>
      <c r="H95" s="508">
        <v>363</v>
      </c>
      <c r="I95" s="508">
        <v>363</v>
      </c>
      <c r="J95" s="508">
        <v>318</v>
      </c>
      <c r="K95" s="508">
        <v>318</v>
      </c>
      <c r="L95" s="508">
        <v>320</v>
      </c>
      <c r="M95" s="526">
        <v>325</v>
      </c>
      <c r="N95" s="526">
        <v>330</v>
      </c>
      <c r="O95" s="526">
        <v>330</v>
      </c>
      <c r="P95" s="526">
        <v>330</v>
      </c>
      <c r="Q95" s="526">
        <v>330</v>
      </c>
      <c r="R95" s="526">
        <v>330</v>
      </c>
      <c r="S95" s="526">
        <v>325</v>
      </c>
      <c r="T95" s="526">
        <v>325</v>
      </c>
      <c r="U95" s="526">
        <v>325</v>
      </c>
      <c r="V95" s="526">
        <v>281</v>
      </c>
      <c r="W95" s="526">
        <v>316</v>
      </c>
      <c r="X95" s="526">
        <v>316</v>
      </c>
      <c r="Y95" s="526">
        <v>316</v>
      </c>
      <c r="Z95" s="526">
        <v>274</v>
      </c>
    </row>
    <row r="96" spans="1:26" ht="14.5">
      <c r="A96" s="508" t="s">
        <v>320</v>
      </c>
      <c r="B96" s="508" t="s">
        <v>315</v>
      </c>
      <c r="C96" s="508" t="s">
        <v>273</v>
      </c>
      <c r="D96" s="520" t="s">
        <v>311</v>
      </c>
      <c r="E96" s="511">
        <v>50.133490999999999</v>
      </c>
      <c r="F96" s="512">
        <v>-96.905995300000001</v>
      </c>
      <c r="G96" s="508">
        <v>300</v>
      </c>
      <c r="H96" s="508">
        <v>299</v>
      </c>
      <c r="I96" s="508">
        <v>299</v>
      </c>
      <c r="J96" s="508">
        <v>327</v>
      </c>
      <c r="K96" s="508">
        <v>327</v>
      </c>
      <c r="L96" s="508">
        <v>330</v>
      </c>
      <c r="M96" s="526">
        <v>360</v>
      </c>
      <c r="N96" s="526">
        <v>360</v>
      </c>
      <c r="O96" s="526">
        <v>360</v>
      </c>
      <c r="P96" s="526">
        <v>360</v>
      </c>
      <c r="Q96" s="526">
        <v>360</v>
      </c>
      <c r="R96" s="526">
        <v>360</v>
      </c>
      <c r="S96" s="526">
        <v>360</v>
      </c>
      <c r="T96" s="526">
        <v>360</v>
      </c>
      <c r="U96" s="526">
        <v>360</v>
      </c>
      <c r="V96" s="526">
        <v>282</v>
      </c>
      <c r="W96" s="526">
        <v>271</v>
      </c>
      <c r="X96" s="526">
        <v>271</v>
      </c>
      <c r="Y96" s="526">
        <v>271</v>
      </c>
      <c r="Z96" s="526">
        <v>255</v>
      </c>
    </row>
    <row r="97" spans="1:26" ht="14.5">
      <c r="A97" s="508" t="s">
        <v>321</v>
      </c>
      <c r="B97" s="508" t="s">
        <v>286</v>
      </c>
      <c r="C97" s="508" t="s">
        <v>273</v>
      </c>
      <c r="D97" s="520" t="s">
        <v>311</v>
      </c>
      <c r="E97" s="509">
        <v>41.584448000000002</v>
      </c>
      <c r="F97" s="509">
        <v>-91.045434999999998</v>
      </c>
      <c r="G97" s="508">
        <v>0</v>
      </c>
      <c r="H97" s="508">
        <v>0</v>
      </c>
      <c r="I97" s="508">
        <v>0</v>
      </c>
      <c r="J97" s="508">
        <v>295</v>
      </c>
      <c r="K97" s="508">
        <v>295</v>
      </c>
      <c r="L97" s="508">
        <v>300</v>
      </c>
      <c r="M97" s="526">
        <v>300</v>
      </c>
      <c r="N97" s="526">
        <v>320</v>
      </c>
      <c r="O97" s="526">
        <v>320</v>
      </c>
      <c r="P97" s="526">
        <v>320</v>
      </c>
      <c r="Q97" s="526">
        <v>320</v>
      </c>
      <c r="R97" s="526">
        <v>320</v>
      </c>
      <c r="S97" s="526">
        <v>320</v>
      </c>
      <c r="T97" s="526">
        <v>320</v>
      </c>
      <c r="U97" s="526">
        <v>320</v>
      </c>
      <c r="V97" s="526">
        <v>320</v>
      </c>
      <c r="W97" s="526">
        <v>345</v>
      </c>
      <c r="X97" s="526">
        <v>245</v>
      </c>
      <c r="Y97" s="526">
        <v>245</v>
      </c>
      <c r="Z97" s="526">
        <v>246</v>
      </c>
    </row>
    <row r="98" spans="1:26" ht="14.5">
      <c r="A98" s="508" t="s">
        <v>322</v>
      </c>
      <c r="B98" s="508" t="s">
        <v>286</v>
      </c>
      <c r="C98" s="508" t="s">
        <v>273</v>
      </c>
      <c r="D98" s="520" t="s">
        <v>311</v>
      </c>
      <c r="E98" s="509">
        <v>40.481270000000002</v>
      </c>
      <c r="F98" s="509">
        <v>-74.320730999999995</v>
      </c>
      <c r="G98" s="508">
        <v>0</v>
      </c>
      <c r="H98" s="508">
        <v>544</v>
      </c>
      <c r="I98" s="508">
        <v>544</v>
      </c>
      <c r="J98" s="508">
        <v>544</v>
      </c>
      <c r="K98" s="508">
        <v>544</v>
      </c>
      <c r="L98" s="508">
        <v>540</v>
      </c>
      <c r="M98" s="526">
        <v>600</v>
      </c>
      <c r="N98" s="526">
        <v>600</v>
      </c>
      <c r="O98" s="526">
        <v>600</v>
      </c>
      <c r="P98" s="526">
        <v>600</v>
      </c>
      <c r="Q98" s="526">
        <v>600</v>
      </c>
      <c r="R98" s="526">
        <v>600</v>
      </c>
      <c r="S98" s="526">
        <v>600</v>
      </c>
      <c r="T98" s="526">
        <v>600</v>
      </c>
      <c r="U98" s="526">
        <v>600</v>
      </c>
      <c r="V98" s="526">
        <v>600</v>
      </c>
      <c r="W98" s="526">
        <v>623</v>
      </c>
      <c r="X98" s="526">
        <v>0</v>
      </c>
      <c r="Y98" s="526">
        <v>0</v>
      </c>
      <c r="Z98" s="526">
        <v>0</v>
      </c>
    </row>
    <row r="99" spans="1:26" ht="14.5">
      <c r="A99" s="508" t="s">
        <v>323</v>
      </c>
      <c r="B99" s="508" t="s">
        <v>286</v>
      </c>
      <c r="C99" s="508" t="s">
        <v>273</v>
      </c>
      <c r="D99" s="520" t="s">
        <v>311</v>
      </c>
      <c r="E99" s="523">
        <v>36.129846000000001</v>
      </c>
      <c r="F99" s="523">
        <v>-96.112184999999997</v>
      </c>
      <c r="G99" s="508">
        <v>0</v>
      </c>
      <c r="H99" s="508">
        <v>0</v>
      </c>
      <c r="I99" s="508">
        <v>0</v>
      </c>
      <c r="J99" s="508">
        <v>0</v>
      </c>
      <c r="K99" s="508">
        <v>0</v>
      </c>
      <c r="L99" s="508">
        <v>470</v>
      </c>
      <c r="M99" s="526">
        <v>525</v>
      </c>
      <c r="N99" s="526">
        <v>520</v>
      </c>
      <c r="O99" s="526">
        <v>520</v>
      </c>
      <c r="P99" s="526">
        <v>0</v>
      </c>
      <c r="Q99" s="526">
        <v>0</v>
      </c>
      <c r="R99" s="526">
        <v>0</v>
      </c>
      <c r="S99" s="526">
        <v>0</v>
      </c>
      <c r="T99" s="526">
        <v>0</v>
      </c>
      <c r="U99" s="526">
        <v>0</v>
      </c>
      <c r="V99" s="526">
        <v>0</v>
      </c>
      <c r="W99" s="526">
        <v>0</v>
      </c>
      <c r="X99" s="526">
        <v>0</v>
      </c>
      <c r="Y99" s="526">
        <v>0</v>
      </c>
      <c r="Z99" s="526">
        <v>0</v>
      </c>
    </row>
    <row r="100" spans="1:26" ht="14.5">
      <c r="A100" s="508" t="s">
        <v>324</v>
      </c>
      <c r="B100" s="508" t="s">
        <v>286</v>
      </c>
      <c r="C100" s="508" t="s">
        <v>273</v>
      </c>
      <c r="D100" s="520" t="s">
        <v>311</v>
      </c>
      <c r="E100" s="509">
        <v>40.481659999999998</v>
      </c>
      <c r="F100" s="509">
        <v>-74.320538999999997</v>
      </c>
      <c r="G100" s="508">
        <v>0</v>
      </c>
      <c r="H100" s="508">
        <v>907</v>
      </c>
      <c r="I100" s="508">
        <v>907</v>
      </c>
      <c r="J100" s="508">
        <v>726</v>
      </c>
      <c r="K100" s="508">
        <v>726</v>
      </c>
      <c r="L100" s="508">
        <v>730</v>
      </c>
      <c r="M100" s="526">
        <v>1000</v>
      </c>
      <c r="N100" s="526">
        <v>1000</v>
      </c>
      <c r="O100" s="526">
        <v>1000</v>
      </c>
      <c r="P100" s="526">
        <v>0</v>
      </c>
      <c r="Q100" s="526">
        <v>0</v>
      </c>
      <c r="R100" s="526">
        <v>0</v>
      </c>
      <c r="S100" s="526">
        <v>0</v>
      </c>
      <c r="T100" s="526">
        <v>0</v>
      </c>
      <c r="U100" s="526">
        <v>0</v>
      </c>
      <c r="V100" s="526">
        <v>0</v>
      </c>
      <c r="W100" s="526">
        <v>0</v>
      </c>
      <c r="X100" s="526">
        <v>0</v>
      </c>
      <c r="Y100" s="526">
        <v>0</v>
      </c>
      <c r="Z100" s="526">
        <v>0</v>
      </c>
    </row>
    <row r="101" spans="1:26" ht="14.5">
      <c r="A101" s="508" t="s">
        <v>325</v>
      </c>
      <c r="B101" s="508" t="s">
        <v>286</v>
      </c>
      <c r="C101" s="508" t="s">
        <v>273</v>
      </c>
      <c r="D101" s="520" t="s">
        <v>311</v>
      </c>
      <c r="E101" s="512">
        <v>35.979564000000003</v>
      </c>
      <c r="F101" s="512">
        <v>-83.959891999999996</v>
      </c>
      <c r="G101" s="508">
        <v>435</v>
      </c>
      <c r="H101" s="508">
        <v>454</v>
      </c>
      <c r="I101" s="508">
        <v>454</v>
      </c>
      <c r="J101" s="508">
        <v>472</v>
      </c>
      <c r="K101" s="508">
        <v>472</v>
      </c>
      <c r="L101" s="508">
        <v>470</v>
      </c>
      <c r="M101" s="526">
        <v>470</v>
      </c>
      <c r="N101" s="526">
        <v>470</v>
      </c>
      <c r="O101" s="526">
        <v>470</v>
      </c>
      <c r="P101" s="526">
        <v>470</v>
      </c>
      <c r="Q101" s="526">
        <v>470</v>
      </c>
      <c r="R101" s="526">
        <v>470</v>
      </c>
      <c r="S101" s="526">
        <v>550</v>
      </c>
      <c r="T101" s="526">
        <v>550</v>
      </c>
      <c r="U101" s="526">
        <v>550</v>
      </c>
      <c r="V101" s="526">
        <v>550</v>
      </c>
      <c r="W101" s="526">
        <v>597</v>
      </c>
      <c r="X101" s="526">
        <v>0</v>
      </c>
      <c r="Y101" s="526">
        <v>0</v>
      </c>
      <c r="Z101" s="526">
        <v>0</v>
      </c>
    </row>
    <row r="102" spans="1:26" ht="14.5">
      <c r="A102" s="507" t="s">
        <v>326</v>
      </c>
      <c r="B102" s="508" t="s">
        <v>286</v>
      </c>
      <c r="C102" s="508" t="s">
        <v>273</v>
      </c>
      <c r="D102" s="520" t="s">
        <v>311</v>
      </c>
      <c r="E102" s="511">
        <v>30.195855999999999</v>
      </c>
      <c r="F102" s="512">
        <v>-81.565618999999998</v>
      </c>
      <c r="G102" s="508">
        <v>544</v>
      </c>
      <c r="H102" s="508">
        <v>558</v>
      </c>
      <c r="I102" s="508">
        <v>558</v>
      </c>
      <c r="J102" s="508">
        <v>581</v>
      </c>
      <c r="K102" s="508">
        <v>581</v>
      </c>
      <c r="L102" s="508">
        <v>580</v>
      </c>
      <c r="M102" s="526">
        <v>710</v>
      </c>
      <c r="N102" s="526">
        <v>620</v>
      </c>
      <c r="O102" s="526">
        <v>620</v>
      </c>
      <c r="P102" s="526">
        <v>620</v>
      </c>
      <c r="Q102" s="526">
        <v>620</v>
      </c>
      <c r="R102" s="526">
        <v>620</v>
      </c>
      <c r="S102" s="526">
        <v>620</v>
      </c>
      <c r="T102" s="526">
        <v>620</v>
      </c>
      <c r="U102" s="526">
        <v>620</v>
      </c>
      <c r="V102" s="526">
        <v>620</v>
      </c>
      <c r="W102" s="526">
        <v>549</v>
      </c>
      <c r="X102" s="526">
        <v>0</v>
      </c>
      <c r="Y102" s="526">
        <v>0</v>
      </c>
      <c r="Z102" s="526">
        <v>0</v>
      </c>
    </row>
    <row r="103" spans="1:26" ht="14.5">
      <c r="A103" s="507" t="s">
        <v>327</v>
      </c>
      <c r="B103" s="508" t="s">
        <v>286</v>
      </c>
      <c r="C103" s="508" t="s">
        <v>273</v>
      </c>
      <c r="D103" s="520" t="s">
        <v>311</v>
      </c>
      <c r="E103" s="509">
        <v>34.094273999999999</v>
      </c>
      <c r="F103" s="509">
        <v>-117.532212</v>
      </c>
      <c r="G103" s="508">
        <v>0</v>
      </c>
      <c r="H103" s="508">
        <v>0</v>
      </c>
      <c r="I103" s="508">
        <v>0</v>
      </c>
      <c r="J103" s="508">
        <v>0</v>
      </c>
      <c r="K103" s="508">
        <v>0</v>
      </c>
      <c r="L103" s="508">
        <v>0</v>
      </c>
      <c r="M103" s="526">
        <v>0</v>
      </c>
      <c r="N103" s="526">
        <v>0</v>
      </c>
      <c r="O103" s="526">
        <v>0</v>
      </c>
      <c r="P103" s="526">
        <v>460</v>
      </c>
      <c r="Q103" s="526">
        <v>460</v>
      </c>
      <c r="R103" s="526">
        <v>460</v>
      </c>
      <c r="S103" s="526">
        <v>463</v>
      </c>
      <c r="T103" s="526">
        <v>463</v>
      </c>
      <c r="U103" s="526">
        <v>463</v>
      </c>
      <c r="V103" s="526">
        <v>463</v>
      </c>
      <c r="W103" s="526">
        <v>469</v>
      </c>
      <c r="X103" s="526">
        <v>0</v>
      </c>
      <c r="Y103" s="526">
        <v>0</v>
      </c>
      <c r="Z103" s="526">
        <v>0</v>
      </c>
    </row>
    <row r="104" spans="1:26" ht="14.5">
      <c r="A104" s="507" t="s">
        <v>328</v>
      </c>
      <c r="B104" s="508" t="s">
        <v>315</v>
      </c>
      <c r="C104" s="508" t="s">
        <v>273</v>
      </c>
      <c r="D104" s="520" t="s">
        <v>311</v>
      </c>
      <c r="E104" s="511">
        <v>43.371059000000002</v>
      </c>
      <c r="F104" s="512">
        <v>-80.280720000000002</v>
      </c>
      <c r="G104" s="508">
        <v>280</v>
      </c>
      <c r="H104" s="508">
        <v>295</v>
      </c>
      <c r="I104" s="508">
        <v>295</v>
      </c>
      <c r="J104" s="508">
        <v>290</v>
      </c>
      <c r="K104" s="508">
        <v>290</v>
      </c>
      <c r="L104" s="508">
        <v>290</v>
      </c>
      <c r="M104" s="508">
        <v>290</v>
      </c>
      <c r="N104" s="526">
        <v>290</v>
      </c>
      <c r="O104" s="526">
        <v>290</v>
      </c>
      <c r="P104" s="526">
        <v>290</v>
      </c>
      <c r="Q104" s="526">
        <v>290</v>
      </c>
      <c r="R104" s="526">
        <v>290</v>
      </c>
      <c r="S104" s="526">
        <v>290</v>
      </c>
      <c r="T104" s="526">
        <v>290</v>
      </c>
      <c r="U104" s="526">
        <v>0</v>
      </c>
      <c r="V104" s="526">
        <v>0</v>
      </c>
      <c r="W104" s="526">
        <v>0</v>
      </c>
      <c r="X104" s="526">
        <v>0</v>
      </c>
      <c r="Y104" s="526">
        <v>0</v>
      </c>
      <c r="Z104" s="526">
        <v>0</v>
      </c>
    </row>
    <row r="105" spans="1:26" ht="14.5">
      <c r="A105" s="507" t="s">
        <v>329</v>
      </c>
      <c r="B105" s="508" t="s">
        <v>286</v>
      </c>
      <c r="C105" s="508" t="s">
        <v>273</v>
      </c>
      <c r="D105" s="520" t="s">
        <v>311</v>
      </c>
      <c r="E105" s="509">
        <v>30.083807</v>
      </c>
      <c r="F105" s="509">
        <v>-94.073594</v>
      </c>
      <c r="G105" s="508">
        <v>0</v>
      </c>
      <c r="H105" s="508">
        <v>0</v>
      </c>
      <c r="I105" s="508">
        <v>0</v>
      </c>
      <c r="J105" s="508">
        <v>726</v>
      </c>
      <c r="K105" s="508">
        <v>726</v>
      </c>
      <c r="L105" s="508">
        <v>730</v>
      </c>
      <c r="M105" s="508">
        <v>730</v>
      </c>
      <c r="N105" s="526">
        <v>730</v>
      </c>
      <c r="O105" s="526">
        <v>730</v>
      </c>
      <c r="P105" s="526">
        <v>730</v>
      </c>
      <c r="Q105" s="526">
        <v>730</v>
      </c>
      <c r="R105" s="526">
        <v>730</v>
      </c>
      <c r="S105" s="526">
        <v>730</v>
      </c>
      <c r="T105" s="526">
        <v>730</v>
      </c>
      <c r="U105" s="526">
        <v>730</v>
      </c>
      <c r="V105" s="526">
        <v>602</v>
      </c>
      <c r="W105" s="526">
        <v>655</v>
      </c>
      <c r="X105" s="526">
        <v>0</v>
      </c>
      <c r="Y105" s="526">
        <v>0</v>
      </c>
      <c r="Z105" s="526">
        <v>0</v>
      </c>
    </row>
    <row r="106" spans="1:26" ht="14.5">
      <c r="A106" s="507" t="s">
        <v>334</v>
      </c>
      <c r="B106" s="508" t="s">
        <v>286</v>
      </c>
      <c r="C106" s="508" t="s">
        <v>273</v>
      </c>
      <c r="D106" s="520" t="s">
        <v>311</v>
      </c>
      <c r="E106" s="509">
        <v>37.052267000000001</v>
      </c>
      <c r="F106" s="509">
        <v>-88.393547999999996</v>
      </c>
      <c r="G106" s="508">
        <v>0</v>
      </c>
      <c r="H106" s="508">
        <v>0</v>
      </c>
      <c r="I106" s="508">
        <v>0</v>
      </c>
      <c r="J106" s="508">
        <v>295</v>
      </c>
      <c r="K106" s="508">
        <v>295</v>
      </c>
      <c r="L106" s="508">
        <v>300</v>
      </c>
      <c r="M106" s="508">
        <v>300</v>
      </c>
      <c r="N106" s="526">
        <v>300</v>
      </c>
      <c r="O106" s="526">
        <v>300</v>
      </c>
      <c r="P106" s="526">
        <v>300</v>
      </c>
      <c r="Q106" s="526">
        <v>300</v>
      </c>
      <c r="R106" s="526">
        <v>300</v>
      </c>
      <c r="S106" s="526">
        <v>300</v>
      </c>
      <c r="T106" s="526">
        <v>300</v>
      </c>
      <c r="U106" s="526">
        <v>300</v>
      </c>
      <c r="V106" s="526">
        <v>362</v>
      </c>
      <c r="W106" s="526">
        <v>0</v>
      </c>
      <c r="X106" s="526">
        <v>0</v>
      </c>
      <c r="Y106" s="526">
        <v>0</v>
      </c>
      <c r="Z106" s="526">
        <v>0</v>
      </c>
    </row>
    <row r="107" spans="1:26" ht="14.5">
      <c r="A107" s="524" t="s">
        <v>335</v>
      </c>
      <c r="B107" s="514" t="s">
        <v>286</v>
      </c>
      <c r="C107" s="514" t="s">
        <v>273</v>
      </c>
      <c r="D107" s="514" t="s">
        <v>311</v>
      </c>
      <c r="E107" s="519">
        <v>41.550677999999998</v>
      </c>
      <c r="F107" s="519">
        <v>-88.084109999999995</v>
      </c>
      <c r="G107" s="514">
        <v>0</v>
      </c>
      <c r="H107" s="514">
        <v>0</v>
      </c>
      <c r="I107" s="514">
        <v>0</v>
      </c>
      <c r="J107" s="514">
        <v>0</v>
      </c>
      <c r="K107" s="514">
        <v>0</v>
      </c>
      <c r="L107" s="514">
        <v>70</v>
      </c>
      <c r="M107" s="514">
        <v>70</v>
      </c>
      <c r="N107" s="527">
        <v>70</v>
      </c>
      <c r="O107" s="527">
        <v>70</v>
      </c>
      <c r="P107" s="527">
        <v>70</v>
      </c>
      <c r="Q107" s="527">
        <v>70</v>
      </c>
      <c r="R107" s="527">
        <v>70</v>
      </c>
      <c r="S107" s="527">
        <v>0</v>
      </c>
      <c r="T107" s="527">
        <v>0</v>
      </c>
      <c r="U107" s="527">
        <v>0</v>
      </c>
      <c r="V107" s="527">
        <v>0</v>
      </c>
      <c r="W107" s="527">
        <v>0</v>
      </c>
      <c r="X107" s="527">
        <v>0</v>
      </c>
      <c r="Y107" s="527">
        <v>0</v>
      </c>
      <c r="Z107" s="527">
        <v>0</v>
      </c>
    </row>
  </sheetData>
  <mergeCells count="1">
    <mergeCell ref="A1:G1"/>
  </mergeCells>
  <pageMargins left="0.511811024" right="0.511811024" top="0.78740157499999996" bottom="0.78740157499999996" header="0.31496062000000002" footer="0.31496062000000002"/>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C16"/>
  <sheetViews>
    <sheetView zoomScaleNormal="100" workbookViewId="0">
      <selection activeCell="C21" sqref="C21"/>
    </sheetView>
  </sheetViews>
  <sheetFormatPr defaultColWidth="9.1796875" defaultRowHeight="12.5"/>
  <cols>
    <col min="1" max="1" width="3.54296875" style="23" customWidth="1"/>
    <col min="2" max="2" width="70.81640625" style="23" customWidth="1"/>
    <col min="3" max="3" width="72.453125" style="23" customWidth="1"/>
    <col min="4" max="16384" width="9.1796875" style="23"/>
  </cols>
  <sheetData>
    <row r="5" spans="2:3" ht="13.5">
      <c r="B5" s="24"/>
    </row>
    <row r="7" spans="2:3" ht="14" thickBot="1">
      <c r="B7" s="33" t="s">
        <v>115</v>
      </c>
      <c r="C7" s="38" t="s">
        <v>116</v>
      </c>
    </row>
    <row r="8" spans="2:3" ht="6" customHeight="1">
      <c r="B8" s="37"/>
      <c r="C8" s="39"/>
    </row>
    <row r="9" spans="2:3" ht="21" customHeight="1">
      <c r="B9" s="28" t="s">
        <v>128</v>
      </c>
      <c r="C9" s="29" t="s">
        <v>117</v>
      </c>
    </row>
    <row r="10" spans="2:3" ht="10.5" customHeight="1">
      <c r="B10" s="30"/>
      <c r="C10" s="632" t="s">
        <v>149</v>
      </c>
    </row>
    <row r="11" spans="2:3" ht="24.75" customHeight="1">
      <c r="B11" s="34" t="s">
        <v>125</v>
      </c>
      <c r="C11" s="632"/>
    </row>
    <row r="12" spans="2:3" ht="36.75" customHeight="1" thickBot="1">
      <c r="B12" s="41" t="s">
        <v>126</v>
      </c>
      <c r="C12" s="42" t="s">
        <v>150</v>
      </c>
    </row>
    <row r="13" spans="2:3" ht="9" customHeight="1">
      <c r="B13" s="40"/>
      <c r="C13" s="40"/>
    </row>
    <row r="14" spans="2:3">
      <c r="B14" s="35" t="s">
        <v>179</v>
      </c>
      <c r="C14" s="31"/>
    </row>
    <row r="15" spans="2:3">
      <c r="B15" s="31"/>
      <c r="C15" s="31"/>
    </row>
    <row r="16" spans="2:3" ht="13.5">
      <c r="B16" s="3"/>
    </row>
  </sheetData>
  <mergeCells count="1">
    <mergeCell ref="C10:C11"/>
  </mergeCells>
  <phoneticPr fontId="29" type="noConversion"/>
  <hyperlinks>
    <hyperlink ref="C9" r:id="rId1" xr:uid="{00000000-0004-0000-0D00-000000000000}"/>
    <hyperlink ref="B9" r:id="rId2" xr:uid="{00000000-0004-0000-0D00-000001000000}"/>
  </hyperlinks>
  <pageMargins left="0.511811024" right="0.511811024" top="0.78740157499999996" bottom="0.78740157499999996" header="0.31496062000000002" footer="0.31496062000000002"/>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34"/>
  <sheetViews>
    <sheetView showGridLines="0" zoomScale="80" zoomScaleNormal="80" workbookViewId="0">
      <selection activeCell="E39" sqref="E39"/>
    </sheetView>
  </sheetViews>
  <sheetFormatPr defaultColWidth="9.1796875" defaultRowHeight="12.5"/>
  <cols>
    <col min="1" max="1" width="4.453125" style="78" customWidth="1"/>
    <col min="2" max="2" width="23" style="78" customWidth="1"/>
    <col min="3" max="3" width="11.453125" style="78" customWidth="1"/>
    <col min="4" max="11" width="9.1796875" style="78"/>
    <col min="12" max="12" width="12.54296875" style="78" bestFit="1" customWidth="1"/>
    <col min="13" max="16384" width="9.1796875" style="78"/>
  </cols>
  <sheetData>
    <row r="4" spans="2:13" ht="26.25" customHeight="1"/>
    <row r="5" spans="2:13" ht="26.25" customHeight="1">
      <c r="B5" s="85" t="s">
        <v>92</v>
      </c>
    </row>
    <row r="6" spans="2:13" ht="16.5" customHeight="1">
      <c r="B6" s="87" t="s">
        <v>89</v>
      </c>
      <c r="C6" s="87"/>
      <c r="D6" s="87"/>
      <c r="E6" s="87"/>
      <c r="F6" s="87"/>
      <c r="G6" s="87"/>
      <c r="H6" s="87"/>
      <c r="I6" s="87"/>
      <c r="J6" s="86"/>
      <c r="K6" s="86"/>
      <c r="L6" s="86"/>
      <c r="M6" s="86"/>
    </row>
    <row r="7" spans="2:13" ht="18.75" customHeight="1">
      <c r="B7" s="88" t="s">
        <v>183</v>
      </c>
      <c r="C7" s="87"/>
      <c r="D7" s="87"/>
      <c r="E7" s="87"/>
      <c r="F7" s="87"/>
      <c r="G7" s="87"/>
      <c r="H7" s="87"/>
      <c r="I7" s="87"/>
      <c r="J7" s="86"/>
      <c r="K7" s="86"/>
      <c r="L7" s="86"/>
      <c r="M7" s="86"/>
    </row>
    <row r="8" spans="2:13" ht="19.5" customHeight="1">
      <c r="B8" s="88" t="s">
        <v>184</v>
      </c>
      <c r="C8" s="87"/>
      <c r="D8" s="87"/>
      <c r="E8" s="87"/>
      <c r="F8" s="87"/>
      <c r="G8" s="87"/>
      <c r="H8" s="87"/>
      <c r="I8" s="87"/>
      <c r="J8" s="86"/>
      <c r="K8" s="86"/>
      <c r="L8" s="86"/>
      <c r="M8" s="86"/>
    </row>
    <row r="9" spans="2:13" ht="18" customHeight="1">
      <c r="B9" s="88" t="s">
        <v>351</v>
      </c>
      <c r="C9" s="87"/>
      <c r="D9" s="87"/>
      <c r="E9" s="87"/>
      <c r="F9" s="87"/>
      <c r="G9" s="87"/>
      <c r="H9" s="87"/>
      <c r="I9" s="87"/>
      <c r="J9" s="86"/>
      <c r="K9" s="86"/>
      <c r="L9" s="86"/>
      <c r="M9" s="86"/>
    </row>
    <row r="10" spans="2:13" ht="18.75" customHeight="1">
      <c r="B10" s="88" t="s">
        <v>185</v>
      </c>
      <c r="C10" s="87"/>
      <c r="D10" s="87"/>
      <c r="E10" s="87"/>
      <c r="F10" s="87"/>
      <c r="G10" s="87"/>
      <c r="H10" s="87"/>
      <c r="I10" s="87"/>
      <c r="J10" s="86"/>
      <c r="K10" s="86"/>
      <c r="L10" s="86"/>
      <c r="M10" s="86"/>
    </row>
    <row r="11" spans="2:13" ht="19.5" customHeight="1">
      <c r="B11" s="88" t="s">
        <v>186</v>
      </c>
      <c r="C11" s="87"/>
      <c r="D11" s="87"/>
      <c r="E11" s="87"/>
      <c r="F11" s="87"/>
      <c r="G11" s="87"/>
      <c r="H11" s="87"/>
      <c r="I11" s="87"/>
      <c r="J11" s="86"/>
      <c r="K11" s="86"/>
      <c r="L11" s="89"/>
      <c r="M11" s="86"/>
    </row>
    <row r="12" spans="2:13" ht="19.5" customHeight="1">
      <c r="B12" s="88" t="s">
        <v>187</v>
      </c>
      <c r="C12" s="87"/>
      <c r="D12" s="87"/>
      <c r="E12" s="87"/>
      <c r="F12" s="87"/>
      <c r="G12" s="87"/>
      <c r="H12" s="87"/>
      <c r="I12" s="87"/>
      <c r="J12" s="86"/>
      <c r="K12" s="86"/>
      <c r="L12" s="89"/>
      <c r="M12" s="86"/>
    </row>
    <row r="13" spans="2:13" ht="19.5" customHeight="1">
      <c r="B13" s="88"/>
      <c r="C13" s="87"/>
      <c r="D13" s="87"/>
      <c r="E13" s="87"/>
      <c r="F13" s="87"/>
      <c r="G13" s="87"/>
      <c r="H13" s="87"/>
      <c r="I13" s="87"/>
      <c r="J13" s="86"/>
      <c r="K13" s="86"/>
      <c r="L13" s="89"/>
      <c r="M13" s="86"/>
    </row>
    <row r="14" spans="2:13" ht="16.5" customHeight="1">
      <c r="B14" s="85" t="s">
        <v>219</v>
      </c>
      <c r="C14" s="90"/>
      <c r="D14" s="90"/>
      <c r="E14" s="90"/>
      <c r="F14" s="90"/>
      <c r="G14" s="90"/>
      <c r="H14" s="90"/>
      <c r="I14" s="90"/>
      <c r="J14" s="91"/>
      <c r="K14" s="91"/>
      <c r="L14" s="91"/>
      <c r="M14" s="91"/>
    </row>
    <row r="15" spans="2:13" ht="21" customHeight="1">
      <c r="B15" s="85"/>
      <c r="C15" s="92"/>
      <c r="D15" s="93"/>
      <c r="E15" s="93"/>
      <c r="F15" s="93"/>
      <c r="G15" s="93"/>
      <c r="H15" s="93"/>
      <c r="I15" s="93"/>
    </row>
    <row r="16" spans="2:13" ht="15.75" customHeight="1">
      <c r="B16" s="94"/>
      <c r="C16" s="92"/>
      <c r="D16" s="93"/>
      <c r="E16" s="93"/>
      <c r="F16" s="93"/>
      <c r="G16" s="93"/>
      <c r="H16" s="93"/>
      <c r="I16" s="93"/>
    </row>
    <row r="17" spans="2:10">
      <c r="B17" s="94"/>
      <c r="C17" s="92"/>
      <c r="D17" s="93"/>
      <c r="E17" s="93"/>
      <c r="F17" s="95"/>
      <c r="G17" s="93"/>
      <c r="H17" s="93"/>
      <c r="I17" s="93"/>
    </row>
    <row r="18" spans="2:10" ht="18" customHeight="1">
      <c r="B18" s="94"/>
      <c r="C18" s="96"/>
      <c r="D18" s="92"/>
      <c r="E18" s="93"/>
      <c r="F18" s="93"/>
      <c r="G18" s="93"/>
      <c r="H18" s="93"/>
      <c r="I18" s="93"/>
      <c r="J18" s="93"/>
    </row>
    <row r="19" spans="2:10" ht="8.5" customHeight="1">
      <c r="B19" s="93"/>
      <c r="C19" s="97"/>
      <c r="D19" s="93"/>
      <c r="E19" s="93"/>
      <c r="F19" s="93"/>
      <c r="G19" s="93"/>
      <c r="H19" s="93"/>
      <c r="I19" s="93"/>
    </row>
    <row r="20" spans="2:10" ht="13">
      <c r="B20" s="68"/>
      <c r="C20" s="97"/>
      <c r="D20" s="93"/>
      <c r="E20" s="93"/>
      <c r="F20" s="93"/>
      <c r="G20" s="93"/>
      <c r="H20" s="93"/>
      <c r="I20" s="93"/>
    </row>
    <row r="21" spans="2:10" ht="13">
      <c r="B21" s="68"/>
      <c r="C21" s="97"/>
      <c r="D21" s="93"/>
      <c r="E21" s="93"/>
      <c r="F21" s="93"/>
      <c r="G21" s="93"/>
      <c r="H21" s="93"/>
      <c r="I21" s="93"/>
    </row>
    <row r="22" spans="2:10" ht="13">
      <c r="B22" s="68"/>
      <c r="C22" s="97"/>
      <c r="D22" s="93"/>
      <c r="E22" s="93"/>
      <c r="F22" s="93"/>
      <c r="G22" s="93"/>
      <c r="H22" s="93"/>
      <c r="I22" s="93"/>
    </row>
    <row r="23" spans="2:10" ht="13.5" customHeight="1">
      <c r="C23" s="98"/>
      <c r="D23" s="98"/>
      <c r="E23" s="98"/>
      <c r="F23" s="98"/>
      <c r="G23" s="98"/>
      <c r="H23" s="98"/>
      <c r="I23" s="98"/>
    </row>
    <row r="24" spans="2:10" ht="13.5" customHeight="1">
      <c r="B24" s="98"/>
      <c r="C24" s="98"/>
      <c r="D24" s="98"/>
      <c r="E24" s="98"/>
      <c r="F24" s="98"/>
      <c r="G24" s="98"/>
      <c r="H24" s="98"/>
      <c r="I24" s="98"/>
    </row>
    <row r="25" spans="2:10" ht="13.5" customHeight="1">
      <c r="B25" s="98"/>
      <c r="C25" s="98"/>
      <c r="D25" s="98"/>
      <c r="E25" s="98"/>
      <c r="F25" s="98"/>
      <c r="G25" s="98"/>
      <c r="H25" s="98"/>
      <c r="I25" s="98"/>
    </row>
    <row r="26" spans="2:10" ht="13.5" customHeight="1">
      <c r="B26" s="98"/>
      <c r="C26" s="98"/>
      <c r="D26" s="98"/>
      <c r="E26" s="98"/>
      <c r="F26" s="98"/>
      <c r="G26" s="98"/>
      <c r="H26" s="98"/>
      <c r="I26" s="98"/>
    </row>
    <row r="27" spans="2:10" ht="13.5" customHeight="1">
      <c r="B27" s="98"/>
      <c r="C27" s="98"/>
      <c r="D27" s="98"/>
      <c r="E27" s="98"/>
      <c r="F27" s="98"/>
      <c r="G27" s="98"/>
      <c r="H27" s="98"/>
      <c r="I27" s="98"/>
    </row>
    <row r="28" spans="2:10" ht="13.5" customHeight="1">
      <c r="B28" s="98"/>
      <c r="C28" s="98"/>
      <c r="D28" s="98"/>
      <c r="E28" s="98"/>
      <c r="F28" s="98"/>
      <c r="G28" s="98"/>
      <c r="H28" s="98"/>
      <c r="I28" s="98"/>
    </row>
    <row r="29" spans="2:10" ht="13.5" customHeight="1">
      <c r="B29" s="98"/>
      <c r="C29" s="98"/>
      <c r="D29" s="98"/>
      <c r="E29" s="98"/>
      <c r="F29" s="98"/>
      <c r="G29" s="98"/>
      <c r="H29" s="98"/>
      <c r="I29" s="98"/>
    </row>
    <row r="30" spans="2:10" ht="13.5" customHeight="1">
      <c r="B30" s="98"/>
      <c r="C30" s="98"/>
      <c r="D30" s="98"/>
      <c r="E30" s="98"/>
      <c r="F30" s="98"/>
      <c r="G30" s="98"/>
      <c r="H30" s="98"/>
      <c r="I30" s="98"/>
    </row>
    <row r="31" spans="2:10" ht="13.5" customHeight="1">
      <c r="B31" s="98"/>
      <c r="C31" s="98"/>
      <c r="D31" s="98"/>
      <c r="E31" s="98"/>
      <c r="F31" s="98"/>
      <c r="G31" s="98"/>
      <c r="H31" s="98"/>
      <c r="I31" s="98"/>
    </row>
    <row r="32" spans="2:10" ht="13.5" customHeight="1">
      <c r="B32" s="98"/>
      <c r="C32" s="98"/>
      <c r="D32" s="98"/>
      <c r="E32" s="98"/>
      <c r="F32" s="98"/>
      <c r="G32" s="98"/>
      <c r="H32" s="98"/>
      <c r="I32" s="98"/>
    </row>
    <row r="34" spans="2:2" ht="45.75" customHeight="1">
      <c r="B34" s="99"/>
    </row>
  </sheetData>
  <phoneticPr fontId="2" type="noConversion"/>
  <pageMargins left="0.78740157499999996" right="0.78740157499999996" top="0.984251969" bottom="0.984251969" header="0.49212598499999999" footer="0.49212598499999999"/>
  <pageSetup paperSize="9" scale="59" orientation="landscape" verticalDpi="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M58"/>
  <sheetViews>
    <sheetView showGridLines="0" zoomScale="80" zoomScaleNormal="80" workbookViewId="0">
      <selection activeCell="P1" sqref="P1"/>
    </sheetView>
  </sheetViews>
  <sheetFormatPr defaultColWidth="9.1796875" defaultRowHeight="13.5"/>
  <cols>
    <col min="1" max="1" width="5" style="2" customWidth="1"/>
    <col min="2" max="2" width="23.453125" style="2" customWidth="1"/>
    <col min="3" max="3" width="16.1796875" style="2" customWidth="1"/>
    <col min="4" max="4" width="9.1796875" style="2"/>
    <col min="5" max="5" width="13.81640625" style="2" customWidth="1"/>
    <col min="6" max="9" width="9.1796875" style="2"/>
    <col min="10" max="10" width="5.81640625" style="2" customWidth="1"/>
    <col min="11" max="16384" width="9.1796875" style="2"/>
  </cols>
  <sheetData>
    <row r="3" spans="1:12" ht="52.5" customHeight="1"/>
    <row r="4" spans="1:12">
      <c r="A4" s="11"/>
      <c r="B4" s="68" t="s">
        <v>17</v>
      </c>
      <c r="C4" s="78"/>
      <c r="D4" s="78"/>
      <c r="E4" s="78"/>
      <c r="F4" s="68"/>
      <c r="G4" s="78"/>
    </row>
    <row r="5" spans="1:12" ht="20.25" customHeight="1">
      <c r="A5" s="15"/>
      <c r="B5" s="93" t="s">
        <v>208</v>
      </c>
      <c r="C5" s="78"/>
      <c r="D5" s="78"/>
      <c r="E5" s="78"/>
      <c r="F5" s="93"/>
      <c r="G5" s="78"/>
      <c r="J5" s="22"/>
      <c r="K5" s="22"/>
      <c r="L5" s="22"/>
    </row>
    <row r="6" spans="1:12" ht="6" customHeight="1">
      <c r="B6" s="78"/>
      <c r="C6" s="78"/>
      <c r="D6" s="78"/>
      <c r="E6" s="78"/>
      <c r="F6" s="78"/>
      <c r="G6" s="78"/>
    </row>
    <row r="7" spans="1:12" ht="24" customHeight="1">
      <c r="A7" s="15"/>
      <c r="B7" s="93" t="s">
        <v>209</v>
      </c>
      <c r="C7" s="78"/>
      <c r="D7" s="78"/>
      <c r="E7" s="78"/>
      <c r="F7" s="93"/>
      <c r="G7" s="78"/>
    </row>
    <row r="40" spans="2:13">
      <c r="B40" s="78"/>
      <c r="C40" s="78"/>
      <c r="D40" s="78"/>
      <c r="E40" s="78"/>
      <c r="F40" s="78"/>
      <c r="G40" s="78"/>
      <c r="H40" s="78"/>
      <c r="I40" s="78"/>
      <c r="J40" s="78"/>
      <c r="K40" s="78"/>
      <c r="L40" s="78"/>
    </row>
    <row r="41" spans="2:13" ht="23.25" customHeight="1">
      <c r="B41" s="102" t="s">
        <v>210</v>
      </c>
      <c r="C41" s="78"/>
      <c r="D41" s="78"/>
      <c r="E41" s="78"/>
      <c r="F41" s="78"/>
      <c r="G41" s="78"/>
      <c r="H41" s="78"/>
      <c r="I41" s="78"/>
      <c r="J41" s="78"/>
      <c r="K41" s="103" t="s">
        <v>211</v>
      </c>
      <c r="L41" s="78"/>
    </row>
    <row r="44" spans="2:13" ht="15">
      <c r="B44" s="36" t="s">
        <v>188</v>
      </c>
    </row>
    <row r="45" spans="2:13" ht="39.75" customHeight="1" thickBot="1">
      <c r="B45" s="620" t="s">
        <v>169</v>
      </c>
      <c r="C45" s="620"/>
      <c r="D45" s="620"/>
      <c r="E45" s="620"/>
      <c r="F45" s="621"/>
      <c r="G45" s="621"/>
      <c r="H45" s="621"/>
      <c r="I45" s="621"/>
      <c r="J45" s="621"/>
      <c r="K45" s="621"/>
      <c r="L45" s="621"/>
      <c r="M45" s="621"/>
    </row>
    <row r="46" spans="2:13" ht="28">
      <c r="B46" s="104"/>
      <c r="C46" s="105" t="s">
        <v>9</v>
      </c>
      <c r="D46" s="106"/>
      <c r="E46" s="107" t="s">
        <v>10</v>
      </c>
    </row>
    <row r="47" spans="2:13" ht="20.25" customHeight="1">
      <c r="B47" s="108" t="s">
        <v>189</v>
      </c>
      <c r="C47" s="109" t="s">
        <v>11</v>
      </c>
      <c r="D47" s="110"/>
      <c r="E47" s="111" t="s">
        <v>12</v>
      </c>
    </row>
    <row r="48" spans="2:13" ht="20.25" customHeight="1">
      <c r="B48" s="112" t="s">
        <v>190</v>
      </c>
      <c r="C48" s="113" t="s">
        <v>170</v>
      </c>
      <c r="D48" s="114"/>
      <c r="E48" s="115" t="s">
        <v>12</v>
      </c>
    </row>
    <row r="49" spans="2:5" ht="20.25" customHeight="1">
      <c r="B49" s="108" t="s">
        <v>13</v>
      </c>
      <c r="C49" s="111" t="s">
        <v>14</v>
      </c>
      <c r="D49" s="110"/>
      <c r="E49" s="109" t="s">
        <v>15</v>
      </c>
    </row>
    <row r="50" spans="2:5" ht="20.25" customHeight="1">
      <c r="B50" s="112" t="s">
        <v>191</v>
      </c>
      <c r="C50" s="115" t="s">
        <v>14</v>
      </c>
      <c r="D50" s="114"/>
      <c r="E50" s="113" t="s">
        <v>104</v>
      </c>
    </row>
    <row r="51" spans="2:5" ht="20.25" customHeight="1">
      <c r="B51" s="108" t="s">
        <v>93</v>
      </c>
      <c r="C51" s="111" t="s">
        <v>14</v>
      </c>
      <c r="D51" s="110"/>
      <c r="E51" s="109" t="s">
        <v>94</v>
      </c>
    </row>
    <row r="52" spans="2:5" ht="18" customHeight="1">
      <c r="B52" s="112" t="s">
        <v>16</v>
      </c>
      <c r="C52" s="115" t="s">
        <v>99</v>
      </c>
      <c r="D52" s="114"/>
      <c r="E52" s="113" t="s">
        <v>12</v>
      </c>
    </row>
    <row r="53" spans="2:5" ht="19.5" customHeight="1">
      <c r="B53" s="108" t="s">
        <v>174</v>
      </c>
      <c r="C53" s="111" t="s">
        <v>171</v>
      </c>
      <c r="D53" s="110"/>
      <c r="E53" s="109" t="s">
        <v>172</v>
      </c>
    </row>
    <row r="54" spans="2:5" ht="19.5" customHeight="1">
      <c r="B54" s="112" t="s">
        <v>175</v>
      </c>
      <c r="C54" s="115" t="s">
        <v>173</v>
      </c>
      <c r="D54" s="114"/>
      <c r="E54" s="113" t="s">
        <v>123</v>
      </c>
    </row>
    <row r="55" spans="2:5" ht="12.75" customHeight="1">
      <c r="B55" s="622" t="s">
        <v>176</v>
      </c>
      <c r="C55" s="622"/>
      <c r="D55" s="622"/>
      <c r="E55" s="622"/>
    </row>
    <row r="56" spans="2:5" ht="33.65" customHeight="1">
      <c r="B56" s="622"/>
      <c r="C56" s="622"/>
      <c r="D56" s="622"/>
      <c r="E56" s="622"/>
    </row>
    <row r="57" spans="2:5">
      <c r="B57" s="622" t="s">
        <v>177</v>
      </c>
      <c r="C57" s="622"/>
      <c r="D57" s="622"/>
      <c r="E57" s="622"/>
    </row>
    <row r="58" spans="2:5">
      <c r="B58" s="622"/>
      <c r="C58" s="622"/>
      <c r="D58" s="622"/>
      <c r="E58" s="622"/>
    </row>
  </sheetData>
  <mergeCells count="3">
    <mergeCell ref="B45:M45"/>
    <mergeCell ref="B55:E56"/>
    <mergeCell ref="B57:E58"/>
  </mergeCells>
  <phoneticPr fontId="2" type="noConversion"/>
  <hyperlinks>
    <hyperlink ref="K41" r:id="rId1" display="Acesse aqui" xr:uid="{00000000-0004-0000-0200-000000000000}"/>
  </hyperlinks>
  <pageMargins left="0.37" right="0.3" top="0.55000000000000004" bottom="0.47" header="0.49212598499999999" footer="0.49212598499999999"/>
  <pageSetup paperSize="9" scale="55" orientation="landscape" verticalDpi="200"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3:AE39"/>
  <sheetViews>
    <sheetView showGridLines="0" zoomScale="120" zoomScaleNormal="120" zoomScaleSheetLayoutView="90" workbookViewId="0">
      <pane xSplit="12" ySplit="6" topLeftCell="M7" activePane="bottomRight" state="frozen"/>
      <selection pane="topRight" activeCell="M1" sqref="M1"/>
      <selection pane="bottomLeft" activeCell="A7" sqref="A7"/>
      <selection pane="bottomRight" activeCell="W21" sqref="W21"/>
    </sheetView>
  </sheetViews>
  <sheetFormatPr defaultColWidth="9.1796875" defaultRowHeight="12.5"/>
  <cols>
    <col min="1" max="1" width="2.1796875" style="66" customWidth="1"/>
    <col min="2" max="2" width="20.54296875" style="66" bestFit="1" customWidth="1"/>
    <col min="3" max="3" width="9.54296875" style="66" customWidth="1"/>
    <col min="4" max="9" width="9.54296875" style="66" hidden="1" customWidth="1"/>
    <col min="10" max="10" width="10.54296875" style="66" hidden="1" customWidth="1"/>
    <col min="11" max="11" width="9.54296875" style="66" hidden="1" customWidth="1"/>
    <col min="12" max="12" width="0" style="66" hidden="1" customWidth="1"/>
    <col min="13" max="16384" width="9.1796875" style="66"/>
  </cols>
  <sheetData>
    <row r="3" spans="2:19" ht="45" customHeight="1">
      <c r="B3" s="67"/>
    </row>
    <row r="4" spans="2:19" s="177" customFormat="1" ht="19.5" customHeight="1">
      <c r="B4" s="126" t="s">
        <v>352</v>
      </c>
    </row>
    <row r="5" spans="2:19" ht="13">
      <c r="B5" s="348"/>
    </row>
    <row r="6" spans="2:19" s="98" customFormat="1" ht="23.25" customHeight="1" thickBot="1">
      <c r="B6" s="623" t="s">
        <v>18</v>
      </c>
      <c r="C6" s="623"/>
      <c r="D6" s="570" t="s">
        <v>354</v>
      </c>
      <c r="E6" s="570" t="s">
        <v>355</v>
      </c>
      <c r="F6" s="570" t="s">
        <v>356</v>
      </c>
      <c r="G6" s="570" t="s">
        <v>357</v>
      </c>
      <c r="H6" s="570" t="s">
        <v>358</v>
      </c>
      <c r="I6" s="571" t="s">
        <v>359</v>
      </c>
      <c r="J6" s="570" t="s">
        <v>360</v>
      </c>
      <c r="K6" s="570" t="s">
        <v>361</v>
      </c>
      <c r="L6" s="570" t="s">
        <v>362</v>
      </c>
      <c r="M6" s="570" t="s">
        <v>363</v>
      </c>
      <c r="N6" s="570" t="s">
        <v>364</v>
      </c>
      <c r="O6" s="570" t="s">
        <v>365</v>
      </c>
      <c r="P6" s="570" t="s">
        <v>372</v>
      </c>
      <c r="Q6" s="570" t="s">
        <v>377</v>
      </c>
    </row>
    <row r="7" spans="2:19" ht="17.25" customHeight="1">
      <c r="B7" s="116" t="s">
        <v>1</v>
      </c>
      <c r="C7" s="117"/>
      <c r="D7" s="529">
        <v>26104</v>
      </c>
      <c r="E7" s="529">
        <v>24886</v>
      </c>
      <c r="F7" s="529">
        <v>24886</v>
      </c>
      <c r="G7" s="529">
        <v>20331</v>
      </c>
      <c r="H7" s="529">
        <f>H8+H11+H12+H13</f>
        <v>20331</v>
      </c>
      <c r="I7" s="529">
        <f>I8+I11+I12+I13</f>
        <v>20081</v>
      </c>
      <c r="J7" s="529">
        <v>20081</v>
      </c>
      <c r="K7" s="529">
        <v>20081</v>
      </c>
      <c r="L7" s="529">
        <v>20081</v>
      </c>
      <c r="M7" s="529">
        <f>SUM(M8,M11,M12,M13)</f>
        <v>19198</v>
      </c>
      <c r="N7" s="529">
        <f>SUM(N8,N11,N12,N13)</f>
        <v>19198</v>
      </c>
      <c r="O7" s="529">
        <f>SUM(O8,O11,O12,O13)</f>
        <v>18490</v>
      </c>
      <c r="P7" s="529">
        <f>SUM(P8,P11,P12,P13)</f>
        <v>16852.5</v>
      </c>
      <c r="Q7" s="529">
        <v>16852.5</v>
      </c>
    </row>
    <row r="8" spans="2:19" s="531" customFormat="1" ht="14.25" customHeight="1">
      <c r="B8" s="118" t="s">
        <v>222</v>
      </c>
      <c r="C8" s="119"/>
      <c r="D8" s="530">
        <v>9229</v>
      </c>
      <c r="E8" s="530">
        <v>9229</v>
      </c>
      <c r="F8" s="530">
        <v>9229</v>
      </c>
      <c r="G8" s="530">
        <v>8194</v>
      </c>
      <c r="H8" s="530">
        <v>8194</v>
      </c>
      <c r="I8" s="530">
        <f>SUM(I9:I10)</f>
        <v>8194</v>
      </c>
      <c r="J8" s="530">
        <v>8194</v>
      </c>
      <c r="K8" s="530">
        <v>8194</v>
      </c>
      <c r="L8" s="530">
        <v>8194</v>
      </c>
      <c r="M8" s="530">
        <v>8194</v>
      </c>
      <c r="N8" s="530">
        <v>8194</v>
      </c>
      <c r="O8" s="530">
        <v>8194</v>
      </c>
      <c r="P8" s="530">
        <v>7540.5</v>
      </c>
      <c r="Q8" s="530">
        <v>7540.5</v>
      </c>
    </row>
    <row r="9" spans="2:19" s="531" customFormat="1" ht="15" customHeight="1">
      <c r="B9" s="120" t="s">
        <v>107</v>
      </c>
      <c r="C9" s="117"/>
      <c r="D9" s="532">
        <v>4730</v>
      </c>
      <c r="E9" s="532">
        <v>4730</v>
      </c>
      <c r="F9" s="532">
        <v>4730</v>
      </c>
      <c r="G9" s="532">
        <v>3694</v>
      </c>
      <c r="H9" s="532">
        <v>3694</v>
      </c>
      <c r="I9" s="532">
        <v>3694</v>
      </c>
      <c r="J9" s="532">
        <v>3694</v>
      </c>
      <c r="K9" s="532">
        <v>3694</v>
      </c>
      <c r="L9" s="532">
        <v>3694</v>
      </c>
      <c r="M9" s="532">
        <v>3694</v>
      </c>
      <c r="N9" s="532">
        <v>3694</v>
      </c>
      <c r="O9" s="532">
        <v>3694</v>
      </c>
      <c r="P9" s="532">
        <v>3691</v>
      </c>
      <c r="Q9" s="532">
        <v>3690.5</v>
      </c>
    </row>
    <row r="10" spans="2:19" s="531" customFormat="1" ht="15" customHeight="1">
      <c r="B10" s="121" t="s">
        <v>108</v>
      </c>
      <c r="C10" s="119"/>
      <c r="D10" s="533">
        <v>4500</v>
      </c>
      <c r="E10" s="533">
        <v>4500</v>
      </c>
      <c r="F10" s="533">
        <v>4500</v>
      </c>
      <c r="G10" s="533">
        <v>4500</v>
      </c>
      <c r="H10" s="533">
        <v>4500</v>
      </c>
      <c r="I10" s="533">
        <v>4500</v>
      </c>
      <c r="J10" s="533">
        <v>4500</v>
      </c>
      <c r="K10" s="533">
        <v>4500</v>
      </c>
      <c r="L10" s="533">
        <v>4500</v>
      </c>
      <c r="M10" s="533">
        <v>4500</v>
      </c>
      <c r="N10" s="533">
        <v>4500</v>
      </c>
      <c r="O10" s="533">
        <v>4500</v>
      </c>
      <c r="P10" s="533">
        <v>3850</v>
      </c>
      <c r="Q10" s="533">
        <v>3850</v>
      </c>
      <c r="R10" s="534"/>
      <c r="S10" s="535" t="s">
        <v>250</v>
      </c>
    </row>
    <row r="11" spans="2:19" ht="15.75" customHeight="1">
      <c r="B11" s="116" t="s">
        <v>223</v>
      </c>
      <c r="C11" s="117"/>
      <c r="D11" s="528">
        <v>11510</v>
      </c>
      <c r="E11" s="528">
        <v>10812</v>
      </c>
      <c r="F11" s="528">
        <v>10812</v>
      </c>
      <c r="G11" s="528">
        <v>7542</v>
      </c>
      <c r="H11" s="528">
        <v>7542</v>
      </c>
      <c r="I11" s="528">
        <v>7542</v>
      </c>
      <c r="J11" s="528">
        <v>7542</v>
      </c>
      <c r="K11" s="528">
        <v>7542</v>
      </c>
      <c r="L11" s="528">
        <v>7542</v>
      </c>
      <c r="M11" s="528">
        <v>6659</v>
      </c>
      <c r="N11" s="528">
        <v>6659</v>
      </c>
      <c r="O11" s="528">
        <v>6251</v>
      </c>
      <c r="P11" s="528">
        <v>6272</v>
      </c>
      <c r="Q11" s="528">
        <v>6272</v>
      </c>
    </row>
    <row r="12" spans="2:19" s="531" customFormat="1" ht="15.75" customHeight="1">
      <c r="B12" s="118" t="s">
        <v>217</v>
      </c>
      <c r="C12" s="119"/>
      <c r="D12" s="530">
        <v>2240</v>
      </c>
      <c r="E12" s="530">
        <v>1720</v>
      </c>
      <c r="F12" s="530">
        <v>1720</v>
      </c>
      <c r="G12" s="530">
        <v>1720</v>
      </c>
      <c r="H12" s="530">
        <v>1720</v>
      </c>
      <c r="I12" s="530">
        <v>1470</v>
      </c>
      <c r="J12" s="530">
        <v>1470</v>
      </c>
      <c r="K12" s="530">
        <v>1470</v>
      </c>
      <c r="L12" s="530">
        <v>1470</v>
      </c>
      <c r="M12" s="530">
        <v>1470</v>
      </c>
      <c r="N12" s="530">
        <v>1470</v>
      </c>
      <c r="O12" s="530">
        <v>1470</v>
      </c>
      <c r="P12" s="530">
        <v>890</v>
      </c>
      <c r="Q12" s="530">
        <v>890</v>
      </c>
    </row>
    <row r="13" spans="2:19" ht="16.5" customHeight="1">
      <c r="B13" s="116" t="s">
        <v>218</v>
      </c>
      <c r="C13" s="117"/>
      <c r="D13" s="528">
        <v>3125</v>
      </c>
      <c r="E13" s="528">
        <v>3125</v>
      </c>
      <c r="F13" s="528">
        <v>3125</v>
      </c>
      <c r="G13" s="528">
        <f>SUM(G14:G15)</f>
        <v>2875</v>
      </c>
      <c r="H13" s="528">
        <f>SUM(H14:H15)</f>
        <v>2875</v>
      </c>
      <c r="I13" s="528">
        <f>SUM(I14:I15)</f>
        <v>2875</v>
      </c>
      <c r="J13" s="528">
        <v>2875</v>
      </c>
      <c r="K13" s="528">
        <v>2875</v>
      </c>
      <c r="L13" s="528">
        <v>2875</v>
      </c>
      <c r="M13" s="528">
        <v>2875</v>
      </c>
      <c r="N13" s="528">
        <v>2875</v>
      </c>
      <c r="O13" s="528">
        <v>2575</v>
      </c>
      <c r="P13" s="528">
        <v>2150</v>
      </c>
      <c r="Q13" s="528">
        <v>2150</v>
      </c>
    </row>
    <row r="14" spans="2:19" ht="15" customHeight="1">
      <c r="B14" s="121" t="s">
        <v>110</v>
      </c>
      <c r="C14" s="119"/>
      <c r="D14" s="533">
        <v>1425</v>
      </c>
      <c r="E14" s="533">
        <v>1425</v>
      </c>
      <c r="F14" s="533">
        <v>1425</v>
      </c>
      <c r="G14" s="533">
        <v>1425</v>
      </c>
      <c r="H14" s="533">
        <v>1425</v>
      </c>
      <c r="I14" s="533">
        <v>1425</v>
      </c>
      <c r="J14" s="533">
        <v>1425</v>
      </c>
      <c r="K14" s="533">
        <v>1425</v>
      </c>
      <c r="L14" s="533">
        <v>1425</v>
      </c>
      <c r="M14" s="533">
        <v>1425</v>
      </c>
      <c r="N14" s="533">
        <v>1425</v>
      </c>
      <c r="O14" s="533">
        <v>1425</v>
      </c>
      <c r="P14" s="533">
        <v>1050</v>
      </c>
      <c r="Q14" s="533">
        <v>1050</v>
      </c>
    </row>
    <row r="15" spans="2:19" ht="15.75" customHeight="1">
      <c r="B15" s="120" t="s">
        <v>109</v>
      </c>
      <c r="C15" s="117"/>
      <c r="D15" s="532">
        <v>1450</v>
      </c>
      <c r="E15" s="532">
        <v>1450</v>
      </c>
      <c r="F15" s="532">
        <v>1450</v>
      </c>
      <c r="G15" s="532">
        <v>1450</v>
      </c>
      <c r="H15" s="532">
        <v>1450</v>
      </c>
      <c r="I15" s="532">
        <v>1450</v>
      </c>
      <c r="J15" s="532">
        <v>1450</v>
      </c>
      <c r="K15" s="532">
        <v>1450</v>
      </c>
      <c r="L15" s="532">
        <v>1450</v>
      </c>
      <c r="M15" s="532">
        <v>1450</v>
      </c>
      <c r="N15" s="532">
        <v>1450</v>
      </c>
      <c r="O15" s="532">
        <v>1150</v>
      </c>
      <c r="P15" s="532">
        <v>1100</v>
      </c>
      <c r="Q15" s="532">
        <v>1100</v>
      </c>
    </row>
    <row r="16" spans="2:19" ht="15" hidden="1" customHeight="1">
      <c r="B16" s="121" t="s">
        <v>337</v>
      </c>
      <c r="C16" s="530"/>
      <c r="D16" s="533">
        <v>250</v>
      </c>
      <c r="E16" s="533">
        <v>250</v>
      </c>
      <c r="F16" s="533">
        <v>250</v>
      </c>
      <c r="G16" s="533">
        <v>0</v>
      </c>
      <c r="H16" s="533">
        <v>0</v>
      </c>
      <c r="I16" s="530">
        <v>0</v>
      </c>
      <c r="J16" s="533">
        <v>0</v>
      </c>
      <c r="K16" s="536" t="s">
        <v>123</v>
      </c>
      <c r="L16" s="536" t="s">
        <v>123</v>
      </c>
      <c r="M16" s="536" t="s">
        <v>123</v>
      </c>
      <c r="N16" s="536" t="s">
        <v>123</v>
      </c>
      <c r="O16" s="536" t="s">
        <v>123</v>
      </c>
      <c r="P16" s="150"/>
    </row>
    <row r="17" spans="2:17" s="78" customFormat="1" ht="15.75" customHeight="1">
      <c r="B17" s="277"/>
      <c r="C17" s="537"/>
      <c r="D17" s="538"/>
      <c r="E17" s="537"/>
      <c r="F17" s="537"/>
      <c r="G17" s="537"/>
      <c r="H17" s="537"/>
      <c r="I17" s="537"/>
      <c r="J17" s="538"/>
      <c r="K17" s="539"/>
      <c r="L17" s="539"/>
      <c r="M17" s="539"/>
      <c r="N17" s="539"/>
      <c r="O17" s="539"/>
      <c r="P17" s="539"/>
    </row>
    <row r="18" spans="2:17" s="531" customFormat="1" ht="14.25" customHeight="1">
      <c r="B18" s="278"/>
      <c r="C18" s="540"/>
      <c r="D18" s="537"/>
      <c r="E18" s="537"/>
      <c r="F18" s="540"/>
      <c r="G18" s="540"/>
      <c r="H18" s="540"/>
      <c r="I18" s="540"/>
      <c r="J18" s="541"/>
      <c r="K18" s="150"/>
      <c r="L18" s="150"/>
      <c r="M18" s="150"/>
      <c r="N18" s="150"/>
      <c r="O18" s="150"/>
      <c r="P18" s="150"/>
    </row>
    <row r="19" spans="2:17" ht="14.25" customHeight="1">
      <c r="B19" s="542"/>
      <c r="C19" s="148"/>
      <c r="D19" s="148"/>
      <c r="E19" s="148"/>
      <c r="F19" s="148"/>
      <c r="G19" s="148"/>
      <c r="H19" s="148"/>
      <c r="I19" s="148"/>
      <c r="J19" s="543"/>
      <c r="K19" s="150"/>
      <c r="L19" s="150"/>
      <c r="M19" s="150"/>
      <c r="N19" s="150"/>
      <c r="O19" s="150"/>
      <c r="P19" s="150"/>
    </row>
    <row r="20" spans="2:17" s="98" customFormat="1" ht="18.75" customHeight="1" thickBot="1">
      <c r="B20" s="624" t="s">
        <v>19</v>
      </c>
      <c r="C20" s="624"/>
      <c r="D20" s="544" t="str">
        <f>D6</f>
        <v>Mar/18</v>
      </c>
      <c r="E20" s="544" t="str">
        <f t="shared" ref="E20:N20" si="0">E6</f>
        <v>Jun/18</v>
      </c>
      <c r="F20" s="544" t="str">
        <f t="shared" si="0"/>
        <v>Sep/18</v>
      </c>
      <c r="G20" s="544" t="str">
        <f t="shared" si="0"/>
        <v>Dec/18</v>
      </c>
      <c r="H20" s="544" t="str">
        <f t="shared" si="0"/>
        <v>Mar/19</v>
      </c>
      <c r="I20" s="544" t="str">
        <f t="shared" si="0"/>
        <v>Jun/19</v>
      </c>
      <c r="J20" s="544" t="str">
        <f t="shared" si="0"/>
        <v>Sep/19</v>
      </c>
      <c r="K20" s="544" t="str">
        <f t="shared" si="0"/>
        <v>Dec/19</v>
      </c>
      <c r="L20" s="544" t="str">
        <f t="shared" si="0"/>
        <v>Mar/20</v>
      </c>
      <c r="M20" s="544" t="str">
        <f t="shared" si="0"/>
        <v>Jun/20</v>
      </c>
      <c r="N20" s="544" t="str">
        <f t="shared" si="0"/>
        <v>Sep/20</v>
      </c>
      <c r="O20" s="544" t="s">
        <v>365</v>
      </c>
      <c r="P20" s="544" t="str">
        <f>P6</f>
        <v>Mar/21</v>
      </c>
      <c r="Q20" s="544" t="s">
        <v>377</v>
      </c>
    </row>
    <row r="21" spans="2:17" ht="14.25" customHeight="1">
      <c r="B21" s="118" t="s">
        <v>1</v>
      </c>
      <c r="C21" s="118"/>
      <c r="D21" s="530">
        <v>21074</v>
      </c>
      <c r="E21" s="530">
        <v>19889</v>
      </c>
      <c r="F21" s="530">
        <v>20039</v>
      </c>
      <c r="G21" s="122">
        <v>16827</v>
      </c>
      <c r="H21" s="122">
        <f>SUM(H22:H25)</f>
        <v>16827</v>
      </c>
      <c r="I21" s="530">
        <f>SUM(I22:I25)</f>
        <v>16656.599999999999</v>
      </c>
      <c r="J21" s="530">
        <v>16656.599999999999</v>
      </c>
      <c r="K21" s="530">
        <v>16656.599999999999</v>
      </c>
      <c r="L21" s="530">
        <v>16656.599999999999</v>
      </c>
      <c r="M21" s="530">
        <f>SUM(M22:M25)</f>
        <v>16440.599999999999</v>
      </c>
      <c r="N21" s="530">
        <f>SUM(N22:N25)</f>
        <v>16440.599999999999</v>
      </c>
      <c r="O21" s="530">
        <f>SUM(O22:O25)</f>
        <v>15767.6</v>
      </c>
      <c r="P21" s="530">
        <f>SUM(P22:P25)</f>
        <v>15964</v>
      </c>
      <c r="Q21" s="530">
        <v>15964</v>
      </c>
    </row>
    <row r="22" spans="2:17" s="531" customFormat="1" ht="14.25" customHeight="1">
      <c r="B22" s="123" t="s">
        <v>222</v>
      </c>
      <c r="C22" s="123"/>
      <c r="D22" s="545">
        <v>7089</v>
      </c>
      <c r="E22" s="545">
        <v>7089</v>
      </c>
      <c r="F22" s="545">
        <v>7089</v>
      </c>
      <c r="G22" s="124">
        <v>6693</v>
      </c>
      <c r="H22" s="124">
        <v>6693</v>
      </c>
      <c r="I22" s="545">
        <v>6692.6</v>
      </c>
      <c r="J22" s="545">
        <v>6692.6</v>
      </c>
      <c r="K22" s="545">
        <v>6692.6</v>
      </c>
      <c r="L22" s="545">
        <v>6692.6</v>
      </c>
      <c r="M22" s="545">
        <v>6692.6</v>
      </c>
      <c r="N22" s="545">
        <v>6692.6</v>
      </c>
      <c r="O22" s="545">
        <v>6692.6</v>
      </c>
      <c r="P22" s="545">
        <v>7266</v>
      </c>
      <c r="Q22" s="545">
        <v>7266</v>
      </c>
    </row>
    <row r="23" spans="2:17" ht="14.25" customHeight="1">
      <c r="B23" s="121" t="s">
        <v>223</v>
      </c>
      <c r="C23" s="121"/>
      <c r="D23" s="546">
        <v>8626</v>
      </c>
      <c r="E23" s="546">
        <v>7971</v>
      </c>
      <c r="F23" s="546">
        <v>7971</v>
      </c>
      <c r="G23" s="125">
        <v>5455</v>
      </c>
      <c r="H23" s="125">
        <v>5455</v>
      </c>
      <c r="I23" s="546">
        <v>5455</v>
      </c>
      <c r="J23" s="546">
        <v>5455</v>
      </c>
      <c r="K23" s="546">
        <v>5455</v>
      </c>
      <c r="L23" s="546">
        <v>5455</v>
      </c>
      <c r="M23" s="546">
        <v>5239</v>
      </c>
      <c r="N23" s="546">
        <v>5239</v>
      </c>
      <c r="O23" s="546">
        <v>4842</v>
      </c>
      <c r="P23" s="546">
        <v>4867</v>
      </c>
      <c r="Q23" s="546">
        <v>4867</v>
      </c>
    </row>
    <row r="24" spans="2:17" s="531" customFormat="1" ht="14.25" customHeight="1">
      <c r="B24" s="123" t="s">
        <v>217</v>
      </c>
      <c r="C24" s="123"/>
      <c r="D24" s="545">
        <v>1626</v>
      </c>
      <c r="E24" s="545">
        <v>1096</v>
      </c>
      <c r="F24" s="545">
        <v>1096</v>
      </c>
      <c r="G24" s="124">
        <v>1096</v>
      </c>
      <c r="H24" s="124">
        <v>1096</v>
      </c>
      <c r="I24" s="545">
        <v>926</v>
      </c>
      <c r="J24" s="545">
        <v>926</v>
      </c>
      <c r="K24" s="545">
        <v>926</v>
      </c>
      <c r="L24" s="545">
        <v>926</v>
      </c>
      <c r="M24" s="545">
        <v>926</v>
      </c>
      <c r="N24" s="545">
        <v>926</v>
      </c>
      <c r="O24" s="545">
        <v>926</v>
      </c>
      <c r="P24" s="545">
        <v>903</v>
      </c>
      <c r="Q24" s="545">
        <v>903</v>
      </c>
    </row>
    <row r="25" spans="2:17" ht="14.25" customHeight="1">
      <c r="B25" s="121" t="s">
        <v>218</v>
      </c>
      <c r="C25" s="121"/>
      <c r="D25" s="546">
        <v>3733</v>
      </c>
      <c r="E25" s="546">
        <v>3733</v>
      </c>
      <c r="F25" s="546">
        <v>3883</v>
      </c>
      <c r="G25" s="125">
        <v>3583</v>
      </c>
      <c r="H25" s="125">
        <v>3583</v>
      </c>
      <c r="I25" s="546">
        <v>3583</v>
      </c>
      <c r="J25" s="546">
        <v>3583</v>
      </c>
      <c r="K25" s="546">
        <v>3583</v>
      </c>
      <c r="L25" s="546">
        <v>3583</v>
      </c>
      <c r="M25" s="546">
        <v>3583</v>
      </c>
      <c r="N25" s="546">
        <v>3583</v>
      </c>
      <c r="O25" s="546">
        <v>3307</v>
      </c>
      <c r="P25" s="546">
        <v>2928</v>
      </c>
      <c r="Q25" s="546">
        <v>2928</v>
      </c>
    </row>
    <row r="26" spans="2:17" ht="14.25" customHeight="1">
      <c r="B26" s="277"/>
      <c r="C26" s="56"/>
      <c r="D26" s="150"/>
      <c r="E26" s="150"/>
      <c r="F26" s="150"/>
      <c r="G26" s="150"/>
      <c r="H26" s="150"/>
      <c r="I26" s="150"/>
    </row>
    <row r="27" spans="2:17" ht="14.5">
      <c r="B27" s="278"/>
      <c r="C27" s="56"/>
      <c r="D27" s="150"/>
      <c r="E27" s="150"/>
      <c r="F27" s="150"/>
      <c r="G27" s="150"/>
      <c r="H27" s="150"/>
      <c r="I27" s="150"/>
    </row>
    <row r="28" spans="2:17" ht="13">
      <c r="B28" s="547"/>
      <c r="C28" s="150"/>
      <c r="D28" s="150"/>
      <c r="E28" s="150"/>
      <c r="F28" s="150"/>
      <c r="G28" s="150"/>
      <c r="H28" s="150"/>
      <c r="I28" s="150"/>
    </row>
    <row r="29" spans="2:17">
      <c r="B29" s="572" t="s">
        <v>367</v>
      </c>
      <c r="C29" s="150"/>
      <c r="D29" s="150"/>
      <c r="E29" s="150"/>
      <c r="F29" s="150"/>
      <c r="G29" s="150"/>
      <c r="H29" s="150"/>
      <c r="I29" s="150"/>
    </row>
    <row r="30" spans="2:17" ht="13">
      <c r="B30" s="543"/>
      <c r="C30" s="150"/>
      <c r="D30" s="150"/>
      <c r="E30" s="150"/>
      <c r="F30" s="150"/>
      <c r="G30" s="150"/>
      <c r="H30" s="150"/>
      <c r="I30" s="150"/>
    </row>
    <row r="31" spans="2:17" ht="13">
      <c r="B31" s="543"/>
      <c r="C31" s="150"/>
      <c r="D31" s="150"/>
      <c r="E31" s="150"/>
      <c r="F31" s="150"/>
      <c r="G31" s="150"/>
      <c r="H31" s="150"/>
      <c r="I31" s="150"/>
    </row>
    <row r="32" spans="2:17" ht="13">
      <c r="B32" s="543"/>
      <c r="C32" s="150"/>
      <c r="D32" s="150"/>
      <c r="E32" s="150"/>
      <c r="F32" s="150"/>
      <c r="G32" s="150"/>
      <c r="H32" s="150"/>
      <c r="I32" s="150"/>
    </row>
    <row r="33" spans="2:31" ht="13">
      <c r="B33" s="543"/>
      <c r="C33" s="150"/>
      <c r="D33" s="150"/>
      <c r="E33" s="150"/>
      <c r="F33" s="150"/>
      <c r="G33" s="150"/>
      <c r="H33" s="150"/>
      <c r="I33" s="150"/>
    </row>
    <row r="34" spans="2:31" ht="13">
      <c r="B34" s="543"/>
      <c r="C34" s="150"/>
      <c r="D34" s="150"/>
      <c r="E34" s="150"/>
      <c r="F34" s="150"/>
      <c r="G34" s="150"/>
      <c r="H34" s="150"/>
      <c r="I34" s="150"/>
      <c r="AE34" s="66">
        <v>64</v>
      </c>
    </row>
    <row r="35" spans="2:31" ht="13">
      <c r="B35" s="543"/>
      <c r="C35" s="150"/>
      <c r="D35" s="150"/>
      <c r="E35" s="150"/>
      <c r="F35" s="150"/>
      <c r="G35" s="150"/>
      <c r="H35" s="150"/>
      <c r="I35" s="150"/>
    </row>
    <row r="36" spans="2:31" ht="13">
      <c r="B36" s="543"/>
      <c r="C36" s="150"/>
      <c r="D36" s="150"/>
      <c r="E36" s="150"/>
      <c r="F36" s="150"/>
      <c r="G36" s="150"/>
      <c r="H36" s="150"/>
      <c r="I36" s="150"/>
      <c r="AE36" s="66">
        <v>5</v>
      </c>
    </row>
    <row r="37" spans="2:31" ht="13">
      <c r="B37" s="543"/>
      <c r="C37" s="150"/>
      <c r="D37" s="150"/>
      <c r="E37" s="150"/>
      <c r="F37" s="150"/>
      <c r="G37" s="150"/>
      <c r="H37" s="150"/>
      <c r="I37" s="150"/>
    </row>
    <row r="38" spans="2:31" s="98" customFormat="1" ht="13">
      <c r="B38" s="543"/>
      <c r="C38" s="150"/>
      <c r="D38" s="150"/>
      <c r="E38" s="150"/>
      <c r="F38" s="150"/>
      <c r="G38" s="150"/>
      <c r="H38" s="150"/>
      <c r="I38" s="150"/>
    </row>
    <row r="39" spans="2:31" ht="14.25" customHeight="1"/>
  </sheetData>
  <mergeCells count="2">
    <mergeCell ref="B6:C6"/>
    <mergeCell ref="B20:C20"/>
  </mergeCells>
  <pageMargins left="0.78740157499999996" right="0.78740157499999996" top="0.984251969" bottom="0.984251969" header="0.49212598499999999" footer="0.49212598499999999"/>
  <pageSetup paperSize="9" orientation="landscape" r:id="rId1"/>
  <headerFooter alignWithMargins="0"/>
  <ignoredErrors>
    <ignoredError sqref="G13:I13 I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B4:BG31"/>
  <sheetViews>
    <sheetView zoomScale="120" zoomScaleNormal="120" workbookViewId="0">
      <pane xSplit="54" ySplit="5" topLeftCell="BC6" activePane="bottomRight" state="frozen"/>
      <selection pane="topRight" activeCell="BC1" sqref="BC1"/>
      <selection pane="bottomLeft" activeCell="A6" sqref="A6"/>
      <selection pane="bottomRight" activeCell="BK20" sqref="BK20"/>
    </sheetView>
  </sheetViews>
  <sheetFormatPr defaultColWidth="9.1796875" defaultRowHeight="13.5"/>
  <cols>
    <col min="1" max="1" width="2.453125" style="1" customWidth="1"/>
    <col min="2" max="2" width="27.453125" style="1" customWidth="1"/>
    <col min="3" max="18" width="10.54296875" style="1" hidden="1" customWidth="1"/>
    <col min="19" max="19" width="10.453125" style="1" hidden="1" customWidth="1"/>
    <col min="20" max="22" width="10.1796875" style="1" hidden="1" customWidth="1"/>
    <col min="23" max="23" width="4.453125" style="1" hidden="1" customWidth="1"/>
    <col min="24" max="27" width="0" style="1" hidden="1" customWidth="1"/>
    <col min="28" max="28" width="4.453125" style="1" hidden="1" customWidth="1"/>
    <col min="29" max="30" width="0" style="1" hidden="1" customWidth="1"/>
    <col min="31" max="35" width="10.453125" style="1" hidden="1" customWidth="1"/>
    <col min="36" max="40" width="0" style="1" hidden="1" customWidth="1"/>
    <col min="41" max="41" width="2.54296875" style="1" hidden="1" customWidth="1"/>
    <col min="42" max="42" width="10.1796875" style="1" hidden="1" customWidth="1"/>
    <col min="43" max="43" width="0" style="1" hidden="1" customWidth="1"/>
    <col min="44" max="45" width="9.81640625" style="1" hidden="1" customWidth="1"/>
    <col min="46" max="54" width="0" style="1" hidden="1" customWidth="1"/>
    <col min="55" max="16384" width="9.1796875" style="1"/>
  </cols>
  <sheetData>
    <row r="4" spans="2:59">
      <c r="B4" s="3"/>
    </row>
    <row r="5" spans="2:59" ht="21" customHeight="1">
      <c r="B5" s="126" t="s">
        <v>220</v>
      </c>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row>
    <row r="6" spans="2:59" s="4" customFormat="1" ht="14.25" customHeight="1" thickBot="1">
      <c r="B6" s="128" t="s">
        <v>18</v>
      </c>
      <c r="C6" s="129" t="s">
        <v>20</v>
      </c>
      <c r="D6" s="129" t="s">
        <v>21</v>
      </c>
      <c r="E6" s="129" t="s">
        <v>22</v>
      </c>
      <c r="F6" s="129" t="s">
        <v>6</v>
      </c>
      <c r="G6" s="129" t="s">
        <v>23</v>
      </c>
      <c r="H6" s="129" t="s">
        <v>24</v>
      </c>
      <c r="I6" s="129" t="s">
        <v>91</v>
      </c>
      <c r="J6" s="129" t="s">
        <v>102</v>
      </c>
      <c r="K6" s="129" t="s">
        <v>103</v>
      </c>
      <c r="L6" s="129" t="s">
        <v>105</v>
      </c>
      <c r="M6" s="129" t="s">
        <v>106</v>
      </c>
      <c r="N6" s="129" t="s">
        <v>112</v>
      </c>
      <c r="O6" s="129" t="s">
        <v>113</v>
      </c>
      <c r="P6" s="129" t="s">
        <v>114</v>
      </c>
      <c r="Q6" s="129" t="s">
        <v>118</v>
      </c>
      <c r="R6" s="129" t="s">
        <v>119</v>
      </c>
      <c r="S6" s="129" t="s">
        <v>120</v>
      </c>
      <c r="T6" s="129" t="s">
        <v>124</v>
      </c>
      <c r="U6" s="129" t="s">
        <v>127</v>
      </c>
      <c r="V6" s="129" t="s">
        <v>129</v>
      </c>
      <c r="W6" s="130"/>
      <c r="X6" s="129" t="s">
        <v>130</v>
      </c>
      <c r="Y6" s="129" t="s">
        <v>132</v>
      </c>
      <c r="Z6" s="129" t="s">
        <v>137</v>
      </c>
      <c r="AA6" s="129" t="s">
        <v>138</v>
      </c>
      <c r="AB6" s="130"/>
      <c r="AC6" s="129" t="s">
        <v>139</v>
      </c>
      <c r="AD6" s="129" t="s">
        <v>142</v>
      </c>
      <c r="AE6" s="129" t="s">
        <v>148</v>
      </c>
      <c r="AF6" s="129" t="s">
        <v>151</v>
      </c>
      <c r="AG6" s="129" t="s">
        <v>156</v>
      </c>
      <c r="AH6" s="129" t="s">
        <v>157</v>
      </c>
      <c r="AI6" s="129" t="s">
        <v>161</v>
      </c>
      <c r="AJ6" s="129" t="s">
        <v>166</v>
      </c>
      <c r="AK6" s="129" t="s">
        <v>180</v>
      </c>
      <c r="AL6" s="129" t="s">
        <v>181</v>
      </c>
      <c r="AM6" s="129" t="s">
        <v>192</v>
      </c>
      <c r="AN6" s="129" t="s">
        <v>195</v>
      </c>
      <c r="AO6" s="129"/>
      <c r="AP6" s="129" t="s">
        <v>198</v>
      </c>
      <c r="AQ6" s="129" t="s">
        <v>202</v>
      </c>
      <c r="AR6" s="129" t="s">
        <v>203</v>
      </c>
      <c r="AS6" s="129" t="s">
        <v>204</v>
      </c>
      <c r="AT6" s="129" t="s">
        <v>205</v>
      </c>
      <c r="AU6" s="129" t="s">
        <v>206</v>
      </c>
      <c r="AV6" s="129" t="s">
        <v>207</v>
      </c>
      <c r="AW6" s="157" t="s">
        <v>212</v>
      </c>
      <c r="AX6" s="157" t="s">
        <v>228</v>
      </c>
      <c r="AY6" s="157" t="s">
        <v>247</v>
      </c>
      <c r="AZ6" s="157" t="s">
        <v>249</v>
      </c>
      <c r="BA6" s="157" t="s">
        <v>254</v>
      </c>
      <c r="BB6" s="157" t="s">
        <v>258</v>
      </c>
      <c r="BC6" s="157" t="s">
        <v>260</v>
      </c>
      <c r="BD6" s="157" t="s">
        <v>338</v>
      </c>
      <c r="BE6" s="157" t="s">
        <v>366</v>
      </c>
      <c r="BF6" s="157" t="s">
        <v>373</v>
      </c>
      <c r="BG6" s="157" t="s">
        <v>378</v>
      </c>
    </row>
    <row r="7" spans="2:59" ht="14.25" customHeight="1" thickTop="1">
      <c r="B7" s="49"/>
      <c r="C7" s="50"/>
      <c r="D7" s="43"/>
      <c r="E7" s="43"/>
      <c r="F7" s="47"/>
      <c r="G7" s="45"/>
      <c r="H7" s="45"/>
      <c r="I7" s="45"/>
      <c r="J7" s="45"/>
      <c r="K7" s="45"/>
      <c r="L7" s="45"/>
      <c r="M7" s="45"/>
      <c r="N7" s="45"/>
      <c r="O7" s="45"/>
      <c r="P7" s="45"/>
      <c r="Q7" s="45"/>
      <c r="R7" s="45"/>
      <c r="S7" s="45"/>
      <c r="T7" s="45"/>
      <c r="U7" s="45"/>
      <c r="V7" s="45"/>
      <c r="W7" s="43"/>
      <c r="X7" s="45"/>
      <c r="Y7" s="45"/>
      <c r="Z7" s="45"/>
      <c r="AA7" s="45"/>
      <c r="AB7" s="43"/>
      <c r="AC7" s="45"/>
      <c r="AD7" s="45"/>
      <c r="AE7" s="45"/>
      <c r="AF7" s="45"/>
      <c r="AG7" s="45"/>
      <c r="AH7" s="45"/>
      <c r="AI7" s="45"/>
      <c r="AJ7" s="43"/>
      <c r="AK7" s="43"/>
      <c r="AL7" s="45"/>
      <c r="AM7" s="45"/>
      <c r="AN7" s="45"/>
      <c r="AO7" s="43"/>
      <c r="AP7" s="45"/>
      <c r="AQ7" s="45"/>
      <c r="AR7" s="45"/>
      <c r="AS7" s="45"/>
      <c r="AT7" s="45"/>
    </row>
    <row r="8" spans="2:59" ht="14.25" customHeight="1">
      <c r="B8" s="131" t="s">
        <v>1</v>
      </c>
      <c r="C8" s="132">
        <v>5119</v>
      </c>
      <c r="D8" s="132">
        <v>5636</v>
      </c>
      <c r="E8" s="132">
        <v>5580</v>
      </c>
      <c r="F8" s="132">
        <v>3264</v>
      </c>
      <c r="G8" s="132">
        <v>2549</v>
      </c>
      <c r="H8" s="132">
        <v>3100</v>
      </c>
      <c r="I8" s="132">
        <v>4024</v>
      </c>
      <c r="J8" s="132">
        <v>3836</v>
      </c>
      <c r="K8" s="132">
        <v>4359</v>
      </c>
      <c r="L8" s="132">
        <v>4711</v>
      </c>
      <c r="M8" s="132">
        <v>4403</v>
      </c>
      <c r="N8" s="132">
        <f>SUM(N9:N12)</f>
        <v>4378</v>
      </c>
      <c r="O8" s="132">
        <v>4749</v>
      </c>
      <c r="P8" s="132">
        <v>5123</v>
      </c>
      <c r="Q8" s="132">
        <v>5018</v>
      </c>
      <c r="R8" s="132">
        <f>SUM(R9:R12)</f>
        <v>4732</v>
      </c>
      <c r="S8" s="132">
        <f>SUM(S9:S12)</f>
        <v>4940</v>
      </c>
      <c r="T8" s="132">
        <v>5046</v>
      </c>
      <c r="U8" s="132">
        <v>4747</v>
      </c>
      <c r="V8" s="132">
        <v>4186</v>
      </c>
      <c r="W8" s="132"/>
      <c r="X8" s="132">
        <v>4410</v>
      </c>
      <c r="Y8" s="132">
        <v>4646</v>
      </c>
      <c r="Z8" s="132">
        <v>4507</v>
      </c>
      <c r="AA8" s="132">
        <v>4446</v>
      </c>
      <c r="AB8" s="132"/>
      <c r="AC8" s="132">
        <v>4562</v>
      </c>
      <c r="AD8" s="132">
        <v>4668</v>
      </c>
      <c r="AE8" s="132">
        <v>4475</v>
      </c>
      <c r="AF8" s="132">
        <v>4323</v>
      </c>
      <c r="AG8" s="132">
        <v>4341</v>
      </c>
      <c r="AH8" s="132">
        <v>4431</v>
      </c>
      <c r="AI8" s="132">
        <v>4200</v>
      </c>
      <c r="AJ8" s="132">
        <v>3889</v>
      </c>
      <c r="AK8" s="132">
        <v>4155</v>
      </c>
      <c r="AL8" s="132">
        <v>4304</v>
      </c>
      <c r="AM8" s="132">
        <v>3893</v>
      </c>
      <c r="AN8" s="132">
        <v>3326</v>
      </c>
      <c r="AO8" s="132"/>
      <c r="AP8" s="132">
        <v>4018</v>
      </c>
      <c r="AQ8" s="132">
        <v>4090</v>
      </c>
      <c r="AR8" s="132">
        <v>4062</v>
      </c>
      <c r="AS8" s="132">
        <v>3950</v>
      </c>
      <c r="AT8" s="132">
        <v>4165</v>
      </c>
      <c r="AU8" s="132">
        <v>3989</v>
      </c>
      <c r="AV8" s="132">
        <v>3969</v>
      </c>
      <c r="AW8" s="132">
        <v>3221</v>
      </c>
      <c r="AX8" s="132">
        <f>SUM(AX9:AX12)</f>
        <v>3343</v>
      </c>
      <c r="AY8" s="389">
        <f>SUM(AY9:AY12)</f>
        <v>3425.4207558006933</v>
      </c>
      <c r="AZ8" s="132">
        <v>2733.2516062510822</v>
      </c>
      <c r="BA8" s="132">
        <v>2952</v>
      </c>
      <c r="BB8" s="132">
        <f>SUM(BB9:BB12)</f>
        <v>3187.6644060236849</v>
      </c>
      <c r="BC8" s="389">
        <f>SUM(BC9:BC12)</f>
        <v>2433</v>
      </c>
      <c r="BD8" s="389">
        <f>SUM(BD9:BD12)</f>
        <v>3200</v>
      </c>
      <c r="BE8" s="389">
        <f>'[1]4 - Produção'!$BD$9</f>
        <v>3374</v>
      </c>
      <c r="BF8" s="574">
        <f>SUM(BF9:BF12)</f>
        <v>3151.3334243189552</v>
      </c>
      <c r="BG8" s="574">
        <v>3448.0995598675499</v>
      </c>
    </row>
    <row r="9" spans="2:59" s="8" customFormat="1" ht="14.25" customHeight="1">
      <c r="B9" s="133" t="s">
        <v>215</v>
      </c>
      <c r="C9" s="134">
        <v>1893</v>
      </c>
      <c r="D9" s="134">
        <v>2024</v>
      </c>
      <c r="E9" s="134">
        <v>2054</v>
      </c>
      <c r="F9" s="134">
        <v>1497</v>
      </c>
      <c r="G9" s="134">
        <v>879</v>
      </c>
      <c r="H9" s="134">
        <v>1168</v>
      </c>
      <c r="I9" s="134">
        <v>1626</v>
      </c>
      <c r="J9" s="134">
        <v>1660</v>
      </c>
      <c r="K9" s="134">
        <v>1680</v>
      </c>
      <c r="L9" s="134">
        <v>1784</v>
      </c>
      <c r="M9" s="134">
        <v>1771</v>
      </c>
      <c r="N9" s="134">
        <v>1718</v>
      </c>
      <c r="O9" s="134">
        <v>1722</v>
      </c>
      <c r="P9" s="134">
        <v>1969</v>
      </c>
      <c r="Q9" s="134">
        <v>2007</v>
      </c>
      <c r="R9" s="134">
        <v>1874</v>
      </c>
      <c r="S9" s="134">
        <v>1751</v>
      </c>
      <c r="T9" s="134">
        <v>1825</v>
      </c>
      <c r="U9" s="134">
        <v>1925</v>
      </c>
      <c r="V9" s="134">
        <v>1702</v>
      </c>
      <c r="W9" s="134"/>
      <c r="X9" s="134">
        <v>1708</v>
      </c>
      <c r="Y9" s="134">
        <v>1771</v>
      </c>
      <c r="Z9" s="134">
        <v>1794</v>
      </c>
      <c r="AA9" s="134">
        <v>1691</v>
      </c>
      <c r="AB9" s="134"/>
      <c r="AC9" s="134">
        <v>1614</v>
      </c>
      <c r="AD9" s="134">
        <v>1621</v>
      </c>
      <c r="AE9" s="134">
        <v>1603</v>
      </c>
      <c r="AF9" s="134">
        <v>1619</v>
      </c>
      <c r="AG9" s="134">
        <v>1528</v>
      </c>
      <c r="AH9" s="134">
        <v>1660</v>
      </c>
      <c r="AI9" s="134">
        <v>1578</v>
      </c>
      <c r="AJ9" s="134">
        <v>1481</v>
      </c>
      <c r="AK9" s="134">
        <v>1544</v>
      </c>
      <c r="AL9" s="134">
        <v>1655</v>
      </c>
      <c r="AM9" s="134">
        <v>1663</v>
      </c>
      <c r="AN9" s="134">
        <v>1273</v>
      </c>
      <c r="AO9" s="134"/>
      <c r="AP9" s="134">
        <v>1481</v>
      </c>
      <c r="AQ9" s="134">
        <v>1545</v>
      </c>
      <c r="AR9" s="134">
        <v>1565</v>
      </c>
      <c r="AS9" s="134">
        <v>1541</v>
      </c>
      <c r="AT9" s="134">
        <v>1532</v>
      </c>
      <c r="AU9" s="134">
        <v>1381</v>
      </c>
      <c r="AV9" s="134">
        <v>1479</v>
      </c>
      <c r="AW9" s="134">
        <v>1454</v>
      </c>
      <c r="AX9" s="134">
        <v>1419</v>
      </c>
      <c r="AY9" s="390">
        <v>1626.0732399999999</v>
      </c>
      <c r="AZ9" s="134">
        <v>1078.6739660000001</v>
      </c>
      <c r="BA9" s="134">
        <v>1439</v>
      </c>
      <c r="BB9" s="134">
        <v>1238.785482</v>
      </c>
      <c r="BC9" s="390">
        <v>1135</v>
      </c>
      <c r="BD9" s="390">
        <v>1553</v>
      </c>
      <c r="BE9" s="390">
        <f>'[1]4 - Produção'!$BD$10</f>
        <v>1565</v>
      </c>
      <c r="BF9" s="575">
        <v>1291.623141</v>
      </c>
      <c r="BG9" s="575">
        <v>1659.0624980000002</v>
      </c>
    </row>
    <row r="10" spans="2:59" ht="14.25" customHeight="1">
      <c r="B10" s="131" t="s">
        <v>216</v>
      </c>
      <c r="C10" s="135">
        <v>2202</v>
      </c>
      <c r="D10" s="135">
        <v>2272</v>
      </c>
      <c r="E10" s="135">
        <v>2174</v>
      </c>
      <c r="F10" s="135">
        <v>937</v>
      </c>
      <c r="G10" s="135">
        <v>1044</v>
      </c>
      <c r="H10" s="135">
        <v>1217</v>
      </c>
      <c r="I10" s="135">
        <v>1493</v>
      </c>
      <c r="J10" s="135">
        <v>1156</v>
      </c>
      <c r="K10" s="135">
        <v>1587</v>
      </c>
      <c r="L10" s="135">
        <v>1652</v>
      </c>
      <c r="M10" s="135">
        <v>1462</v>
      </c>
      <c r="N10" s="135">
        <v>1508</v>
      </c>
      <c r="O10" s="135">
        <v>1771</v>
      </c>
      <c r="P10" s="135">
        <v>1802</v>
      </c>
      <c r="Q10" s="135">
        <v>1726</v>
      </c>
      <c r="R10" s="135">
        <v>1670</v>
      </c>
      <c r="S10" s="135">
        <v>1899</v>
      </c>
      <c r="T10" s="135">
        <v>1841</v>
      </c>
      <c r="U10" s="135">
        <v>1734</v>
      </c>
      <c r="V10" s="135">
        <v>1425</v>
      </c>
      <c r="W10" s="135"/>
      <c r="X10" s="135">
        <v>1474</v>
      </c>
      <c r="Y10" s="135">
        <v>1640</v>
      </c>
      <c r="Z10" s="135">
        <v>1457</v>
      </c>
      <c r="AA10" s="135">
        <v>1549</v>
      </c>
      <c r="AB10" s="135"/>
      <c r="AC10" s="135">
        <v>1755</v>
      </c>
      <c r="AD10" s="135">
        <v>1875</v>
      </c>
      <c r="AE10" s="135">
        <v>1793</v>
      </c>
      <c r="AF10" s="135">
        <v>1586</v>
      </c>
      <c r="AG10" s="135">
        <v>1650</v>
      </c>
      <c r="AH10" s="135">
        <v>1693</v>
      </c>
      <c r="AI10" s="135">
        <v>1675</v>
      </c>
      <c r="AJ10" s="135">
        <v>1450</v>
      </c>
      <c r="AK10" s="135">
        <v>1555</v>
      </c>
      <c r="AL10" s="135">
        <v>1690</v>
      </c>
      <c r="AM10" s="135">
        <v>1468</v>
      </c>
      <c r="AN10" s="135">
        <v>1274</v>
      </c>
      <c r="AO10" s="135"/>
      <c r="AP10" s="135">
        <v>1711</v>
      </c>
      <c r="AQ10" s="135">
        <v>1700</v>
      </c>
      <c r="AR10" s="135">
        <v>1709</v>
      </c>
      <c r="AS10" s="135">
        <v>1643</v>
      </c>
      <c r="AT10" s="135">
        <v>1799</v>
      </c>
      <c r="AU10" s="135">
        <v>1755</v>
      </c>
      <c r="AV10" s="135">
        <v>1699</v>
      </c>
      <c r="AW10" s="135">
        <v>1179</v>
      </c>
      <c r="AX10" s="135">
        <v>1267</v>
      </c>
      <c r="AY10" s="391">
        <v>1194.7442329999999</v>
      </c>
      <c r="AZ10" s="135">
        <v>1086.3279786000001</v>
      </c>
      <c r="BA10" s="135">
        <v>1053</v>
      </c>
      <c r="BB10" s="135">
        <v>1345.021054</v>
      </c>
      <c r="BC10" s="391">
        <v>1031</v>
      </c>
      <c r="BD10" s="391">
        <v>1154</v>
      </c>
      <c r="BE10" s="391">
        <f>'[1]4 - Produção'!$BD$11</f>
        <v>1177</v>
      </c>
      <c r="BF10" s="576">
        <v>1251.2432880000001</v>
      </c>
      <c r="BG10" s="576">
        <v>1268.9004180000002</v>
      </c>
    </row>
    <row r="11" spans="2:59" s="8" customFormat="1" ht="14.25" customHeight="1">
      <c r="B11" s="133" t="s">
        <v>217</v>
      </c>
      <c r="C11" s="134">
        <v>445</v>
      </c>
      <c r="D11" s="134">
        <v>510</v>
      </c>
      <c r="E11" s="134">
        <v>501</v>
      </c>
      <c r="F11" s="134">
        <v>224</v>
      </c>
      <c r="G11" s="134">
        <v>315</v>
      </c>
      <c r="H11" s="134">
        <v>317</v>
      </c>
      <c r="I11" s="134">
        <v>360</v>
      </c>
      <c r="J11" s="134">
        <v>355</v>
      </c>
      <c r="K11" s="134">
        <v>321</v>
      </c>
      <c r="L11" s="134">
        <v>386</v>
      </c>
      <c r="M11" s="134">
        <v>349</v>
      </c>
      <c r="N11" s="134">
        <v>431</v>
      </c>
      <c r="O11" s="134">
        <v>430</v>
      </c>
      <c r="P11" s="134">
        <v>446</v>
      </c>
      <c r="Q11" s="134">
        <v>428</v>
      </c>
      <c r="R11" s="134">
        <v>414</v>
      </c>
      <c r="S11" s="134">
        <v>470</v>
      </c>
      <c r="T11" s="134">
        <v>518</v>
      </c>
      <c r="U11" s="134">
        <v>444</v>
      </c>
      <c r="V11" s="134">
        <v>408</v>
      </c>
      <c r="W11" s="134"/>
      <c r="X11" s="134">
        <v>426</v>
      </c>
      <c r="Y11" s="134">
        <v>429</v>
      </c>
      <c r="Z11" s="134">
        <v>444</v>
      </c>
      <c r="AA11" s="134">
        <v>426</v>
      </c>
      <c r="AB11" s="134"/>
      <c r="AC11" s="134">
        <v>335</v>
      </c>
      <c r="AD11" s="134">
        <v>310</v>
      </c>
      <c r="AE11" s="134">
        <v>301</v>
      </c>
      <c r="AF11" s="134">
        <v>307</v>
      </c>
      <c r="AG11" s="134">
        <v>303</v>
      </c>
      <c r="AH11" s="134">
        <v>310</v>
      </c>
      <c r="AI11" s="134">
        <v>297</v>
      </c>
      <c r="AJ11" s="134">
        <v>333</v>
      </c>
      <c r="AK11" s="134">
        <v>320</v>
      </c>
      <c r="AL11" s="134">
        <v>297</v>
      </c>
      <c r="AM11" s="134">
        <v>301</v>
      </c>
      <c r="AN11" s="134">
        <v>314</v>
      </c>
      <c r="AO11" s="134"/>
      <c r="AP11" s="134">
        <v>303</v>
      </c>
      <c r="AQ11" s="134">
        <v>279</v>
      </c>
      <c r="AR11" s="134">
        <v>208</v>
      </c>
      <c r="AS11" s="134">
        <v>253</v>
      </c>
      <c r="AT11" s="134">
        <v>243</v>
      </c>
      <c r="AU11" s="134">
        <v>216</v>
      </c>
      <c r="AV11" s="134">
        <v>142</v>
      </c>
      <c r="AW11" s="134">
        <v>144</v>
      </c>
      <c r="AX11" s="134">
        <v>139</v>
      </c>
      <c r="AY11" s="390">
        <v>156.10828136000001</v>
      </c>
      <c r="AZ11" s="134">
        <v>153.4277745600001</v>
      </c>
      <c r="BA11" s="134">
        <v>161</v>
      </c>
      <c r="BB11" s="134">
        <v>141.59878020000011</v>
      </c>
      <c r="BC11" s="390">
        <v>79</v>
      </c>
      <c r="BD11" s="390">
        <v>170</v>
      </c>
      <c r="BE11" s="390">
        <f>'[1]4 - Produção'!$BD$12</f>
        <v>184</v>
      </c>
      <c r="BF11" s="575">
        <v>163.03251643115462</v>
      </c>
      <c r="BG11" s="575">
        <v>124.05261447605</v>
      </c>
    </row>
    <row r="12" spans="2:59" ht="14.25" customHeight="1">
      <c r="B12" s="131" t="s">
        <v>218</v>
      </c>
      <c r="C12" s="136">
        <v>579</v>
      </c>
      <c r="D12" s="135">
        <v>830</v>
      </c>
      <c r="E12" s="135">
        <v>851</v>
      </c>
      <c r="F12" s="135">
        <v>606</v>
      </c>
      <c r="G12" s="135">
        <v>311</v>
      </c>
      <c r="H12" s="135">
        <v>398</v>
      </c>
      <c r="I12" s="135">
        <v>545</v>
      </c>
      <c r="J12" s="135">
        <v>665</v>
      </c>
      <c r="K12" s="135">
        <v>771</v>
      </c>
      <c r="L12" s="135">
        <v>889</v>
      </c>
      <c r="M12" s="135">
        <v>821</v>
      </c>
      <c r="N12" s="135">
        <v>721</v>
      </c>
      <c r="O12" s="135">
        <v>826</v>
      </c>
      <c r="P12" s="135">
        <v>906</v>
      </c>
      <c r="Q12" s="135">
        <v>857</v>
      </c>
      <c r="R12" s="135">
        <v>774</v>
      </c>
      <c r="S12" s="135">
        <v>820</v>
      </c>
      <c r="T12" s="135">
        <v>862</v>
      </c>
      <c r="U12" s="135">
        <v>644</v>
      </c>
      <c r="V12" s="135">
        <v>651</v>
      </c>
      <c r="W12" s="135"/>
      <c r="X12" s="135">
        <v>802</v>
      </c>
      <c r="Y12" s="135">
        <v>806</v>
      </c>
      <c r="Z12" s="135">
        <v>812</v>
      </c>
      <c r="AA12" s="135">
        <v>780</v>
      </c>
      <c r="AB12" s="135"/>
      <c r="AC12" s="135">
        <v>858</v>
      </c>
      <c r="AD12" s="135">
        <v>861</v>
      </c>
      <c r="AE12" s="135">
        <v>778</v>
      </c>
      <c r="AF12" s="135">
        <v>811</v>
      </c>
      <c r="AG12" s="135">
        <v>859</v>
      </c>
      <c r="AH12" s="135">
        <v>768</v>
      </c>
      <c r="AI12" s="135">
        <v>651</v>
      </c>
      <c r="AJ12" s="135">
        <v>625</v>
      </c>
      <c r="AK12" s="135">
        <v>736</v>
      </c>
      <c r="AL12" s="135">
        <v>662</v>
      </c>
      <c r="AM12" s="135">
        <v>461</v>
      </c>
      <c r="AN12" s="135">
        <v>465</v>
      </c>
      <c r="AO12" s="135"/>
      <c r="AP12" s="135">
        <v>523</v>
      </c>
      <c r="AQ12" s="135">
        <v>566</v>
      </c>
      <c r="AR12" s="135">
        <v>580</v>
      </c>
      <c r="AS12" s="135">
        <v>513</v>
      </c>
      <c r="AT12" s="135">
        <v>591</v>
      </c>
      <c r="AU12" s="135">
        <v>637</v>
      </c>
      <c r="AV12" s="135">
        <v>649</v>
      </c>
      <c r="AW12" s="135">
        <v>444</v>
      </c>
      <c r="AX12" s="135">
        <v>518</v>
      </c>
      <c r="AY12" s="391">
        <v>448.49500144069304</v>
      </c>
      <c r="AZ12" s="135">
        <v>414.8218870910822</v>
      </c>
      <c r="BA12" s="135">
        <v>299</v>
      </c>
      <c r="BB12" s="135">
        <v>462.25908982368503</v>
      </c>
      <c r="BC12" s="391">
        <v>188</v>
      </c>
      <c r="BD12" s="391">
        <v>323</v>
      </c>
      <c r="BE12" s="391">
        <f>'[1]4 - Produção'!$BD$13</f>
        <v>448</v>
      </c>
      <c r="BF12" s="576">
        <v>445.43447888780003</v>
      </c>
      <c r="BG12" s="576">
        <v>396.0840293915</v>
      </c>
    </row>
    <row r="13" spans="2:59" s="8" customFormat="1" ht="14.25" customHeight="1">
      <c r="B13" s="43"/>
      <c r="C13" s="43"/>
      <c r="D13" s="44"/>
      <c r="E13" s="44"/>
      <c r="F13" s="47"/>
      <c r="G13" s="47"/>
      <c r="H13" s="47"/>
      <c r="I13" s="47"/>
      <c r="J13" s="47"/>
      <c r="K13" s="47"/>
      <c r="L13" s="47"/>
      <c r="M13" s="47"/>
      <c r="N13" s="47"/>
      <c r="O13" s="47"/>
      <c r="P13" s="47"/>
      <c r="Q13" s="47"/>
      <c r="R13" s="47"/>
      <c r="S13" s="47"/>
      <c r="T13" s="47"/>
      <c r="U13" s="45"/>
      <c r="V13" s="45"/>
      <c r="W13" s="52"/>
      <c r="X13" s="45"/>
      <c r="Y13" s="45"/>
      <c r="Z13" s="45"/>
      <c r="AA13" s="45"/>
      <c r="AB13" s="52"/>
      <c r="AC13" s="45"/>
      <c r="AD13" s="45"/>
      <c r="AE13" s="44"/>
      <c r="AF13" s="44"/>
      <c r="AG13" s="44"/>
      <c r="AH13" s="44"/>
      <c r="AI13" s="44"/>
      <c r="AJ13" s="52"/>
      <c r="AK13" s="52"/>
      <c r="AL13" s="44"/>
      <c r="AM13" s="44"/>
      <c r="AN13" s="52"/>
      <c r="AO13" s="52"/>
      <c r="AP13" s="44"/>
      <c r="AQ13" s="44"/>
      <c r="AR13" s="44"/>
      <c r="AS13" s="44"/>
      <c r="AT13" s="44"/>
    </row>
    <row r="14" spans="2:59" s="4" customFormat="1" ht="14.25" customHeight="1" thickBot="1">
      <c r="B14" s="128" t="s">
        <v>19</v>
      </c>
      <c r="C14" s="129" t="s">
        <v>20</v>
      </c>
      <c r="D14" s="129" t="s">
        <v>21</v>
      </c>
      <c r="E14" s="129" t="s">
        <v>22</v>
      </c>
      <c r="F14" s="129" t="s">
        <v>6</v>
      </c>
      <c r="G14" s="129" t="s">
        <v>23</v>
      </c>
      <c r="H14" s="129" t="s">
        <v>24</v>
      </c>
      <c r="I14" s="129" t="s">
        <v>91</v>
      </c>
      <c r="J14" s="129" t="s">
        <v>102</v>
      </c>
      <c r="K14" s="129" t="s">
        <v>103</v>
      </c>
      <c r="L14" s="129" t="s">
        <v>105</v>
      </c>
      <c r="M14" s="129" t="s">
        <v>106</v>
      </c>
      <c r="N14" s="129" t="s">
        <v>112</v>
      </c>
      <c r="O14" s="129" t="str">
        <f t="shared" ref="O14:T14" si="0">O6</f>
        <v>1Q11</v>
      </c>
      <c r="P14" s="129" t="str">
        <f t="shared" si="0"/>
        <v>2Q11</v>
      </c>
      <c r="Q14" s="129" t="str">
        <f t="shared" si="0"/>
        <v>3Q11</v>
      </c>
      <c r="R14" s="129" t="str">
        <f t="shared" si="0"/>
        <v>4Q11</v>
      </c>
      <c r="S14" s="129" t="str">
        <f t="shared" si="0"/>
        <v>1Q12</v>
      </c>
      <c r="T14" s="129" t="str">
        <f t="shared" si="0"/>
        <v>2Q12</v>
      </c>
      <c r="U14" s="129" t="str">
        <f>U6</f>
        <v>3Q12</v>
      </c>
      <c r="V14" s="129" t="str">
        <f>V6</f>
        <v>4Q12</v>
      </c>
      <c r="W14" s="130"/>
      <c r="X14" s="129" t="s">
        <v>130</v>
      </c>
      <c r="Y14" s="129" t="str">
        <f>Y6</f>
        <v>2Q13</v>
      </c>
      <c r="Z14" s="129" t="s">
        <v>137</v>
      </c>
      <c r="AA14" s="129" t="s">
        <v>138</v>
      </c>
      <c r="AB14" s="130"/>
      <c r="AC14" s="129" t="s">
        <v>139</v>
      </c>
      <c r="AD14" s="129" t="s">
        <v>142</v>
      </c>
      <c r="AE14" s="129" t="s">
        <v>148</v>
      </c>
      <c r="AF14" s="129" t="s">
        <v>151</v>
      </c>
      <c r="AG14" s="129" t="s">
        <v>156</v>
      </c>
      <c r="AH14" s="129" t="s">
        <v>157</v>
      </c>
      <c r="AI14" s="129" t="s">
        <v>161</v>
      </c>
      <c r="AJ14" s="129" t="s">
        <v>166</v>
      </c>
      <c r="AK14" s="129" t="s">
        <v>180</v>
      </c>
      <c r="AL14" s="129" t="s">
        <v>181</v>
      </c>
      <c r="AM14" s="129" t="s">
        <v>192</v>
      </c>
      <c r="AN14" s="129" t="s">
        <v>195</v>
      </c>
      <c r="AO14" s="129"/>
      <c r="AP14" s="129" t="s">
        <v>198</v>
      </c>
      <c r="AQ14" s="129" t="str">
        <f>AQ6</f>
        <v>2Q17</v>
      </c>
      <c r="AR14" s="129" t="str">
        <f>AR6</f>
        <v>3Q17</v>
      </c>
      <c r="AS14" s="129" t="str">
        <f>AS6</f>
        <v>4Q17</v>
      </c>
      <c r="AT14" s="129" t="str">
        <f>AT6</f>
        <v>1Q18</v>
      </c>
      <c r="AU14" s="129" t="str">
        <f>AU6</f>
        <v>2Q18</v>
      </c>
      <c r="AV14" s="129" t="s">
        <v>207</v>
      </c>
      <c r="AW14" s="157" t="s">
        <v>212</v>
      </c>
      <c r="AX14" s="157" t="s">
        <v>228</v>
      </c>
      <c r="AY14" s="157" t="s">
        <v>247</v>
      </c>
      <c r="AZ14" s="157" t="s">
        <v>249</v>
      </c>
      <c r="BA14" s="157" t="s">
        <v>254</v>
      </c>
      <c r="BB14" s="157" t="s">
        <v>258</v>
      </c>
      <c r="BC14" s="157" t="s">
        <v>260</v>
      </c>
      <c r="BD14" s="157" t="s">
        <v>338</v>
      </c>
      <c r="BE14" s="157" t="s">
        <v>366</v>
      </c>
      <c r="BF14" s="157" t="s">
        <v>373</v>
      </c>
      <c r="BG14" s="157" t="s">
        <v>378</v>
      </c>
    </row>
    <row r="15" spans="2:59" s="4" customFormat="1" ht="14.25" customHeight="1" thickTop="1">
      <c r="B15" s="137"/>
      <c r="C15" s="138"/>
      <c r="D15" s="139"/>
      <c r="E15" s="139"/>
      <c r="F15" s="139"/>
      <c r="G15" s="140"/>
      <c r="H15" s="140"/>
      <c r="I15" s="140"/>
      <c r="J15" s="140"/>
      <c r="K15" s="140"/>
      <c r="L15" s="140"/>
      <c r="M15" s="140"/>
      <c r="N15" s="140"/>
      <c r="O15" s="140"/>
      <c r="P15" s="140"/>
      <c r="Q15" s="140"/>
      <c r="R15" s="140"/>
      <c r="S15" s="140"/>
      <c r="T15" s="140"/>
      <c r="U15" s="140"/>
      <c r="V15" s="140"/>
      <c r="W15" s="141"/>
      <c r="X15" s="140"/>
      <c r="Y15" s="140"/>
      <c r="Z15" s="140"/>
      <c r="AA15" s="140"/>
      <c r="AB15" s="141"/>
      <c r="AC15" s="140"/>
      <c r="AD15" s="140"/>
      <c r="AE15" s="140"/>
      <c r="AF15" s="140"/>
      <c r="AG15" s="140"/>
      <c r="AH15" s="140"/>
      <c r="AI15" s="140"/>
      <c r="AJ15" s="140"/>
      <c r="AK15" s="140"/>
      <c r="AL15" s="140"/>
      <c r="AM15" s="140"/>
      <c r="AN15" s="140"/>
      <c r="AO15" s="140"/>
      <c r="AP15" s="140"/>
      <c r="AQ15" s="140"/>
      <c r="AR15" s="140"/>
      <c r="AS15" s="140"/>
      <c r="AT15" s="66"/>
      <c r="AU15" s="66"/>
      <c r="AV15" s="66"/>
      <c r="AW15" s="137"/>
      <c r="AX15" s="137"/>
      <c r="AY15" s="137"/>
      <c r="AZ15" s="137"/>
      <c r="BA15" s="137"/>
      <c r="BB15" s="137"/>
      <c r="BC15" s="137"/>
      <c r="BD15" s="137"/>
      <c r="BE15" s="137"/>
      <c r="BF15" s="137"/>
      <c r="BG15" s="137"/>
    </row>
    <row r="16" spans="2:59" ht="14.25" customHeight="1">
      <c r="B16" s="131" t="s">
        <v>1</v>
      </c>
      <c r="C16" s="132">
        <v>4377</v>
      </c>
      <c r="D16" s="132">
        <v>4771</v>
      </c>
      <c r="E16" s="132">
        <v>4620</v>
      </c>
      <c r="F16" s="132">
        <v>2672</v>
      </c>
      <c r="G16" s="132">
        <v>2446</v>
      </c>
      <c r="H16" s="132">
        <v>2792</v>
      </c>
      <c r="I16" s="132">
        <v>3323</v>
      </c>
      <c r="J16" s="132">
        <v>3180</v>
      </c>
      <c r="K16" s="132">
        <v>3580</v>
      </c>
      <c r="L16" s="132">
        <v>3910</v>
      </c>
      <c r="M16" s="132">
        <f>SUM(M17:M20)</f>
        <v>3628</v>
      </c>
      <c r="N16" s="132">
        <f>SUM(N17:N20)</f>
        <v>3663</v>
      </c>
      <c r="O16" s="132">
        <v>4049</v>
      </c>
      <c r="P16" s="132">
        <v>4178</v>
      </c>
      <c r="Q16" s="132">
        <v>4210</v>
      </c>
      <c r="R16" s="132">
        <f>SUM(R17:R20)</f>
        <v>3982</v>
      </c>
      <c r="S16" s="132">
        <f>SUM(S17:S20)</f>
        <v>4217</v>
      </c>
      <c r="T16" s="132">
        <v>4201</v>
      </c>
      <c r="U16" s="132">
        <v>3959</v>
      </c>
      <c r="V16" s="132">
        <v>3447</v>
      </c>
      <c r="W16" s="132"/>
      <c r="X16" s="132">
        <v>3682</v>
      </c>
      <c r="Y16" s="132">
        <v>4078</v>
      </c>
      <c r="Z16" s="132">
        <v>3922</v>
      </c>
      <c r="AA16" s="132">
        <v>3848</v>
      </c>
      <c r="AB16" s="132"/>
      <c r="AC16" s="132">
        <v>4150</v>
      </c>
      <c r="AD16" s="132">
        <f>SUM(AD17:AD20)</f>
        <v>4115</v>
      </c>
      <c r="AE16" s="132">
        <v>3930</v>
      </c>
      <c r="AF16" s="132">
        <v>3832</v>
      </c>
      <c r="AG16" s="132">
        <v>3823</v>
      </c>
      <c r="AH16" s="132">
        <v>3784</v>
      </c>
      <c r="AI16" s="132">
        <v>3503</v>
      </c>
      <c r="AJ16" s="132">
        <v>3304</v>
      </c>
      <c r="AK16" s="132">
        <v>3545</v>
      </c>
      <c r="AL16" s="132">
        <v>3810</v>
      </c>
      <c r="AM16" s="132">
        <v>3328</v>
      </c>
      <c r="AN16" s="132">
        <v>2934</v>
      </c>
      <c r="AO16" s="132"/>
      <c r="AP16" s="132">
        <v>3523</v>
      </c>
      <c r="AQ16" s="132">
        <v>3607</v>
      </c>
      <c r="AR16" s="132">
        <v>3518</v>
      </c>
      <c r="AS16" s="132">
        <v>3399</v>
      </c>
      <c r="AT16" s="132">
        <v>3645</v>
      </c>
      <c r="AU16" s="132">
        <v>3680</v>
      </c>
      <c r="AV16" s="132">
        <v>3593</v>
      </c>
      <c r="AW16" s="132">
        <v>2831</v>
      </c>
      <c r="AX16" s="132">
        <f>SUM(AX17:AX20)</f>
        <v>2919</v>
      </c>
      <c r="AY16" s="389">
        <f>SUM(AY17:AY20)</f>
        <v>2865.443207512069</v>
      </c>
      <c r="AZ16" s="132">
        <v>2720.0710666331779</v>
      </c>
      <c r="BA16" s="132">
        <v>2467</v>
      </c>
      <c r="BB16" s="132">
        <f>SUM(BB17:BB20)</f>
        <v>2885.8690450803997</v>
      </c>
      <c r="BC16" s="389">
        <f>SUM(BC17:BC20)</f>
        <v>2169</v>
      </c>
      <c r="BD16" s="389">
        <f>SUM(BD17:BD20)</f>
        <v>2824</v>
      </c>
      <c r="BE16" s="389">
        <f>'[1]4 - Produção'!$BD$17</f>
        <v>3052</v>
      </c>
      <c r="BF16" s="574">
        <f>SUM(BF17:BF20)</f>
        <v>2978.7699489140368</v>
      </c>
      <c r="BG16" s="574">
        <v>3247.4122141372745</v>
      </c>
    </row>
    <row r="17" spans="2:59" s="8" customFormat="1" ht="14.25" customHeight="1">
      <c r="B17" s="133" t="s">
        <v>215</v>
      </c>
      <c r="C17" s="134">
        <v>1185</v>
      </c>
      <c r="D17" s="134">
        <v>1241</v>
      </c>
      <c r="E17" s="134">
        <v>1305</v>
      </c>
      <c r="F17" s="134">
        <v>920</v>
      </c>
      <c r="G17" s="134">
        <v>678</v>
      </c>
      <c r="H17" s="134">
        <v>874</v>
      </c>
      <c r="I17" s="134">
        <v>956</v>
      </c>
      <c r="J17" s="134">
        <v>1063</v>
      </c>
      <c r="K17" s="134">
        <v>1034</v>
      </c>
      <c r="L17" s="134">
        <v>1106</v>
      </c>
      <c r="M17" s="134">
        <v>1030</v>
      </c>
      <c r="N17" s="134">
        <v>996</v>
      </c>
      <c r="O17" s="134">
        <v>1105</v>
      </c>
      <c r="P17" s="134">
        <v>1182</v>
      </c>
      <c r="Q17" s="134">
        <v>1248</v>
      </c>
      <c r="R17" s="134">
        <v>1164</v>
      </c>
      <c r="S17" s="134">
        <v>1140</v>
      </c>
      <c r="T17" s="134">
        <v>1143</v>
      </c>
      <c r="U17" s="134">
        <v>1213</v>
      </c>
      <c r="V17" s="134">
        <v>1019</v>
      </c>
      <c r="W17" s="134"/>
      <c r="X17" s="134">
        <v>1069</v>
      </c>
      <c r="Y17" s="134">
        <v>1219</v>
      </c>
      <c r="Z17" s="134">
        <v>1232</v>
      </c>
      <c r="AA17" s="134">
        <v>1122</v>
      </c>
      <c r="AB17" s="134"/>
      <c r="AC17" s="134">
        <v>1287</v>
      </c>
      <c r="AD17" s="134">
        <v>1116</v>
      </c>
      <c r="AE17" s="134">
        <v>1142</v>
      </c>
      <c r="AF17" s="134">
        <v>1130</v>
      </c>
      <c r="AG17" s="134">
        <v>1134</v>
      </c>
      <c r="AH17" s="134">
        <v>1039</v>
      </c>
      <c r="AI17" s="134">
        <v>902</v>
      </c>
      <c r="AJ17" s="134">
        <v>878</v>
      </c>
      <c r="AK17" s="134">
        <v>978</v>
      </c>
      <c r="AL17" s="134">
        <v>1136</v>
      </c>
      <c r="AM17" s="134">
        <v>1130</v>
      </c>
      <c r="AN17" s="134">
        <v>851</v>
      </c>
      <c r="AO17" s="134"/>
      <c r="AP17" s="134">
        <v>1077</v>
      </c>
      <c r="AQ17" s="134">
        <v>1081</v>
      </c>
      <c r="AR17" s="134">
        <v>1058</v>
      </c>
      <c r="AS17" s="134">
        <v>1040</v>
      </c>
      <c r="AT17" s="134">
        <v>1097</v>
      </c>
      <c r="AU17" s="134">
        <v>1116</v>
      </c>
      <c r="AV17" s="134">
        <v>1197</v>
      </c>
      <c r="AW17" s="134">
        <v>1109</v>
      </c>
      <c r="AX17" s="134">
        <v>1073</v>
      </c>
      <c r="AY17" s="390">
        <v>1148.5305109999999</v>
      </c>
      <c r="AZ17" s="134">
        <v>1078.3507950000001</v>
      </c>
      <c r="BA17" s="134">
        <v>1032</v>
      </c>
      <c r="BB17" s="134">
        <v>1078.203998</v>
      </c>
      <c r="BC17" s="390">
        <v>905</v>
      </c>
      <c r="BD17" s="390">
        <v>1247</v>
      </c>
      <c r="BE17" s="390">
        <f>'[1]4 - Produção'!$BD$18</f>
        <v>1333</v>
      </c>
      <c r="BF17" s="575">
        <v>1216.602476</v>
      </c>
      <c r="BG17" s="575">
        <v>1454.5543859999998</v>
      </c>
    </row>
    <row r="18" spans="2:59" ht="14.25" customHeight="1">
      <c r="B18" s="131" t="s">
        <v>216</v>
      </c>
      <c r="C18" s="135">
        <v>2089</v>
      </c>
      <c r="D18" s="135">
        <v>2183</v>
      </c>
      <c r="E18" s="135">
        <v>2058</v>
      </c>
      <c r="F18" s="135">
        <v>881</v>
      </c>
      <c r="G18" s="135">
        <v>1094</v>
      </c>
      <c r="H18" s="135">
        <v>1103</v>
      </c>
      <c r="I18" s="135">
        <v>1387</v>
      </c>
      <c r="J18" s="135">
        <v>1051</v>
      </c>
      <c r="K18" s="135">
        <v>1425</v>
      </c>
      <c r="L18" s="135">
        <v>1508</v>
      </c>
      <c r="M18" s="135">
        <v>1405</v>
      </c>
      <c r="N18" s="135">
        <v>1421</v>
      </c>
      <c r="O18" s="135">
        <v>1623</v>
      </c>
      <c r="P18" s="135">
        <v>1598</v>
      </c>
      <c r="Q18" s="135">
        <v>1630</v>
      </c>
      <c r="R18" s="135">
        <v>1574</v>
      </c>
      <c r="S18" s="135">
        <v>1744</v>
      </c>
      <c r="T18" s="135">
        <v>1714</v>
      </c>
      <c r="U18" s="135">
        <v>1637</v>
      </c>
      <c r="V18" s="135">
        <v>1329</v>
      </c>
      <c r="W18" s="135"/>
      <c r="X18" s="135">
        <v>1385</v>
      </c>
      <c r="Y18" s="135">
        <v>1541</v>
      </c>
      <c r="Z18" s="135">
        <v>1430</v>
      </c>
      <c r="AA18" s="135">
        <v>1501</v>
      </c>
      <c r="AB18" s="135"/>
      <c r="AC18" s="135">
        <v>1630</v>
      </c>
      <c r="AD18" s="135">
        <v>1771</v>
      </c>
      <c r="AE18" s="135">
        <v>1686</v>
      </c>
      <c r="AF18" s="135">
        <v>1518</v>
      </c>
      <c r="AG18" s="135">
        <v>1559</v>
      </c>
      <c r="AH18" s="135">
        <v>1614</v>
      </c>
      <c r="AI18" s="135">
        <v>1580</v>
      </c>
      <c r="AJ18" s="135">
        <v>1403</v>
      </c>
      <c r="AK18" s="135">
        <v>1468</v>
      </c>
      <c r="AL18" s="135">
        <v>1648</v>
      </c>
      <c r="AM18" s="135">
        <v>1392</v>
      </c>
      <c r="AN18" s="135">
        <v>1232</v>
      </c>
      <c r="AO18" s="135"/>
      <c r="AP18" s="135">
        <v>1600</v>
      </c>
      <c r="AQ18" s="135">
        <v>1634</v>
      </c>
      <c r="AR18" s="135">
        <v>1610</v>
      </c>
      <c r="AS18" s="135">
        <v>1551</v>
      </c>
      <c r="AT18" s="135">
        <v>1721</v>
      </c>
      <c r="AU18" s="135">
        <v>1669</v>
      </c>
      <c r="AV18" s="135">
        <v>1606</v>
      </c>
      <c r="AW18" s="135">
        <v>1101</v>
      </c>
      <c r="AX18" s="135">
        <v>1186</v>
      </c>
      <c r="AY18" s="391">
        <v>1077.154828</v>
      </c>
      <c r="AZ18" s="135">
        <v>1053.3181589999999</v>
      </c>
      <c r="BA18" s="135">
        <v>949</v>
      </c>
      <c r="BB18" s="135">
        <v>1221.1813929</v>
      </c>
      <c r="BC18" s="391">
        <v>968</v>
      </c>
      <c r="BD18" s="391">
        <v>1075</v>
      </c>
      <c r="BE18" s="391">
        <f>'[1]4 - Produção'!$BD$19</f>
        <v>1080</v>
      </c>
      <c r="BF18" s="576">
        <v>1122.8009200000001</v>
      </c>
      <c r="BG18" s="576">
        <v>1172.436702</v>
      </c>
    </row>
    <row r="19" spans="2:59" s="8" customFormat="1" ht="14.25" customHeight="1">
      <c r="B19" s="133" t="s">
        <v>217</v>
      </c>
      <c r="C19" s="134">
        <v>548</v>
      </c>
      <c r="D19" s="134">
        <v>560</v>
      </c>
      <c r="E19" s="134">
        <v>512</v>
      </c>
      <c r="F19" s="134">
        <v>312</v>
      </c>
      <c r="G19" s="134">
        <v>344</v>
      </c>
      <c r="H19" s="134">
        <v>416</v>
      </c>
      <c r="I19" s="134">
        <v>469</v>
      </c>
      <c r="J19" s="134">
        <v>438</v>
      </c>
      <c r="K19" s="134">
        <v>427</v>
      </c>
      <c r="L19" s="134">
        <v>487</v>
      </c>
      <c r="M19" s="134">
        <v>440</v>
      </c>
      <c r="N19" s="134">
        <v>525</v>
      </c>
      <c r="O19" s="134">
        <v>529</v>
      </c>
      <c r="P19" s="134">
        <v>549</v>
      </c>
      <c r="Q19" s="134">
        <v>537</v>
      </c>
      <c r="R19" s="134">
        <v>523</v>
      </c>
      <c r="S19" s="134">
        <v>596</v>
      </c>
      <c r="T19" s="134">
        <v>577</v>
      </c>
      <c r="U19" s="134">
        <v>496</v>
      </c>
      <c r="V19" s="134">
        <v>444</v>
      </c>
      <c r="W19" s="134"/>
      <c r="X19" s="134">
        <v>528</v>
      </c>
      <c r="Y19" s="134">
        <v>529</v>
      </c>
      <c r="Z19" s="134">
        <v>531</v>
      </c>
      <c r="AA19" s="134">
        <v>521</v>
      </c>
      <c r="AB19" s="134"/>
      <c r="AC19" s="134">
        <v>444</v>
      </c>
      <c r="AD19" s="134">
        <v>437</v>
      </c>
      <c r="AE19" s="134">
        <v>379</v>
      </c>
      <c r="AF19" s="134">
        <v>416</v>
      </c>
      <c r="AG19" s="134">
        <v>409</v>
      </c>
      <c r="AH19" s="134">
        <v>397</v>
      </c>
      <c r="AI19" s="134">
        <v>377</v>
      </c>
      <c r="AJ19" s="134">
        <v>421</v>
      </c>
      <c r="AK19" s="134">
        <v>417</v>
      </c>
      <c r="AL19" s="134">
        <v>387</v>
      </c>
      <c r="AM19" s="134">
        <v>357</v>
      </c>
      <c r="AN19" s="134">
        <v>384</v>
      </c>
      <c r="AO19" s="134"/>
      <c r="AP19" s="134">
        <v>373</v>
      </c>
      <c r="AQ19" s="134">
        <v>357</v>
      </c>
      <c r="AR19" s="134">
        <v>270</v>
      </c>
      <c r="AS19" s="134">
        <v>265</v>
      </c>
      <c r="AT19" s="134">
        <v>277</v>
      </c>
      <c r="AU19" s="134">
        <v>250</v>
      </c>
      <c r="AV19" s="134">
        <v>156</v>
      </c>
      <c r="AW19" s="134">
        <v>177</v>
      </c>
      <c r="AX19" s="134">
        <v>165</v>
      </c>
      <c r="AY19" s="390">
        <v>188.13290336200021</v>
      </c>
      <c r="AZ19" s="134">
        <v>192.47387150100019</v>
      </c>
      <c r="BA19" s="134">
        <v>171</v>
      </c>
      <c r="BB19" s="134">
        <v>148.15144809499998</v>
      </c>
      <c r="BC19" s="390">
        <v>90</v>
      </c>
      <c r="BD19" s="390">
        <v>190</v>
      </c>
      <c r="BE19" s="390">
        <f>'[1]4 - Produção'!$BD$20</f>
        <v>191</v>
      </c>
      <c r="BF19" s="575">
        <v>170.4632537653369</v>
      </c>
      <c r="BG19" s="575">
        <v>175.49025962387452</v>
      </c>
    </row>
    <row r="20" spans="2:59" ht="14.25" customHeight="1">
      <c r="B20" s="131" t="s">
        <v>218</v>
      </c>
      <c r="C20" s="136">
        <v>555</v>
      </c>
      <c r="D20" s="135">
        <v>787</v>
      </c>
      <c r="E20" s="135">
        <v>745</v>
      </c>
      <c r="F20" s="135">
        <v>559</v>
      </c>
      <c r="G20" s="135">
        <v>330</v>
      </c>
      <c r="H20" s="135">
        <v>399</v>
      </c>
      <c r="I20" s="135">
        <v>511</v>
      </c>
      <c r="J20" s="135">
        <v>628</v>
      </c>
      <c r="K20" s="135">
        <v>694</v>
      </c>
      <c r="L20" s="135">
        <v>809</v>
      </c>
      <c r="M20" s="135">
        <v>753</v>
      </c>
      <c r="N20" s="135">
        <v>721</v>
      </c>
      <c r="O20" s="135">
        <v>792</v>
      </c>
      <c r="P20" s="135">
        <v>849</v>
      </c>
      <c r="Q20" s="135">
        <v>795</v>
      </c>
      <c r="R20" s="135">
        <v>721</v>
      </c>
      <c r="S20" s="135">
        <v>737</v>
      </c>
      <c r="T20" s="135">
        <v>767</v>
      </c>
      <c r="U20" s="135">
        <v>614</v>
      </c>
      <c r="V20" s="135">
        <v>655</v>
      </c>
      <c r="W20" s="135"/>
      <c r="X20" s="135">
        <v>700</v>
      </c>
      <c r="Y20" s="135">
        <v>789</v>
      </c>
      <c r="Z20" s="135">
        <v>729</v>
      </c>
      <c r="AA20" s="135">
        <v>704</v>
      </c>
      <c r="AB20" s="135"/>
      <c r="AC20" s="135">
        <v>789</v>
      </c>
      <c r="AD20" s="135">
        <v>791</v>
      </c>
      <c r="AE20" s="135">
        <v>723</v>
      </c>
      <c r="AF20" s="135">
        <v>768</v>
      </c>
      <c r="AG20" s="135">
        <v>721</v>
      </c>
      <c r="AH20" s="135">
        <v>734</v>
      </c>
      <c r="AI20" s="135">
        <v>644</v>
      </c>
      <c r="AJ20" s="135">
        <v>602</v>
      </c>
      <c r="AK20" s="135">
        <v>682</v>
      </c>
      <c r="AL20" s="135">
        <v>639</v>
      </c>
      <c r="AM20" s="135">
        <v>449</v>
      </c>
      <c r="AN20" s="135">
        <v>467</v>
      </c>
      <c r="AO20" s="135"/>
      <c r="AP20" s="135">
        <v>473</v>
      </c>
      <c r="AQ20" s="135">
        <v>535</v>
      </c>
      <c r="AR20" s="135">
        <v>580</v>
      </c>
      <c r="AS20" s="135">
        <v>543</v>
      </c>
      <c r="AT20" s="135">
        <v>550</v>
      </c>
      <c r="AU20" s="135">
        <v>644</v>
      </c>
      <c r="AV20" s="135">
        <v>634</v>
      </c>
      <c r="AW20" s="135">
        <v>444</v>
      </c>
      <c r="AX20" s="135">
        <v>495</v>
      </c>
      <c r="AY20" s="391">
        <v>451.62496515006876</v>
      </c>
      <c r="AZ20" s="135">
        <v>395.92824113217813</v>
      </c>
      <c r="BA20" s="135">
        <v>316</v>
      </c>
      <c r="BB20" s="135">
        <v>438.3322060854</v>
      </c>
      <c r="BC20" s="391">
        <v>206</v>
      </c>
      <c r="BD20" s="391">
        <v>312</v>
      </c>
      <c r="BE20" s="391">
        <f>'[1]4 - Produção'!$BD$21</f>
        <v>448</v>
      </c>
      <c r="BF20" s="576">
        <v>468.90329914869994</v>
      </c>
      <c r="BG20" s="576">
        <v>444.93086651339996</v>
      </c>
    </row>
    <row r="21" spans="2:59" ht="14.25" customHeight="1">
      <c r="B21" s="44"/>
      <c r="C21" s="46"/>
      <c r="D21" s="46"/>
      <c r="E21" s="46"/>
      <c r="F21" s="46"/>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row>
    <row r="22" spans="2:59">
      <c r="B22" s="5"/>
      <c r="C22" s="6"/>
      <c r="D22" s="6"/>
      <c r="E22" s="6"/>
      <c r="F22" s="6"/>
    </row>
    <row r="23" spans="2:59">
      <c r="B23" s="5"/>
      <c r="C23" s="6"/>
      <c r="D23" s="6"/>
      <c r="E23" s="6"/>
      <c r="F23" s="6"/>
    </row>
    <row r="24" spans="2:59">
      <c r="B24" s="5"/>
      <c r="C24" s="6"/>
      <c r="D24" s="6"/>
      <c r="E24" s="6"/>
      <c r="F24" s="6"/>
    </row>
    <row r="25" spans="2:59">
      <c r="B25" s="5"/>
      <c r="C25" s="6"/>
      <c r="D25" s="6"/>
      <c r="E25" s="6"/>
      <c r="F25" s="6"/>
    </row>
    <row r="26" spans="2:59">
      <c r="B26" s="5"/>
      <c r="C26" s="6"/>
      <c r="D26" s="6"/>
      <c r="E26" s="6"/>
      <c r="F26" s="6"/>
      <c r="G26" s="4"/>
      <c r="H26" s="4"/>
    </row>
    <row r="27" spans="2:59">
      <c r="B27" s="5"/>
      <c r="C27" s="6"/>
      <c r="D27" s="6"/>
      <c r="E27" s="6"/>
      <c r="F27" s="6"/>
    </row>
    <row r="28" spans="2:59">
      <c r="B28" s="5"/>
      <c r="C28" s="6"/>
      <c r="D28" s="6"/>
      <c r="E28" s="6"/>
      <c r="F28" s="6"/>
      <c r="AE28" s="4"/>
      <c r="AF28" s="4"/>
      <c r="AG28" s="4"/>
      <c r="AH28" s="4"/>
      <c r="AI28" s="4"/>
    </row>
    <row r="29" spans="2:59">
      <c r="B29" s="5"/>
      <c r="C29" s="6"/>
      <c r="D29" s="6"/>
      <c r="E29" s="6"/>
      <c r="F29" s="6"/>
    </row>
    <row r="30" spans="2:59" s="4" customFormat="1">
      <c r="B30" s="5"/>
      <c r="C30" s="6"/>
      <c r="D30" s="6"/>
      <c r="E30" s="6"/>
      <c r="F30" s="6"/>
      <c r="G30" s="1"/>
      <c r="H30" s="1"/>
      <c r="AE30" s="1"/>
      <c r="AF30" s="1"/>
      <c r="AG30" s="1"/>
      <c r="AH30" s="1"/>
      <c r="AI30" s="1"/>
    </row>
    <row r="31" spans="2:59" ht="14.25" customHeight="1"/>
  </sheetData>
  <phoneticPr fontId="0" type="noConversion"/>
  <pageMargins left="0.78740157480314965" right="0.78740157480314965" top="0.98425196850393704" bottom="0.98425196850393704" header="0.51181102362204722" footer="0.51181102362204722"/>
  <pageSetup orientation="landscape" r:id="rId1"/>
  <headerFooter alignWithMargins="0"/>
  <ignoredErrors>
    <ignoredError sqref="BE8 BE1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BY51"/>
  <sheetViews>
    <sheetView showGridLines="0" zoomScale="110" zoomScaleNormal="110" workbookViewId="0">
      <pane xSplit="2" ySplit="5" topLeftCell="BD6" activePane="bottomRight" state="frozen"/>
      <selection pane="topRight" activeCell="C1" sqref="C1"/>
      <selection pane="bottomLeft" activeCell="A6" sqref="A6"/>
      <selection pane="bottomRight" activeCell="BG22" sqref="BG22"/>
    </sheetView>
  </sheetViews>
  <sheetFormatPr defaultColWidth="9.1796875" defaultRowHeight="13.5"/>
  <cols>
    <col min="1" max="1" width="4.1796875" style="1" customWidth="1"/>
    <col min="2" max="2" width="34.81640625" style="1" customWidth="1"/>
    <col min="3" max="14" width="10.54296875" style="1" customWidth="1"/>
    <col min="15" max="15" width="3.453125" style="25" customWidth="1"/>
    <col min="16" max="23" width="9.54296875" style="1" customWidth="1"/>
    <col min="24" max="24" width="3.453125" style="1" customWidth="1"/>
    <col min="25" max="28" width="9.1796875" style="1" customWidth="1"/>
    <col min="29" max="29" width="3.453125" style="1" customWidth="1"/>
    <col min="30" max="37" width="9.1796875" style="1" customWidth="1"/>
    <col min="38" max="38" width="3.453125" style="1" customWidth="1"/>
    <col min="39" max="42" width="9.1796875" style="1" customWidth="1"/>
    <col min="43" max="43" width="2.453125" style="1" customWidth="1"/>
    <col min="44" max="46" width="9.1796875" style="1" customWidth="1"/>
    <col min="47" max="55" width="9.1796875" style="1" hidden="1" customWidth="1"/>
    <col min="56" max="56" width="9.1796875" style="1" customWidth="1"/>
    <col min="57" max="16384" width="9.1796875" style="1"/>
  </cols>
  <sheetData>
    <row r="5" spans="1:61" s="4" customFormat="1" ht="18.75" customHeight="1">
      <c r="A5" s="43"/>
      <c r="B5" s="126" t="s">
        <v>261</v>
      </c>
      <c r="C5" s="139"/>
      <c r="D5" s="139"/>
      <c r="E5" s="139"/>
      <c r="F5" s="139"/>
      <c r="G5" s="139"/>
      <c r="H5" s="139"/>
      <c r="I5" s="142"/>
      <c r="J5" s="142"/>
      <c r="K5" s="142"/>
      <c r="L5" s="142"/>
      <c r="M5" s="142"/>
      <c r="N5" s="142"/>
      <c r="O5" s="143"/>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98"/>
      <c r="AT5" s="98"/>
      <c r="AU5" s="98"/>
      <c r="AV5" s="98"/>
      <c r="AW5" s="98"/>
      <c r="AX5" s="98"/>
      <c r="BB5" s="98"/>
      <c r="BC5" s="98"/>
      <c r="BD5" s="98"/>
      <c r="BE5" s="98"/>
      <c r="BF5" s="98"/>
    </row>
    <row r="6" spans="1:61" s="4" customFormat="1" ht="14.5">
      <c r="A6" s="43"/>
      <c r="B6" s="144"/>
      <c r="C6" s="139"/>
      <c r="D6" s="139"/>
      <c r="E6" s="139"/>
      <c r="F6" s="139"/>
      <c r="G6" s="139"/>
      <c r="H6" s="139"/>
      <c r="I6" s="142"/>
      <c r="J6" s="142"/>
      <c r="K6" s="142"/>
      <c r="L6" s="142"/>
      <c r="M6" s="142"/>
      <c r="N6" s="142"/>
      <c r="O6" s="143"/>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98"/>
      <c r="AT6" s="98"/>
      <c r="AU6" s="98"/>
      <c r="AV6" s="98"/>
      <c r="AW6" s="98"/>
      <c r="AX6" s="98"/>
      <c r="BB6" s="98"/>
      <c r="BC6" s="98"/>
      <c r="BD6" s="98"/>
      <c r="BE6" s="98"/>
      <c r="BF6" s="98"/>
    </row>
    <row r="7" spans="1:61" s="4" customFormat="1" ht="15" thickBot="1">
      <c r="A7" s="48"/>
      <c r="B7" s="128"/>
      <c r="C7" s="129" t="s">
        <v>20</v>
      </c>
      <c r="D7" s="129" t="s">
        <v>21</v>
      </c>
      <c r="E7" s="129" t="s">
        <v>22</v>
      </c>
      <c r="F7" s="129" t="s">
        <v>6</v>
      </c>
      <c r="G7" s="129" t="s">
        <v>23</v>
      </c>
      <c r="H7" s="129" t="s">
        <v>24</v>
      </c>
      <c r="I7" s="129" t="s">
        <v>91</v>
      </c>
      <c r="J7" s="129" t="s">
        <v>102</v>
      </c>
      <c r="K7" s="129" t="s">
        <v>103</v>
      </c>
      <c r="L7" s="129" t="s">
        <v>105</v>
      </c>
      <c r="M7" s="129" t="s">
        <v>106</v>
      </c>
      <c r="N7" s="129" t="s">
        <v>112</v>
      </c>
      <c r="O7" s="129"/>
      <c r="P7" s="129" t="s">
        <v>113</v>
      </c>
      <c r="Q7" s="129" t="s">
        <v>114</v>
      </c>
      <c r="R7" s="129" t="s">
        <v>118</v>
      </c>
      <c r="S7" s="129" t="s">
        <v>119</v>
      </c>
      <c r="T7" s="129" t="s">
        <v>120</v>
      </c>
      <c r="U7" s="129" t="s">
        <v>124</v>
      </c>
      <c r="V7" s="129" t="s">
        <v>127</v>
      </c>
      <c r="W7" s="130" t="s">
        <v>129</v>
      </c>
      <c r="X7" s="129"/>
      <c r="Y7" s="129" t="s">
        <v>130</v>
      </c>
      <c r="Z7" s="129" t="s">
        <v>132</v>
      </c>
      <c r="AA7" s="129" t="s">
        <v>137</v>
      </c>
      <c r="AB7" s="130" t="s">
        <v>138</v>
      </c>
      <c r="AC7" s="129"/>
      <c r="AD7" s="129" t="s">
        <v>139</v>
      </c>
      <c r="AE7" s="129" t="s">
        <v>142</v>
      </c>
      <c r="AF7" s="129" t="s">
        <v>148</v>
      </c>
      <c r="AG7" s="129" t="s">
        <v>151</v>
      </c>
      <c r="AH7" s="129" t="s">
        <v>156</v>
      </c>
      <c r="AI7" s="129" t="s">
        <v>157</v>
      </c>
      <c r="AJ7" s="129" t="s">
        <v>161</v>
      </c>
      <c r="AK7" s="129" t="s">
        <v>166</v>
      </c>
      <c r="AL7" s="129"/>
      <c r="AM7" s="129" t="s">
        <v>180</v>
      </c>
      <c r="AN7" s="129" t="s">
        <v>181</v>
      </c>
      <c r="AO7" s="129" t="s">
        <v>192</v>
      </c>
      <c r="AP7" s="129" t="s">
        <v>195</v>
      </c>
      <c r="AQ7" s="129"/>
      <c r="AR7" s="129" t="s">
        <v>198</v>
      </c>
      <c r="AS7" s="129" t="s">
        <v>202</v>
      </c>
      <c r="AT7" s="129" t="s">
        <v>203</v>
      </c>
      <c r="AU7" s="129" t="s">
        <v>204</v>
      </c>
      <c r="AV7" s="129" t="s">
        <v>205</v>
      </c>
      <c r="AW7" s="129" t="s">
        <v>206</v>
      </c>
      <c r="AX7" s="129" t="s">
        <v>207</v>
      </c>
      <c r="AY7" s="157" t="s">
        <v>212</v>
      </c>
      <c r="AZ7" s="157" t="s">
        <v>228</v>
      </c>
      <c r="BA7" s="157" t="s">
        <v>247</v>
      </c>
      <c r="BB7" s="157" t="s">
        <v>249</v>
      </c>
      <c r="BC7" s="157" t="s">
        <v>254</v>
      </c>
      <c r="BD7" s="157" t="s">
        <v>258</v>
      </c>
      <c r="BE7" s="157" t="s">
        <v>260</v>
      </c>
      <c r="BF7" s="157" t="s">
        <v>338</v>
      </c>
      <c r="BG7" s="157" t="s">
        <v>366</v>
      </c>
      <c r="BH7" s="157" t="s">
        <v>373</v>
      </c>
      <c r="BI7" s="157" t="s">
        <v>378</v>
      </c>
    </row>
    <row r="8" spans="1:61" s="2" customFormat="1" ht="15" thickTop="1">
      <c r="A8" s="151"/>
      <c r="B8" s="137"/>
      <c r="C8" s="138"/>
      <c r="D8" s="139"/>
      <c r="E8" s="139"/>
      <c r="F8" s="139"/>
      <c r="G8" s="140"/>
      <c r="H8" s="140"/>
      <c r="I8" s="140"/>
      <c r="J8" s="140"/>
      <c r="K8" s="140"/>
      <c r="L8" s="140"/>
      <c r="M8" s="140"/>
      <c r="N8" s="140"/>
      <c r="O8" s="140"/>
      <c r="P8" s="140"/>
      <c r="Q8" s="140"/>
      <c r="R8" s="140"/>
      <c r="S8" s="140"/>
      <c r="T8" s="140"/>
      <c r="U8" s="140"/>
      <c r="V8" s="140"/>
      <c r="W8" s="141"/>
      <c r="X8" s="140"/>
      <c r="Y8" s="140"/>
      <c r="Z8" s="140"/>
      <c r="AA8" s="140"/>
      <c r="AB8" s="141"/>
      <c r="AC8" s="140"/>
      <c r="AD8" s="140"/>
      <c r="AE8" s="140"/>
      <c r="AF8" s="140"/>
      <c r="AG8" s="140"/>
      <c r="AH8" s="140"/>
      <c r="AI8" s="140"/>
      <c r="AJ8" s="140"/>
      <c r="AK8" s="140"/>
      <c r="AL8" s="140"/>
      <c r="AM8" s="140"/>
      <c r="AN8" s="140"/>
      <c r="AO8" s="140"/>
      <c r="AP8" s="140"/>
      <c r="AQ8" s="140"/>
      <c r="AR8" s="140"/>
      <c r="AS8" s="140"/>
      <c r="AT8" s="66"/>
      <c r="AU8" s="66"/>
      <c r="AV8" s="66"/>
      <c r="AW8" s="66"/>
      <c r="AX8" s="66"/>
      <c r="AY8" s="137"/>
      <c r="AZ8" s="137"/>
      <c r="BA8" s="137"/>
      <c r="BB8" s="137"/>
      <c r="BC8" s="137"/>
      <c r="BD8" s="137"/>
      <c r="BE8" s="137"/>
      <c r="BF8" s="137"/>
      <c r="BG8" s="137"/>
      <c r="BH8" s="137"/>
      <c r="BI8" s="137"/>
    </row>
    <row r="9" spans="1:61" ht="14.5">
      <c r="A9" s="47"/>
      <c r="B9" s="131" t="s">
        <v>1</v>
      </c>
      <c r="C9" s="132">
        <v>4988</v>
      </c>
      <c r="D9" s="132">
        <v>5524</v>
      </c>
      <c r="E9" s="132">
        <v>5100</v>
      </c>
      <c r="F9" s="132">
        <v>3506</v>
      </c>
      <c r="G9" s="132">
        <v>3062</v>
      </c>
      <c r="H9" s="132">
        <v>3378</v>
      </c>
      <c r="I9" s="132">
        <v>3876</v>
      </c>
      <c r="J9" s="132">
        <v>3670</v>
      </c>
      <c r="K9" s="132">
        <v>4053</v>
      </c>
      <c r="L9" s="132">
        <v>4383</v>
      </c>
      <c r="M9" s="132">
        <f>M10+M13+M14+M15</f>
        <v>4415</v>
      </c>
      <c r="N9" s="132">
        <f>N10+N13+N14+N15</f>
        <v>4513</v>
      </c>
      <c r="O9" s="132"/>
      <c r="P9" s="132">
        <v>4710</v>
      </c>
      <c r="Q9" s="132">
        <v>4897</v>
      </c>
      <c r="R9" s="132">
        <v>4849</v>
      </c>
      <c r="S9" s="132">
        <f>S10+S13+S14+S15+S16</f>
        <v>4709</v>
      </c>
      <c r="T9" s="132">
        <f>T10+T13+T14+T15+T16</f>
        <v>4725</v>
      </c>
      <c r="U9" s="132">
        <v>4778</v>
      </c>
      <c r="V9" s="132">
        <v>4774</v>
      </c>
      <c r="W9" s="132">
        <v>4317</v>
      </c>
      <c r="X9" s="132"/>
      <c r="Y9" s="132">
        <v>4555</v>
      </c>
      <c r="Z9" s="132">
        <v>4634</v>
      </c>
      <c r="AA9" s="132">
        <v>4775</v>
      </c>
      <c r="AB9" s="132">
        <v>4556</v>
      </c>
      <c r="AC9" s="132"/>
      <c r="AD9" s="132">
        <v>4387</v>
      </c>
      <c r="AE9" s="132">
        <f>SUM(AE10,AE13,AE14,AE15,AE16)</f>
        <v>4524</v>
      </c>
      <c r="AF9" s="132">
        <v>4558</v>
      </c>
      <c r="AG9" s="132">
        <v>4399</v>
      </c>
      <c r="AH9" s="132">
        <v>4143</v>
      </c>
      <c r="AI9" s="132">
        <v>4271</v>
      </c>
      <c r="AJ9" s="132">
        <v>4669</v>
      </c>
      <c r="AK9" s="132">
        <v>3887</v>
      </c>
      <c r="AL9" s="132"/>
      <c r="AM9" s="132">
        <v>3851</v>
      </c>
      <c r="AN9" s="132">
        <v>4240</v>
      </c>
      <c r="AO9" s="132">
        <v>3668</v>
      </c>
      <c r="AP9" s="132">
        <v>3799</v>
      </c>
      <c r="AQ9" s="132"/>
      <c r="AR9" s="132">
        <v>3591</v>
      </c>
      <c r="AS9" s="132">
        <v>3707</v>
      </c>
      <c r="AT9" s="132">
        <v>3865</v>
      </c>
      <c r="AU9" s="132">
        <v>3774</v>
      </c>
      <c r="AV9" s="132">
        <v>3871</v>
      </c>
      <c r="AW9" s="132">
        <v>3834</v>
      </c>
      <c r="AX9" s="132">
        <v>3688</v>
      </c>
      <c r="AY9" s="132">
        <v>3167.2268199838913</v>
      </c>
      <c r="AZ9" s="132">
        <v>2985</v>
      </c>
      <c r="BA9" s="389">
        <v>2972</v>
      </c>
      <c r="BB9" s="132">
        <v>3055.6126938803891</v>
      </c>
      <c r="BC9" s="132">
        <v>3078</v>
      </c>
      <c r="BD9" s="132">
        <f>SUM(BD10,BD13:BD16)</f>
        <v>2690.6301645328003</v>
      </c>
      <c r="BE9" s="389">
        <f>SUM(BE10,BE13:BE16)</f>
        <v>2365</v>
      </c>
      <c r="BF9" s="389">
        <f>SUM(BF10,BF13:BF16)</f>
        <v>3189</v>
      </c>
      <c r="BG9" s="389">
        <f>'[1]5 - Vendas Físicas'!$BC$9</f>
        <v>3217</v>
      </c>
      <c r="BH9" s="574">
        <f>SUM(BH10,BH13:BH16)</f>
        <v>3087.4467115860516</v>
      </c>
      <c r="BI9" s="574">
        <v>3216.4683493567513</v>
      </c>
    </row>
    <row r="10" spans="1:61" ht="14.5">
      <c r="A10" s="52"/>
      <c r="B10" s="133" t="s">
        <v>215</v>
      </c>
      <c r="C10" s="134">
        <v>1621</v>
      </c>
      <c r="D10" s="134">
        <v>1818</v>
      </c>
      <c r="E10" s="134">
        <v>1883</v>
      </c>
      <c r="F10" s="134">
        <v>1256</v>
      </c>
      <c r="G10" s="134">
        <v>1096</v>
      </c>
      <c r="H10" s="134">
        <v>1212</v>
      </c>
      <c r="I10" s="134">
        <v>1454</v>
      </c>
      <c r="J10" s="134">
        <v>1413</v>
      </c>
      <c r="K10" s="134">
        <v>1528</v>
      </c>
      <c r="L10" s="134">
        <v>1672</v>
      </c>
      <c r="M10" s="134">
        <f>SUM(M11:M12)</f>
        <v>1635</v>
      </c>
      <c r="N10" s="134">
        <f>SUM(N11:N12)</f>
        <v>1811</v>
      </c>
      <c r="O10" s="134"/>
      <c r="P10" s="134">
        <v>1819</v>
      </c>
      <c r="Q10" s="134">
        <v>1958</v>
      </c>
      <c r="R10" s="134">
        <v>1932</v>
      </c>
      <c r="S10" s="134">
        <v>1940</v>
      </c>
      <c r="T10" s="134">
        <v>1778</v>
      </c>
      <c r="U10" s="134">
        <v>1916</v>
      </c>
      <c r="V10" s="134">
        <v>1791</v>
      </c>
      <c r="W10" s="134">
        <v>1814</v>
      </c>
      <c r="X10" s="134"/>
      <c r="Y10" s="134">
        <v>1808</v>
      </c>
      <c r="Z10" s="134">
        <v>1768</v>
      </c>
      <c r="AA10" s="134">
        <v>1913</v>
      </c>
      <c r="AB10" s="134">
        <v>1792</v>
      </c>
      <c r="AC10" s="134"/>
      <c r="AD10" s="134">
        <v>1597</v>
      </c>
      <c r="AE10" s="134">
        <v>1588</v>
      </c>
      <c r="AF10" s="134">
        <v>1660</v>
      </c>
      <c r="AG10" s="134">
        <v>1738</v>
      </c>
      <c r="AH10" s="134">
        <v>1557</v>
      </c>
      <c r="AI10" s="134">
        <v>1568</v>
      </c>
      <c r="AJ10" s="134">
        <v>1938</v>
      </c>
      <c r="AK10" s="134">
        <v>1394</v>
      </c>
      <c r="AL10" s="134"/>
      <c r="AM10" s="134">
        <v>1422</v>
      </c>
      <c r="AN10" s="134">
        <v>1629</v>
      </c>
      <c r="AO10" s="134">
        <v>1482</v>
      </c>
      <c r="AP10" s="134">
        <v>1536</v>
      </c>
      <c r="AQ10" s="134"/>
      <c r="AR10" s="134">
        <v>1275</v>
      </c>
      <c r="AS10" s="134">
        <v>1382</v>
      </c>
      <c r="AT10" s="134">
        <v>1488</v>
      </c>
      <c r="AU10" s="134">
        <v>1462</v>
      </c>
      <c r="AV10" s="134">
        <v>1438</v>
      </c>
      <c r="AW10" s="134">
        <v>1365</v>
      </c>
      <c r="AX10" s="134">
        <v>1422</v>
      </c>
      <c r="AY10" s="134">
        <v>1311.1079999999999</v>
      </c>
      <c r="AZ10" s="134">
        <v>1357</v>
      </c>
      <c r="BA10" s="390">
        <v>1343.492</v>
      </c>
      <c r="BB10" s="134">
        <v>1414.845</v>
      </c>
      <c r="BC10" s="134">
        <v>1493</v>
      </c>
      <c r="BD10" s="134">
        <v>1117</v>
      </c>
      <c r="BE10" s="390">
        <v>1169</v>
      </c>
      <c r="BF10" s="390">
        <v>1514</v>
      </c>
      <c r="BG10" s="390">
        <f>'[1]5 - Vendas Físicas'!$BC$10</f>
        <v>1419</v>
      </c>
      <c r="BH10" s="575">
        <f>SUM(BH11:BH12)</f>
        <v>1284.5630000000001</v>
      </c>
      <c r="BI10" s="575">
        <v>1475.5720000000001</v>
      </c>
    </row>
    <row r="11" spans="1:61" ht="14.5">
      <c r="A11" s="52"/>
      <c r="B11" s="152" t="s">
        <v>25</v>
      </c>
      <c r="C11" s="135">
        <v>1175</v>
      </c>
      <c r="D11" s="135">
        <v>1284</v>
      </c>
      <c r="E11" s="135">
        <v>1396</v>
      </c>
      <c r="F11" s="135">
        <v>985</v>
      </c>
      <c r="G11" s="135">
        <v>721</v>
      </c>
      <c r="H11" s="135">
        <v>812</v>
      </c>
      <c r="I11" s="135">
        <v>1026</v>
      </c>
      <c r="J11" s="135">
        <v>1091</v>
      </c>
      <c r="K11" s="135">
        <v>1150</v>
      </c>
      <c r="L11" s="135">
        <v>1278</v>
      </c>
      <c r="M11" s="135">
        <v>1211</v>
      </c>
      <c r="N11" s="135">
        <v>1077</v>
      </c>
      <c r="O11" s="135"/>
      <c r="P11" s="135">
        <v>1172</v>
      </c>
      <c r="Q11" s="135">
        <v>1288</v>
      </c>
      <c r="R11" s="135">
        <v>1380</v>
      </c>
      <c r="S11" s="135">
        <v>1242</v>
      </c>
      <c r="T11" s="135">
        <v>1269</v>
      </c>
      <c r="U11" s="135">
        <v>1418</v>
      </c>
      <c r="V11" s="135">
        <v>1339</v>
      </c>
      <c r="W11" s="135">
        <v>1294</v>
      </c>
      <c r="X11" s="135"/>
      <c r="Y11" s="135">
        <v>1417</v>
      </c>
      <c r="Z11" s="135">
        <v>1506</v>
      </c>
      <c r="AA11" s="135">
        <v>1544</v>
      </c>
      <c r="AB11" s="135">
        <v>1417</v>
      </c>
      <c r="AC11" s="135"/>
      <c r="AD11" s="135">
        <v>1442</v>
      </c>
      <c r="AE11" s="135">
        <v>1371</v>
      </c>
      <c r="AF11" s="135">
        <v>1369</v>
      </c>
      <c r="AG11" s="135">
        <v>1357</v>
      </c>
      <c r="AH11" s="135">
        <v>1252</v>
      </c>
      <c r="AI11" s="135">
        <v>1090</v>
      </c>
      <c r="AJ11" s="135">
        <v>1127</v>
      </c>
      <c r="AK11" s="135">
        <v>815</v>
      </c>
      <c r="AL11" s="135"/>
      <c r="AM11" s="135">
        <v>896</v>
      </c>
      <c r="AN11" s="135">
        <v>1007</v>
      </c>
      <c r="AO11" s="135">
        <v>928</v>
      </c>
      <c r="AP11" s="135">
        <v>877</v>
      </c>
      <c r="AQ11" s="135"/>
      <c r="AR11" s="135">
        <v>863</v>
      </c>
      <c r="AS11" s="135">
        <v>871</v>
      </c>
      <c r="AT11" s="135">
        <v>974</v>
      </c>
      <c r="AU11" s="135">
        <v>908</v>
      </c>
      <c r="AV11" s="135">
        <v>996</v>
      </c>
      <c r="AW11" s="135">
        <v>982</v>
      </c>
      <c r="AX11" s="135">
        <v>1085</v>
      </c>
      <c r="AY11" s="135">
        <v>887.202</v>
      </c>
      <c r="AZ11" s="135">
        <v>939</v>
      </c>
      <c r="BA11" s="391">
        <v>984.66099999999994</v>
      </c>
      <c r="BB11" s="135">
        <v>1031.25</v>
      </c>
      <c r="BC11" s="135">
        <v>1004</v>
      </c>
      <c r="BD11" s="135">
        <v>940</v>
      </c>
      <c r="BE11" s="391">
        <v>930</v>
      </c>
      <c r="BF11" s="391">
        <v>1298</v>
      </c>
      <c r="BG11" s="391">
        <f>'[1]5 - Vendas Físicas'!$BC$11</f>
        <v>1226</v>
      </c>
      <c r="BH11" s="576">
        <v>1235.6460000000002</v>
      </c>
      <c r="BI11" s="576">
        <v>1362.8700000000001</v>
      </c>
    </row>
    <row r="12" spans="1:61" ht="14.5">
      <c r="A12" s="52"/>
      <c r="B12" s="153" t="s">
        <v>26</v>
      </c>
      <c r="C12" s="134">
        <v>446</v>
      </c>
      <c r="D12" s="134">
        <v>534</v>
      </c>
      <c r="E12" s="134">
        <v>487</v>
      </c>
      <c r="F12" s="134">
        <v>271</v>
      </c>
      <c r="G12" s="134">
        <v>375</v>
      </c>
      <c r="H12" s="134">
        <v>400</v>
      </c>
      <c r="I12" s="134">
        <v>428</v>
      </c>
      <c r="J12" s="134">
        <v>322</v>
      </c>
      <c r="K12" s="134">
        <v>378</v>
      </c>
      <c r="L12" s="134">
        <v>394</v>
      </c>
      <c r="M12" s="134">
        <v>424</v>
      </c>
      <c r="N12" s="134">
        <v>734</v>
      </c>
      <c r="O12" s="134"/>
      <c r="P12" s="134">
        <v>647</v>
      </c>
      <c r="Q12" s="134">
        <v>670</v>
      </c>
      <c r="R12" s="134">
        <v>552</v>
      </c>
      <c r="S12" s="134">
        <v>698</v>
      </c>
      <c r="T12" s="134">
        <v>509</v>
      </c>
      <c r="U12" s="134">
        <v>498</v>
      </c>
      <c r="V12" s="134">
        <v>452</v>
      </c>
      <c r="W12" s="134">
        <v>520</v>
      </c>
      <c r="X12" s="134"/>
      <c r="Y12" s="134">
        <v>391</v>
      </c>
      <c r="Z12" s="134">
        <v>262</v>
      </c>
      <c r="AA12" s="134">
        <v>369</v>
      </c>
      <c r="AB12" s="134">
        <v>375</v>
      </c>
      <c r="AC12" s="134"/>
      <c r="AD12" s="134">
        <v>155</v>
      </c>
      <c r="AE12" s="134">
        <v>216</v>
      </c>
      <c r="AF12" s="134">
        <v>291</v>
      </c>
      <c r="AG12" s="134">
        <v>381</v>
      </c>
      <c r="AH12" s="134">
        <v>305</v>
      </c>
      <c r="AI12" s="134">
        <v>477</v>
      </c>
      <c r="AJ12" s="134">
        <v>811</v>
      </c>
      <c r="AK12" s="134">
        <v>579</v>
      </c>
      <c r="AL12" s="134"/>
      <c r="AM12" s="134">
        <v>526</v>
      </c>
      <c r="AN12" s="134">
        <v>622</v>
      </c>
      <c r="AO12" s="134">
        <v>554</v>
      </c>
      <c r="AP12" s="134">
        <v>659</v>
      </c>
      <c r="AQ12" s="134"/>
      <c r="AR12" s="134">
        <v>412</v>
      </c>
      <c r="AS12" s="134">
        <v>511</v>
      </c>
      <c r="AT12" s="134">
        <v>514</v>
      </c>
      <c r="AU12" s="134">
        <v>554</v>
      </c>
      <c r="AV12" s="134">
        <v>442</v>
      </c>
      <c r="AW12" s="134">
        <v>382</v>
      </c>
      <c r="AX12" s="134">
        <v>337</v>
      </c>
      <c r="AY12" s="134">
        <v>423.90600000000001</v>
      </c>
      <c r="AZ12" s="134">
        <v>418</v>
      </c>
      <c r="BA12" s="390">
        <v>358.83100000000002</v>
      </c>
      <c r="BB12" s="134">
        <v>383.59500000000003</v>
      </c>
      <c r="BC12" s="134">
        <v>490</v>
      </c>
      <c r="BD12" s="134">
        <v>178</v>
      </c>
      <c r="BE12" s="390">
        <v>239</v>
      </c>
      <c r="BF12" s="390">
        <v>216</v>
      </c>
      <c r="BG12" s="390">
        <f>'[1]5 - Vendas Físicas'!$BC$12</f>
        <v>193</v>
      </c>
      <c r="BH12" s="575">
        <v>48.917000000000002</v>
      </c>
      <c r="BI12" s="575">
        <v>112.702</v>
      </c>
    </row>
    <row r="13" spans="1:61" ht="14.5">
      <c r="A13" s="47"/>
      <c r="B13" s="131" t="s">
        <v>216</v>
      </c>
      <c r="C13" s="136">
        <v>2210</v>
      </c>
      <c r="D13" s="135">
        <v>2298</v>
      </c>
      <c r="E13" s="135">
        <v>1912</v>
      </c>
      <c r="F13" s="135">
        <v>1221</v>
      </c>
      <c r="G13" s="135">
        <v>1080</v>
      </c>
      <c r="H13" s="135">
        <v>1239</v>
      </c>
      <c r="I13" s="135">
        <v>1410</v>
      </c>
      <c r="J13" s="135">
        <v>1206</v>
      </c>
      <c r="K13" s="135">
        <v>1345</v>
      </c>
      <c r="L13" s="135">
        <v>1449</v>
      </c>
      <c r="M13" s="135">
        <v>1506</v>
      </c>
      <c r="N13" s="135">
        <v>1442</v>
      </c>
      <c r="O13" s="135"/>
      <c r="P13" s="135">
        <v>1644</v>
      </c>
      <c r="Q13" s="135">
        <v>1681</v>
      </c>
      <c r="R13" s="135">
        <v>1631</v>
      </c>
      <c r="S13" s="135">
        <v>1607</v>
      </c>
      <c r="T13" s="135">
        <v>1752</v>
      </c>
      <c r="U13" s="135">
        <v>1593</v>
      </c>
      <c r="V13" s="135">
        <v>1768</v>
      </c>
      <c r="W13" s="135">
        <v>1359</v>
      </c>
      <c r="X13" s="135"/>
      <c r="Y13" s="135">
        <v>1516</v>
      </c>
      <c r="Z13" s="135">
        <v>1545</v>
      </c>
      <c r="AA13" s="135">
        <v>1608</v>
      </c>
      <c r="AB13" s="135">
        <v>1476</v>
      </c>
      <c r="AC13" s="135"/>
      <c r="AD13" s="135">
        <v>1556</v>
      </c>
      <c r="AE13" s="135">
        <v>1735</v>
      </c>
      <c r="AF13" s="135">
        <v>1725</v>
      </c>
      <c r="AG13" s="135">
        <v>1483</v>
      </c>
      <c r="AH13" s="135">
        <v>1487</v>
      </c>
      <c r="AI13" s="135">
        <v>1649</v>
      </c>
      <c r="AJ13" s="135">
        <v>1664</v>
      </c>
      <c r="AK13" s="135">
        <v>1433</v>
      </c>
      <c r="AL13" s="135"/>
      <c r="AM13" s="135">
        <v>1522</v>
      </c>
      <c r="AN13" s="135">
        <v>1644</v>
      </c>
      <c r="AO13" s="135">
        <v>1372</v>
      </c>
      <c r="AP13" s="135">
        <v>1428</v>
      </c>
      <c r="AQ13" s="135"/>
      <c r="AR13" s="135">
        <v>1560</v>
      </c>
      <c r="AS13" s="135">
        <v>1563</v>
      </c>
      <c r="AT13" s="135">
        <v>1624</v>
      </c>
      <c r="AU13" s="135">
        <v>1566</v>
      </c>
      <c r="AV13" s="135">
        <v>1689</v>
      </c>
      <c r="AW13" s="135">
        <v>1665</v>
      </c>
      <c r="AX13" s="135">
        <v>1532</v>
      </c>
      <c r="AY13" s="135">
        <v>1198.2963905391998</v>
      </c>
      <c r="AZ13" s="135">
        <v>1076</v>
      </c>
      <c r="BA13" s="391">
        <v>1066.0017784688</v>
      </c>
      <c r="BB13" s="135">
        <v>1082.9514013152</v>
      </c>
      <c r="BC13" s="135">
        <v>1050</v>
      </c>
      <c r="BD13" s="135">
        <v>1121.6301645328001</v>
      </c>
      <c r="BE13" s="391">
        <v>960</v>
      </c>
      <c r="BF13" s="391">
        <v>1087</v>
      </c>
      <c r="BG13" s="391">
        <f>'[1]5 - Vendas Físicas'!$BC$13</f>
        <v>1166</v>
      </c>
      <c r="BH13" s="576">
        <v>1123.3298585296</v>
      </c>
      <c r="BI13" s="576">
        <v>1142.8324810592001</v>
      </c>
    </row>
    <row r="14" spans="1:61" ht="14.5">
      <c r="A14" s="52"/>
      <c r="B14" s="133" t="s">
        <v>217</v>
      </c>
      <c r="C14" s="134">
        <v>617</v>
      </c>
      <c r="D14" s="134">
        <v>623</v>
      </c>
      <c r="E14" s="134">
        <v>548</v>
      </c>
      <c r="F14" s="134">
        <v>444</v>
      </c>
      <c r="G14" s="134">
        <v>487</v>
      </c>
      <c r="H14" s="134">
        <v>507</v>
      </c>
      <c r="I14" s="134">
        <v>537</v>
      </c>
      <c r="J14" s="134">
        <v>483</v>
      </c>
      <c r="K14" s="134">
        <v>546</v>
      </c>
      <c r="L14" s="134">
        <v>535</v>
      </c>
      <c r="M14" s="134">
        <v>565</v>
      </c>
      <c r="N14" s="134">
        <v>565</v>
      </c>
      <c r="O14" s="134"/>
      <c r="P14" s="134">
        <v>638</v>
      </c>
      <c r="Q14" s="134">
        <v>644</v>
      </c>
      <c r="R14" s="134">
        <v>711</v>
      </c>
      <c r="S14" s="134">
        <v>649</v>
      </c>
      <c r="T14" s="134">
        <v>671</v>
      </c>
      <c r="U14" s="134">
        <v>685</v>
      </c>
      <c r="V14" s="134">
        <v>705</v>
      </c>
      <c r="W14" s="134">
        <v>647</v>
      </c>
      <c r="X14" s="134"/>
      <c r="Y14" s="134">
        <v>646</v>
      </c>
      <c r="Z14" s="134">
        <v>726</v>
      </c>
      <c r="AA14" s="134">
        <v>720</v>
      </c>
      <c r="AB14" s="134">
        <v>716</v>
      </c>
      <c r="AC14" s="134"/>
      <c r="AD14" s="134">
        <v>577</v>
      </c>
      <c r="AE14" s="134">
        <v>547</v>
      </c>
      <c r="AF14" s="134">
        <v>569</v>
      </c>
      <c r="AG14" s="134">
        <v>584</v>
      </c>
      <c r="AH14" s="134">
        <v>540</v>
      </c>
      <c r="AI14" s="134">
        <v>549</v>
      </c>
      <c r="AJ14" s="134">
        <v>583</v>
      </c>
      <c r="AK14" s="134">
        <v>550</v>
      </c>
      <c r="AL14" s="134"/>
      <c r="AM14" s="134">
        <v>505</v>
      </c>
      <c r="AN14" s="134">
        <v>532</v>
      </c>
      <c r="AO14" s="134">
        <v>516</v>
      </c>
      <c r="AP14" s="134">
        <v>535</v>
      </c>
      <c r="AQ14" s="134"/>
      <c r="AR14" s="134">
        <v>489</v>
      </c>
      <c r="AS14" s="134">
        <v>441</v>
      </c>
      <c r="AT14" s="134">
        <v>409</v>
      </c>
      <c r="AU14" s="134">
        <v>383</v>
      </c>
      <c r="AV14" s="134">
        <v>376</v>
      </c>
      <c r="AW14" s="134">
        <v>386</v>
      </c>
      <c r="AX14" s="134">
        <v>283</v>
      </c>
      <c r="AY14" s="134">
        <v>262.36187999000003</v>
      </c>
      <c r="AZ14" s="134">
        <v>244</v>
      </c>
      <c r="BA14" s="390">
        <v>262.08096974199998</v>
      </c>
      <c r="BB14" s="134">
        <v>278.73856406200002</v>
      </c>
      <c r="BC14" s="134">
        <v>274</v>
      </c>
      <c r="BD14" s="134">
        <v>202</v>
      </c>
      <c r="BE14" s="390">
        <v>128</v>
      </c>
      <c r="BF14" s="390">
        <v>300</v>
      </c>
      <c r="BG14" s="390">
        <f>'[1]5 - Vendas Físicas'!$BC$14</f>
        <v>331</v>
      </c>
      <c r="BH14" s="575">
        <v>296.38235331499999</v>
      </c>
      <c r="BI14" s="575">
        <v>268.14329291799999</v>
      </c>
    </row>
    <row r="15" spans="1:61" ht="14.5">
      <c r="A15" s="47"/>
      <c r="B15" s="131" t="s">
        <v>218</v>
      </c>
      <c r="C15" s="136">
        <v>540</v>
      </c>
      <c r="D15" s="135">
        <v>785</v>
      </c>
      <c r="E15" s="135">
        <v>757</v>
      </c>
      <c r="F15" s="135">
        <v>585</v>
      </c>
      <c r="G15" s="135">
        <v>399</v>
      </c>
      <c r="H15" s="135">
        <v>420</v>
      </c>
      <c r="I15" s="135">
        <v>475</v>
      </c>
      <c r="J15" s="135">
        <v>568</v>
      </c>
      <c r="K15" s="135">
        <v>634</v>
      </c>
      <c r="L15" s="135">
        <v>727</v>
      </c>
      <c r="M15" s="135">
        <v>709</v>
      </c>
      <c r="N15" s="135">
        <v>695</v>
      </c>
      <c r="O15" s="135"/>
      <c r="P15" s="135">
        <v>740</v>
      </c>
      <c r="Q15" s="135">
        <v>798</v>
      </c>
      <c r="R15" s="135">
        <v>734</v>
      </c>
      <c r="S15" s="135">
        <v>692</v>
      </c>
      <c r="T15" s="135">
        <v>698</v>
      </c>
      <c r="U15" s="135">
        <v>731</v>
      </c>
      <c r="V15" s="135">
        <v>625</v>
      </c>
      <c r="W15" s="135">
        <v>603</v>
      </c>
      <c r="X15" s="135"/>
      <c r="Y15" s="135">
        <v>667</v>
      </c>
      <c r="Z15" s="135">
        <v>766</v>
      </c>
      <c r="AA15" s="135">
        <v>713</v>
      </c>
      <c r="AB15" s="135">
        <v>711</v>
      </c>
      <c r="AC15" s="135"/>
      <c r="AD15" s="135">
        <v>758</v>
      </c>
      <c r="AE15" s="135">
        <v>749</v>
      </c>
      <c r="AF15" s="135">
        <v>710</v>
      </c>
      <c r="AG15" s="135">
        <v>677</v>
      </c>
      <c r="AH15" s="135">
        <v>696</v>
      </c>
      <c r="AI15" s="135">
        <v>700</v>
      </c>
      <c r="AJ15" s="135">
        <v>617</v>
      </c>
      <c r="AK15" s="135">
        <v>608</v>
      </c>
      <c r="AL15" s="135"/>
      <c r="AM15" s="135">
        <v>632</v>
      </c>
      <c r="AN15" s="135">
        <v>595</v>
      </c>
      <c r="AO15" s="135">
        <v>437</v>
      </c>
      <c r="AP15" s="135">
        <v>439</v>
      </c>
      <c r="AQ15" s="135"/>
      <c r="AR15" s="135">
        <v>441</v>
      </c>
      <c r="AS15" s="135">
        <v>512</v>
      </c>
      <c r="AT15" s="135">
        <v>525</v>
      </c>
      <c r="AU15" s="135">
        <v>498</v>
      </c>
      <c r="AV15" s="135">
        <v>514</v>
      </c>
      <c r="AW15" s="135">
        <v>569</v>
      </c>
      <c r="AX15" s="135">
        <v>554</v>
      </c>
      <c r="AY15" s="135">
        <v>474.0456628866915</v>
      </c>
      <c r="AZ15" s="135">
        <v>430</v>
      </c>
      <c r="BA15" s="391">
        <v>426.48216021046898</v>
      </c>
      <c r="BB15" s="135">
        <v>386.28148943118936</v>
      </c>
      <c r="BC15" s="135">
        <v>343</v>
      </c>
      <c r="BD15" s="135">
        <v>329</v>
      </c>
      <c r="BE15" s="391">
        <v>176</v>
      </c>
      <c r="BF15" s="391">
        <v>338</v>
      </c>
      <c r="BG15" s="391">
        <f>'[1]5 - Vendas Físicas'!$BC$15</f>
        <v>407</v>
      </c>
      <c r="BH15" s="576">
        <v>425.17149974145207</v>
      </c>
      <c r="BI15" s="576">
        <v>417.35767302755136</v>
      </c>
    </row>
    <row r="16" spans="1:61" s="2" customFormat="1" ht="14.5">
      <c r="A16" s="151"/>
      <c r="B16" s="133" t="s">
        <v>121</v>
      </c>
      <c r="C16" s="134"/>
      <c r="D16" s="134"/>
      <c r="E16" s="134"/>
      <c r="F16" s="134"/>
      <c r="G16" s="134"/>
      <c r="H16" s="134"/>
      <c r="I16" s="134"/>
      <c r="J16" s="134"/>
      <c r="K16" s="134"/>
      <c r="L16" s="134"/>
      <c r="M16" s="134"/>
      <c r="N16" s="134"/>
      <c r="O16" s="134"/>
      <c r="P16" s="134">
        <v>-131</v>
      </c>
      <c r="Q16" s="134">
        <v>-184</v>
      </c>
      <c r="R16" s="134">
        <v>-159</v>
      </c>
      <c r="S16" s="134">
        <v>-179</v>
      </c>
      <c r="T16" s="134">
        <v>-174</v>
      </c>
      <c r="U16" s="134">
        <v>-147</v>
      </c>
      <c r="V16" s="134">
        <v>-115</v>
      </c>
      <c r="W16" s="134">
        <v>-106</v>
      </c>
      <c r="X16" s="134"/>
      <c r="Y16" s="134">
        <v>-82</v>
      </c>
      <c r="Z16" s="134">
        <v>-171</v>
      </c>
      <c r="AA16" s="134">
        <v>-179</v>
      </c>
      <c r="AB16" s="134">
        <v>-138</v>
      </c>
      <c r="AC16" s="134"/>
      <c r="AD16" s="134">
        <v>-101</v>
      </c>
      <c r="AE16" s="134">
        <v>-95</v>
      </c>
      <c r="AF16" s="134">
        <v>-106</v>
      </c>
      <c r="AG16" s="134">
        <v>-83</v>
      </c>
      <c r="AH16" s="134">
        <v>-137</v>
      </c>
      <c r="AI16" s="134">
        <v>-195</v>
      </c>
      <c r="AJ16" s="134">
        <v>-133</v>
      </c>
      <c r="AK16" s="134">
        <v>-98</v>
      </c>
      <c r="AL16" s="134"/>
      <c r="AM16" s="134">
        <v>-230</v>
      </c>
      <c r="AN16" s="134">
        <v>-160</v>
      </c>
      <c r="AO16" s="134">
        <v>-139</v>
      </c>
      <c r="AP16" s="134">
        <v>-139</v>
      </c>
      <c r="AQ16" s="134"/>
      <c r="AR16" s="134">
        <v>-174</v>
      </c>
      <c r="AS16" s="134">
        <v>-191</v>
      </c>
      <c r="AT16" s="134">
        <v>-181</v>
      </c>
      <c r="AU16" s="134">
        <v>-135</v>
      </c>
      <c r="AV16" s="134">
        <v>-146</v>
      </c>
      <c r="AW16" s="134">
        <v>-151</v>
      </c>
      <c r="AX16" s="134">
        <v>-103</v>
      </c>
      <c r="AY16" s="134">
        <v>-78.585113431999957</v>
      </c>
      <c r="AZ16" s="134">
        <v>-122</v>
      </c>
      <c r="BA16" s="390">
        <v>-126.05690842126893</v>
      </c>
      <c r="BB16" s="134">
        <v>-107</v>
      </c>
      <c r="BC16" s="134">
        <v>-82</v>
      </c>
      <c r="BD16" s="134">
        <v>-79</v>
      </c>
      <c r="BE16" s="390">
        <v>-68</v>
      </c>
      <c r="BF16" s="390">
        <v>-50</v>
      </c>
      <c r="BG16" s="390">
        <f>'[1]5 - Vendas Físicas'!$BC$16</f>
        <v>-106</v>
      </c>
      <c r="BH16" s="575">
        <v>-42</v>
      </c>
      <c r="BI16" s="575">
        <v>-87</v>
      </c>
    </row>
    <row r="17" spans="1:77" ht="14.5">
      <c r="A17" s="47"/>
      <c r="B17" s="127"/>
      <c r="C17" s="145"/>
      <c r="D17" s="145"/>
      <c r="E17" s="145"/>
      <c r="F17" s="145"/>
      <c r="G17" s="145"/>
      <c r="H17" s="147"/>
      <c r="I17" s="139"/>
      <c r="J17" s="139"/>
      <c r="K17" s="139"/>
      <c r="L17" s="139"/>
      <c r="M17" s="139"/>
      <c r="N17" s="139"/>
      <c r="O17" s="146"/>
      <c r="P17" s="139"/>
      <c r="Q17" s="139"/>
      <c r="R17" s="139"/>
      <c r="S17" s="139"/>
      <c r="T17" s="139"/>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76"/>
      <c r="AT17" s="76"/>
      <c r="AU17" s="76"/>
      <c r="AV17" s="76"/>
      <c r="AW17" s="76"/>
      <c r="AX17" s="76"/>
      <c r="BB17" s="76"/>
      <c r="BC17" s="76"/>
      <c r="BD17" s="76"/>
      <c r="BE17" s="76"/>
      <c r="BF17" s="76"/>
      <c r="BG17" s="25"/>
      <c r="BH17" s="25"/>
      <c r="BI17" s="25"/>
      <c r="BJ17" s="25"/>
      <c r="BK17" s="25"/>
      <c r="BL17" s="25"/>
      <c r="BM17" s="25"/>
      <c r="BN17" s="25"/>
      <c r="BO17" s="25"/>
      <c r="BP17" s="25"/>
      <c r="BQ17" s="25"/>
      <c r="BR17" s="25"/>
      <c r="BS17" s="25"/>
      <c r="BT17" s="25"/>
      <c r="BU17" s="25"/>
      <c r="BV17" s="25"/>
      <c r="BW17" s="25"/>
      <c r="BX17" s="25"/>
      <c r="BY17" s="25"/>
    </row>
    <row r="18" spans="1:77" ht="14.5">
      <c r="A18" s="56"/>
      <c r="B18" s="149"/>
      <c r="C18" s="149"/>
      <c r="D18" s="149"/>
      <c r="E18" s="149"/>
      <c r="F18" s="149"/>
      <c r="G18" s="149"/>
      <c r="H18" s="149"/>
      <c r="I18" s="139"/>
      <c r="J18" s="139"/>
      <c r="K18" s="139"/>
      <c r="L18" s="139"/>
      <c r="M18" s="139"/>
      <c r="N18" s="139"/>
      <c r="O18" s="146"/>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66"/>
      <c r="AT18" s="66"/>
      <c r="AU18" s="66"/>
      <c r="AV18" s="66"/>
      <c r="AW18" s="66"/>
      <c r="AX18" s="66"/>
      <c r="BB18" s="66"/>
      <c r="BC18" s="66"/>
      <c r="BD18" s="66"/>
      <c r="BE18" s="66"/>
      <c r="BF18" s="66"/>
    </row>
    <row r="19" spans="1:77" ht="15" thickBot="1">
      <c r="A19" s="56"/>
      <c r="B19" s="285" t="s">
        <v>215</v>
      </c>
      <c r="D19" s="57"/>
      <c r="E19" s="279"/>
      <c r="F19" s="280"/>
      <c r="G19" s="280"/>
      <c r="H19" s="280"/>
      <c r="I19" s="151"/>
      <c r="J19" s="279"/>
      <c r="K19" s="280"/>
      <c r="L19" s="280"/>
      <c r="M19" s="280"/>
      <c r="N19" s="64"/>
      <c r="O19" s="62"/>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V19" s="608"/>
      <c r="AW19" s="608"/>
      <c r="AX19" s="608"/>
      <c r="AY19" s="608"/>
      <c r="AZ19" s="608"/>
      <c r="BA19" s="608"/>
      <c r="BB19" s="608"/>
      <c r="BC19" s="608"/>
      <c r="BD19" s="289" t="s">
        <v>3</v>
      </c>
      <c r="BE19" s="26"/>
    </row>
    <row r="20" spans="1:77" ht="14.5">
      <c r="A20" s="56"/>
      <c r="B20" s="286" t="s">
        <v>368</v>
      </c>
      <c r="D20" s="57"/>
      <c r="E20" s="281"/>
      <c r="F20" s="59"/>
      <c r="G20" s="59"/>
      <c r="H20" s="282"/>
      <c r="I20" s="151"/>
      <c r="J20" s="281"/>
      <c r="K20" s="59"/>
      <c r="L20" s="59"/>
      <c r="M20" s="282"/>
      <c r="N20" s="64"/>
      <c r="O20" s="62"/>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V20" s="609"/>
      <c r="AW20" s="609"/>
      <c r="AX20" s="609"/>
      <c r="AY20" s="609"/>
      <c r="AZ20" s="609"/>
      <c r="BA20" s="609"/>
      <c r="BB20" s="609"/>
      <c r="BC20" s="609"/>
      <c r="BD20" s="290">
        <v>35</v>
      </c>
      <c r="BE20" s="26"/>
    </row>
    <row r="21" spans="1:77" ht="14.5">
      <c r="A21" s="56"/>
      <c r="B21" s="287" t="s">
        <v>369</v>
      </c>
      <c r="D21" s="57"/>
      <c r="E21" s="281"/>
      <c r="F21" s="54"/>
      <c r="G21" s="54"/>
      <c r="H21" s="280"/>
      <c r="I21" s="151"/>
      <c r="J21" s="281"/>
      <c r="K21" s="54"/>
      <c r="L21" s="54"/>
      <c r="M21" s="280"/>
      <c r="N21" s="64"/>
      <c r="O21" s="62"/>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V21" s="609"/>
      <c r="AW21" s="609"/>
      <c r="AX21" s="609"/>
      <c r="AY21" s="609"/>
      <c r="AZ21" s="609"/>
      <c r="BA21" s="609"/>
      <c r="BB21" s="609"/>
      <c r="BC21" s="609"/>
      <c r="BD21" s="291">
        <v>25</v>
      </c>
      <c r="BE21" s="26"/>
    </row>
    <row r="22" spans="1:77" ht="14.5">
      <c r="A22" s="56"/>
      <c r="B22" s="286" t="s">
        <v>370</v>
      </c>
      <c r="D22" s="57"/>
      <c r="E22" s="281"/>
      <c r="F22" s="59"/>
      <c r="G22" s="59"/>
      <c r="H22" s="282"/>
      <c r="I22" s="151"/>
      <c r="J22" s="281"/>
      <c r="K22" s="59"/>
      <c r="L22" s="59"/>
      <c r="M22" s="282"/>
      <c r="N22" s="64"/>
      <c r="O22" s="62"/>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V22" s="609"/>
      <c r="AW22" s="609"/>
      <c r="AX22" s="609"/>
      <c r="AY22" s="609"/>
      <c r="AZ22" s="609"/>
      <c r="BA22" s="609"/>
      <c r="BB22" s="609"/>
      <c r="BC22" s="609"/>
      <c r="BD22" s="290">
        <v>40</v>
      </c>
      <c r="BE22" s="26"/>
    </row>
    <row r="23" spans="1:77" ht="14.5">
      <c r="A23" s="56"/>
      <c r="B23" s="59"/>
      <c r="D23" s="57"/>
      <c r="E23" s="281"/>
      <c r="F23" s="54"/>
      <c r="G23" s="54"/>
      <c r="H23" s="280"/>
      <c r="I23" s="151"/>
      <c r="J23" s="151"/>
      <c r="K23" s="151"/>
      <c r="L23" s="151"/>
      <c r="M23" s="151"/>
      <c r="N23" s="64"/>
      <c r="O23" s="62"/>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V23" s="610"/>
      <c r="AW23" s="76"/>
      <c r="AX23" s="76"/>
      <c r="AY23" s="76"/>
      <c r="AZ23" s="76"/>
      <c r="BA23" s="76"/>
      <c r="BB23" s="76"/>
      <c r="BC23" s="76"/>
      <c r="BD23" s="66"/>
      <c r="BE23" s="26"/>
    </row>
    <row r="24" spans="1:77" ht="15" thickBot="1">
      <c r="A24" s="56"/>
      <c r="B24" s="285" t="s">
        <v>96</v>
      </c>
      <c r="D24" s="280"/>
      <c r="F24" s="54"/>
      <c r="G24" s="54"/>
      <c r="H24" s="58"/>
      <c r="I24" s="64"/>
      <c r="J24" s="64"/>
      <c r="K24" s="64"/>
      <c r="L24" s="64"/>
      <c r="M24" s="64"/>
      <c r="N24" s="64"/>
      <c r="O24" s="62"/>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V24" s="608"/>
      <c r="AW24" s="608"/>
      <c r="AX24" s="608"/>
      <c r="AY24" s="608"/>
      <c r="AZ24" s="608"/>
      <c r="BA24" s="608"/>
      <c r="BB24" s="608"/>
      <c r="BC24" s="608"/>
      <c r="BD24" s="289" t="s">
        <v>3</v>
      </c>
      <c r="BE24" s="26"/>
    </row>
    <row r="25" spans="1:77" ht="14.5">
      <c r="A25" s="56"/>
      <c r="B25" s="286" t="s">
        <v>27</v>
      </c>
      <c r="D25" s="59"/>
      <c r="F25" s="54"/>
      <c r="G25" s="54"/>
      <c r="H25" s="58"/>
      <c r="I25" s="64"/>
      <c r="J25" s="64"/>
      <c r="K25" s="64"/>
      <c r="L25" s="64"/>
      <c r="M25" s="64"/>
      <c r="N25" s="64"/>
      <c r="O25" s="62"/>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V25" s="609"/>
      <c r="AW25" s="609"/>
      <c r="AX25" s="609"/>
      <c r="AY25" s="609"/>
      <c r="AZ25" s="609"/>
      <c r="BA25" s="609"/>
      <c r="BB25" s="609"/>
      <c r="BC25" s="609"/>
      <c r="BD25" s="290" t="s">
        <v>224</v>
      </c>
      <c r="BE25" s="26"/>
    </row>
    <row r="26" spans="1:77" ht="14.5">
      <c r="A26" s="56"/>
      <c r="B26" s="287" t="s">
        <v>28</v>
      </c>
      <c r="D26" s="54"/>
      <c r="F26" s="54"/>
      <c r="G26" s="54"/>
      <c r="H26" s="58"/>
      <c r="I26" s="64"/>
      <c r="J26" s="64"/>
      <c r="K26" s="64"/>
      <c r="L26" s="64"/>
      <c r="M26" s="64"/>
      <c r="N26" s="64"/>
      <c r="O26" s="62"/>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V26" s="609"/>
      <c r="AW26" s="609"/>
      <c r="AX26" s="609"/>
      <c r="AY26" s="609"/>
      <c r="AZ26" s="609"/>
      <c r="BA26" s="609"/>
      <c r="BB26" s="609"/>
      <c r="BC26" s="609"/>
      <c r="BD26" s="291">
        <v>30</v>
      </c>
      <c r="BE26" s="26"/>
    </row>
    <row r="27" spans="1:77" ht="15" customHeight="1">
      <c r="A27" s="56"/>
      <c r="B27" s="412" t="s">
        <v>225</v>
      </c>
      <c r="D27" s="59"/>
      <c r="F27" s="54"/>
      <c r="G27" s="54"/>
      <c r="H27" s="58"/>
      <c r="I27" s="64"/>
      <c r="J27" s="64"/>
      <c r="K27" s="64"/>
      <c r="L27" s="64"/>
      <c r="M27" s="64"/>
      <c r="N27" s="64"/>
      <c r="O27" s="62"/>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V27" s="609"/>
      <c r="AW27" s="609"/>
      <c r="AX27" s="609"/>
      <c r="AY27" s="609"/>
      <c r="AZ27" s="609"/>
      <c r="BA27" s="609"/>
      <c r="BB27" s="609"/>
      <c r="BC27" s="609"/>
      <c r="BD27" s="290">
        <v>40</v>
      </c>
      <c r="BE27" s="26"/>
    </row>
    <row r="28" spans="1:77" ht="14.5">
      <c r="A28" s="56"/>
      <c r="B28" s="59"/>
      <c r="D28" s="57"/>
      <c r="E28" s="51"/>
      <c r="F28" s="54"/>
      <c r="G28" s="54"/>
      <c r="H28" s="58"/>
      <c r="I28" s="64"/>
      <c r="J28" s="64"/>
      <c r="K28" s="64"/>
      <c r="L28" s="64"/>
      <c r="M28" s="64"/>
      <c r="N28" s="64"/>
      <c r="O28" s="62"/>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V28" s="610"/>
      <c r="AW28" s="76"/>
      <c r="AX28" s="76"/>
      <c r="AY28" s="76"/>
      <c r="AZ28" s="76"/>
      <c r="BA28" s="76"/>
      <c r="BB28" s="76"/>
      <c r="BC28" s="76"/>
      <c r="BD28" s="66"/>
      <c r="BE28" s="26"/>
    </row>
    <row r="29" spans="1:77" ht="15" thickBot="1">
      <c r="A29" s="56"/>
      <c r="B29" s="285" t="s">
        <v>122</v>
      </c>
      <c r="D29" s="280"/>
      <c r="F29" s="54"/>
      <c r="G29" s="54"/>
      <c r="H29" s="58"/>
      <c r="I29" s="64"/>
      <c r="J29" s="64"/>
      <c r="K29" s="64"/>
      <c r="L29" s="64"/>
      <c r="M29" s="64"/>
      <c r="N29" s="64"/>
      <c r="O29" s="62"/>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V29" s="608"/>
      <c r="AW29" s="608"/>
      <c r="AX29" s="608"/>
      <c r="AY29" s="608"/>
      <c r="AZ29" s="608"/>
      <c r="BA29" s="608"/>
      <c r="BB29" s="608"/>
      <c r="BC29" s="608"/>
      <c r="BD29" s="289" t="s">
        <v>3</v>
      </c>
      <c r="BE29" s="26"/>
    </row>
    <row r="30" spans="1:77" ht="14.5">
      <c r="A30" s="56"/>
      <c r="B30" s="286" t="s">
        <v>143</v>
      </c>
      <c r="D30" s="59"/>
      <c r="F30" s="54"/>
      <c r="G30" s="54"/>
      <c r="H30" s="58"/>
      <c r="I30" s="64"/>
      <c r="J30" s="64"/>
      <c r="K30" s="64"/>
      <c r="L30" s="64"/>
      <c r="M30" s="64"/>
      <c r="N30" s="64"/>
      <c r="O30" s="62"/>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V30" s="609"/>
      <c r="AW30" s="609"/>
      <c r="AX30" s="609"/>
      <c r="AY30" s="609"/>
      <c r="AZ30" s="609"/>
      <c r="BA30" s="609"/>
      <c r="BB30" s="609"/>
      <c r="BC30" s="609"/>
      <c r="BD30" s="290" t="s">
        <v>146</v>
      </c>
      <c r="BE30" s="26"/>
    </row>
    <row r="31" spans="1:77" ht="14.5">
      <c r="A31" s="56"/>
      <c r="B31" s="287" t="s">
        <v>144</v>
      </c>
      <c r="D31" s="54"/>
      <c r="F31" s="54"/>
      <c r="G31" s="54"/>
      <c r="H31" s="58"/>
      <c r="I31" s="64"/>
      <c r="J31" s="64"/>
      <c r="K31" s="64"/>
      <c r="L31" s="64"/>
      <c r="M31" s="64"/>
      <c r="N31" s="64"/>
      <c r="O31" s="62"/>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V31" s="609"/>
      <c r="AW31" s="609"/>
      <c r="AX31" s="609"/>
      <c r="AY31" s="609"/>
      <c r="AZ31" s="609"/>
      <c r="BA31" s="609"/>
      <c r="BB31" s="609"/>
      <c r="BC31" s="609"/>
      <c r="BD31" s="291">
        <v>40</v>
      </c>
      <c r="BE31" s="26"/>
    </row>
    <row r="32" spans="1:77" ht="14.5">
      <c r="A32" s="56"/>
      <c r="B32" s="133" t="s">
        <v>145</v>
      </c>
      <c r="D32" s="59"/>
      <c r="F32" s="55"/>
      <c r="G32" s="55"/>
      <c r="H32" s="60"/>
      <c r="I32" s="64"/>
      <c r="J32" s="64"/>
      <c r="K32" s="64"/>
      <c r="L32" s="64"/>
      <c r="M32" s="64"/>
      <c r="N32" s="64"/>
      <c r="O32" s="62"/>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V32" s="609"/>
      <c r="AW32" s="609"/>
      <c r="AX32" s="609"/>
      <c r="AY32" s="609"/>
      <c r="AZ32" s="609"/>
      <c r="BA32" s="609"/>
      <c r="BB32" s="609"/>
      <c r="BC32" s="609"/>
      <c r="BD32" s="290" t="s">
        <v>147</v>
      </c>
      <c r="BE32" s="26"/>
    </row>
    <row r="33" spans="1:58" s="2" customFormat="1" ht="14.5">
      <c r="A33" s="283"/>
      <c r="B33" s="281"/>
      <c r="D33" s="59"/>
      <c r="F33" s="55"/>
      <c r="G33" s="55"/>
      <c r="H33" s="284"/>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V33" s="611"/>
      <c r="AW33" s="76"/>
      <c r="AX33" s="76"/>
      <c r="AY33" s="76"/>
      <c r="AZ33" s="26"/>
      <c r="BA33" s="26"/>
      <c r="BB33" s="26"/>
      <c r="BC33" s="26"/>
      <c r="BD33" s="26"/>
      <c r="BE33" s="26"/>
    </row>
    <row r="34" spans="1:58" ht="15" thickBot="1">
      <c r="A34" s="56"/>
      <c r="B34" s="288" t="s">
        <v>111</v>
      </c>
      <c r="C34" s="289"/>
      <c r="D34" s="289"/>
      <c r="E34" s="289"/>
      <c r="F34" s="289"/>
      <c r="G34" s="289"/>
      <c r="H34" s="289"/>
      <c r="I34" s="289"/>
      <c r="J34" s="289"/>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3"/>
      <c r="AQ34" s="293"/>
      <c r="AR34" s="293"/>
      <c r="AS34" s="293"/>
      <c r="AT34" s="293"/>
      <c r="AV34" s="612"/>
      <c r="AW34" s="612"/>
      <c r="AX34" s="613"/>
      <c r="AY34" s="608"/>
      <c r="AZ34" s="608"/>
      <c r="BA34" s="608"/>
      <c r="BB34" s="608"/>
      <c r="BC34" s="608"/>
      <c r="BD34" s="608"/>
      <c r="BE34" s="608"/>
      <c r="BF34" s="608"/>
    </row>
    <row r="35" spans="1:58" ht="14.5">
      <c r="A35" s="56"/>
      <c r="B35" s="133" t="s">
        <v>213</v>
      </c>
      <c r="C35" s="294"/>
      <c r="D35" s="294"/>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55"/>
      <c r="AQ35" s="155"/>
      <c r="AR35" s="155"/>
      <c r="AS35" s="155"/>
      <c r="AT35" s="155"/>
      <c r="AV35" s="26"/>
      <c r="AW35" s="26"/>
      <c r="AX35" s="614"/>
      <c r="AY35" s="615"/>
      <c r="AZ35" s="615"/>
      <c r="BA35" s="615"/>
      <c r="BB35" s="615"/>
      <c r="BC35" s="615"/>
      <c r="BD35" s="615"/>
      <c r="BE35" s="615"/>
      <c r="BF35" s="615"/>
    </row>
    <row r="36" spans="1:58" ht="13.5" customHeight="1">
      <c r="A36" s="56"/>
      <c r="B36" s="287" t="s">
        <v>227</v>
      </c>
      <c r="C36" s="295"/>
      <c r="D36" s="295"/>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27"/>
      <c r="AQ36" s="27"/>
      <c r="AR36" s="27"/>
      <c r="AS36" s="27"/>
      <c r="AT36" s="27"/>
      <c r="AV36" s="26"/>
      <c r="AW36" s="26"/>
      <c r="AX36" s="143"/>
      <c r="AY36" s="615"/>
      <c r="AZ36" s="615"/>
      <c r="BA36" s="615"/>
      <c r="BB36" s="615"/>
      <c r="BC36" s="615"/>
      <c r="BD36" s="615"/>
      <c r="BE36" s="615"/>
      <c r="BF36" s="615"/>
    </row>
    <row r="37" spans="1:58" ht="14.5">
      <c r="A37" s="56"/>
      <c r="B37" s="133" t="s">
        <v>214</v>
      </c>
      <c r="C37" s="294"/>
      <c r="D37" s="294"/>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55"/>
      <c r="AQ37" s="155"/>
      <c r="AR37" s="155"/>
      <c r="AS37" s="155"/>
      <c r="AT37" s="155"/>
      <c r="AV37" s="26"/>
      <c r="AW37" s="26"/>
      <c r="AX37" s="614"/>
      <c r="AY37" s="615"/>
      <c r="AZ37" s="615"/>
      <c r="BA37" s="615"/>
      <c r="BB37" s="615"/>
      <c r="BC37" s="615"/>
      <c r="BD37" s="615"/>
      <c r="BE37" s="615"/>
      <c r="BF37" s="615"/>
    </row>
    <row r="38" spans="1:58" ht="14.5">
      <c r="A38" s="56"/>
      <c r="B38" s="287" t="s">
        <v>226</v>
      </c>
      <c r="C38" s="295"/>
      <c r="D38" s="295"/>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27"/>
      <c r="AQ38" s="27"/>
      <c r="AR38" s="27"/>
      <c r="AS38" s="27"/>
      <c r="AT38" s="27"/>
      <c r="AV38" s="26"/>
      <c r="AW38" s="26"/>
      <c r="AX38" s="143"/>
      <c r="AY38" s="615"/>
      <c r="AZ38" s="615"/>
      <c r="BA38" s="615"/>
      <c r="BB38" s="615"/>
      <c r="BC38" s="615"/>
      <c r="BD38" s="615"/>
      <c r="BE38" s="615"/>
      <c r="BF38" s="615"/>
    </row>
    <row r="39" spans="1:58" ht="14.5">
      <c r="A39" s="56"/>
      <c r="B39" s="148"/>
      <c r="C39" s="148"/>
      <c r="D39" s="148"/>
      <c r="E39" s="139"/>
      <c r="F39" s="139"/>
      <c r="G39" s="139"/>
      <c r="H39" s="139"/>
      <c r="I39" s="139"/>
      <c r="J39" s="139"/>
      <c r="K39" s="139"/>
      <c r="L39" s="139"/>
      <c r="M39" s="139"/>
      <c r="N39" s="139"/>
      <c r="O39" s="146"/>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66"/>
      <c r="AT39" s="66"/>
      <c r="AU39" s="66"/>
      <c r="AV39" s="66"/>
      <c r="AW39" s="66"/>
      <c r="AX39" s="66"/>
      <c r="BB39" s="66"/>
      <c r="BC39" s="66"/>
      <c r="BD39" s="66"/>
      <c r="BE39" s="66"/>
      <c r="BF39" s="66"/>
    </row>
    <row r="40" spans="1:58" ht="14.5">
      <c r="A40" s="56"/>
      <c r="B40" s="148"/>
      <c r="C40" s="148"/>
      <c r="D40" s="148"/>
      <c r="E40" s="139"/>
      <c r="F40" s="139"/>
      <c r="G40" s="139"/>
      <c r="H40" s="139"/>
      <c r="I40" s="139"/>
      <c r="J40" s="139"/>
      <c r="K40" s="139"/>
      <c r="L40" s="139"/>
      <c r="M40" s="139"/>
      <c r="N40" s="139"/>
      <c r="O40" s="146"/>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66"/>
      <c r="AT40" s="66"/>
      <c r="AU40" s="66"/>
      <c r="AV40" s="66"/>
      <c r="AW40" s="66"/>
      <c r="AX40" s="66"/>
      <c r="BB40" s="66"/>
      <c r="BC40" s="66"/>
      <c r="BD40" s="66"/>
      <c r="BE40" s="66"/>
      <c r="BF40" s="66"/>
    </row>
    <row r="41" spans="1:58" ht="14.5">
      <c r="A41" s="56"/>
      <c r="B41" s="148"/>
      <c r="C41" s="148"/>
      <c r="D41" s="148"/>
      <c r="E41" s="139"/>
      <c r="F41" s="139"/>
      <c r="G41" s="139"/>
      <c r="H41" s="139"/>
      <c r="I41" s="139"/>
      <c r="J41" s="139"/>
      <c r="K41" s="139"/>
      <c r="L41" s="139"/>
      <c r="M41" s="139"/>
      <c r="N41" s="139"/>
      <c r="O41" s="146"/>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66"/>
      <c r="AT41" s="66"/>
      <c r="AU41" s="66"/>
      <c r="AV41" s="66"/>
      <c r="AW41" s="66"/>
      <c r="AX41" s="66"/>
      <c r="BB41" s="66"/>
      <c r="BC41" s="66"/>
      <c r="BD41" s="66"/>
      <c r="BE41" s="66"/>
      <c r="BF41" s="66"/>
    </row>
    <row r="42" spans="1:58">
      <c r="A42" s="6"/>
      <c r="B42" s="150"/>
      <c r="C42" s="150"/>
      <c r="D42" s="150"/>
      <c r="E42" s="66"/>
      <c r="F42" s="66"/>
      <c r="G42" s="66"/>
      <c r="H42" s="66"/>
      <c r="I42" s="66"/>
      <c r="J42" s="66"/>
      <c r="K42" s="66"/>
      <c r="L42" s="66"/>
      <c r="M42" s="66"/>
      <c r="N42" s="66"/>
      <c r="O42" s="7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BB42" s="66"/>
      <c r="BC42" s="66"/>
      <c r="BD42" s="66"/>
      <c r="BE42" s="66"/>
      <c r="BF42" s="66"/>
    </row>
    <row r="43" spans="1:58">
      <c r="A43" s="6"/>
      <c r="B43" s="150"/>
      <c r="C43" s="150"/>
      <c r="D43" s="150"/>
      <c r="E43" s="66"/>
      <c r="F43" s="66"/>
      <c r="G43" s="66"/>
      <c r="H43" s="66"/>
      <c r="I43" s="66"/>
      <c r="J43" s="66"/>
      <c r="K43" s="66"/>
      <c r="L43" s="66"/>
      <c r="M43" s="66"/>
      <c r="N43" s="66"/>
      <c r="O43" s="7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BB43" s="66"/>
      <c r="BC43" s="66"/>
      <c r="BD43" s="66"/>
      <c r="BE43" s="66"/>
      <c r="BF43" s="66"/>
    </row>
    <row r="44" spans="1:58">
      <c r="A44" s="6"/>
      <c r="B44" s="150"/>
      <c r="C44" s="150"/>
      <c r="D44" s="150"/>
      <c r="E44" s="66"/>
      <c r="F44" s="66"/>
      <c r="G44" s="66"/>
      <c r="H44" s="66"/>
      <c r="I44" s="66"/>
      <c r="J44" s="66"/>
      <c r="K44" s="66"/>
      <c r="L44" s="66"/>
      <c r="M44" s="66"/>
      <c r="N44" s="66"/>
      <c r="O44" s="7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BB44" s="66"/>
      <c r="BC44" s="66"/>
      <c r="BD44" s="66"/>
      <c r="BE44" s="66"/>
      <c r="BF44" s="66"/>
    </row>
    <row r="45" spans="1:58">
      <c r="A45" s="6"/>
      <c r="B45" s="6"/>
      <c r="C45" s="6"/>
      <c r="D45" s="6"/>
    </row>
    <row r="46" spans="1:58">
      <c r="A46" s="6"/>
      <c r="B46" s="6"/>
      <c r="C46" s="6"/>
      <c r="D46" s="6"/>
    </row>
    <row r="47" spans="1:58">
      <c r="A47" s="6"/>
      <c r="B47" s="6"/>
      <c r="C47" s="6"/>
      <c r="D47" s="6"/>
    </row>
    <row r="48" spans="1:58">
      <c r="A48" s="6"/>
      <c r="B48" s="6"/>
      <c r="C48" s="6"/>
      <c r="D48" s="6"/>
    </row>
    <row r="49" spans="1:4">
      <c r="A49" s="6"/>
      <c r="B49" s="6"/>
      <c r="C49" s="6"/>
      <c r="D49" s="6"/>
    </row>
    <row r="50" spans="1:4">
      <c r="A50" s="6"/>
      <c r="B50" s="6"/>
      <c r="C50" s="6"/>
      <c r="D50" s="6"/>
    </row>
    <row r="51" spans="1:4">
      <c r="A51" s="6"/>
      <c r="B51" s="6"/>
      <c r="C51" s="6"/>
      <c r="D51" s="6"/>
    </row>
  </sheetData>
  <phoneticPr fontId="0" type="noConversion"/>
  <pageMargins left="0.78740157480314965" right="0.78740157480314965" top="0.98425196850393704" bottom="0.98425196850393704" header="0.51181102362204722" footer="0.51181102362204722"/>
  <pageSetup paperSize="9" orientation="landscape" r:id="rId1"/>
  <headerFooter alignWithMargins="0"/>
  <ignoredErrors>
    <ignoredError sqref="M10:N10 BH10" formulaRange="1"/>
    <ignoredError sqref="BG9" formula="1"/>
    <ignoredError sqref="BH9" formula="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3:BU27"/>
  <sheetViews>
    <sheetView showGridLines="0" zoomScale="80" zoomScaleNormal="80" workbookViewId="0">
      <pane xSplit="3" ySplit="3" topLeftCell="D4" activePane="bottomRight" state="frozen"/>
      <selection pane="topRight" activeCell="D1" sqref="D1"/>
      <selection pane="bottomLeft" activeCell="A4" sqref="A4"/>
      <selection pane="bottomRight" activeCell="BR27" sqref="BR27"/>
    </sheetView>
  </sheetViews>
  <sheetFormatPr defaultColWidth="9.1796875" defaultRowHeight="13.5"/>
  <cols>
    <col min="1" max="1" width="2.453125" style="1" customWidth="1"/>
    <col min="2" max="2" width="11" style="1" customWidth="1"/>
    <col min="3" max="3" width="13.1796875" style="1" customWidth="1"/>
    <col min="4" max="15" width="10.54296875" style="1" hidden="1" customWidth="1"/>
    <col min="16" max="16" width="4.54296875" style="25" hidden="1" customWidth="1"/>
    <col min="17" max="24" width="9.54296875" style="1" hidden="1" customWidth="1"/>
    <col min="25" max="25" width="3" style="1" hidden="1" customWidth="1"/>
    <col min="26" max="33" width="0" style="1" hidden="1" customWidth="1"/>
    <col min="34" max="34" width="3" style="1" hidden="1" customWidth="1"/>
    <col min="35" max="38" width="0" style="1" hidden="1" customWidth="1"/>
    <col min="39" max="39" width="4.453125" style="1" hidden="1" customWidth="1"/>
    <col min="40" max="43" width="0" style="1" hidden="1" customWidth="1"/>
    <col min="44" max="44" width="3.453125" style="1" hidden="1" customWidth="1"/>
    <col min="45" max="57" width="0" style="1" hidden="1" customWidth="1"/>
    <col min="58" max="16384" width="9.1796875" style="1"/>
  </cols>
  <sheetData>
    <row r="3" spans="2:62" ht="30.75" customHeight="1"/>
    <row r="5" spans="2:62" ht="14.25" customHeight="1" thickBot="1">
      <c r="B5" s="625" t="s">
        <v>33</v>
      </c>
      <c r="C5" s="625"/>
      <c r="D5" s="163" t="s">
        <v>20</v>
      </c>
      <c r="E5" s="163" t="s">
        <v>21</v>
      </c>
      <c r="F5" s="163" t="s">
        <v>22</v>
      </c>
      <c r="G5" s="163" t="s">
        <v>6</v>
      </c>
      <c r="H5" s="163" t="s">
        <v>23</v>
      </c>
      <c r="I5" s="163" t="s">
        <v>24</v>
      </c>
      <c r="J5" s="163" t="s">
        <v>91</v>
      </c>
      <c r="K5" s="163" t="s">
        <v>102</v>
      </c>
      <c r="L5" s="163" t="s">
        <v>103</v>
      </c>
      <c r="M5" s="163" t="s">
        <v>105</v>
      </c>
      <c r="N5" s="163" t="s">
        <v>106</v>
      </c>
      <c r="O5" s="163" t="s">
        <v>112</v>
      </c>
      <c r="P5" s="164"/>
      <c r="Q5" s="163" t="s">
        <v>113</v>
      </c>
      <c r="R5" s="163" t="s">
        <v>114</v>
      </c>
      <c r="S5" s="163" t="s">
        <v>118</v>
      </c>
      <c r="T5" s="163" t="s">
        <v>119</v>
      </c>
      <c r="U5" s="163" t="s">
        <v>120</v>
      </c>
      <c r="V5" s="163" t="s">
        <v>124</v>
      </c>
      <c r="W5" s="163" t="s">
        <v>127</v>
      </c>
      <c r="X5" s="163" t="s">
        <v>129</v>
      </c>
      <c r="Y5" s="165"/>
      <c r="Z5" s="163" t="s">
        <v>130</v>
      </c>
      <c r="AA5" s="163" t="s">
        <v>132</v>
      </c>
      <c r="AB5" s="163" t="s">
        <v>137</v>
      </c>
      <c r="AC5" s="163" t="s">
        <v>138</v>
      </c>
      <c r="AD5" s="163" t="s">
        <v>139</v>
      </c>
      <c r="AE5" s="163" t="s">
        <v>142</v>
      </c>
      <c r="AF5" s="166" t="s">
        <v>148</v>
      </c>
      <c r="AG5" s="166" t="s">
        <v>151</v>
      </c>
      <c r="AH5" s="166"/>
      <c r="AI5" s="166" t="s">
        <v>156</v>
      </c>
      <c r="AJ5" s="166" t="s">
        <v>157</v>
      </c>
      <c r="AK5" s="166" t="s">
        <v>161</v>
      </c>
      <c r="AL5" s="166" t="s">
        <v>166</v>
      </c>
      <c r="AM5" s="166"/>
      <c r="AN5" s="166" t="s">
        <v>180</v>
      </c>
      <c r="AO5" s="166" t="s">
        <v>181</v>
      </c>
      <c r="AP5" s="166" t="s">
        <v>192</v>
      </c>
      <c r="AQ5" s="166" t="s">
        <v>195</v>
      </c>
      <c r="AR5" s="166"/>
      <c r="AS5" s="166" t="s">
        <v>198</v>
      </c>
      <c r="AT5" s="166" t="s">
        <v>202</v>
      </c>
      <c r="AU5" s="166" t="s">
        <v>203</v>
      </c>
      <c r="AV5" s="166" t="s">
        <v>204</v>
      </c>
      <c r="AW5" s="166" t="s">
        <v>205</v>
      </c>
      <c r="AX5" s="166" t="s">
        <v>206</v>
      </c>
      <c r="AY5" s="166" t="s">
        <v>207</v>
      </c>
      <c r="AZ5" s="166" t="s">
        <v>212</v>
      </c>
      <c r="BA5" s="166" t="s">
        <v>228</v>
      </c>
      <c r="BB5" s="166" t="s">
        <v>247</v>
      </c>
      <c r="BC5" s="166" t="s">
        <v>249</v>
      </c>
      <c r="BD5" s="166" t="s">
        <v>254</v>
      </c>
      <c r="BE5" s="166" t="s">
        <v>258</v>
      </c>
      <c r="BF5" s="166" t="s">
        <v>260</v>
      </c>
      <c r="BG5" s="166" t="s">
        <v>338</v>
      </c>
      <c r="BH5" s="166" t="s">
        <v>366</v>
      </c>
      <c r="BI5" s="166" t="s">
        <v>373</v>
      </c>
      <c r="BJ5" s="166" t="s">
        <v>378</v>
      </c>
    </row>
    <row r="6" spans="2:62" ht="14.25" customHeight="1" thickTop="1">
      <c r="B6" s="167" t="s">
        <v>32</v>
      </c>
      <c r="C6" s="65"/>
      <c r="D6" s="53"/>
      <c r="E6" s="53"/>
      <c r="F6" s="53"/>
      <c r="G6" s="53"/>
      <c r="H6" s="53"/>
      <c r="I6" s="53"/>
      <c r="J6" s="53"/>
      <c r="K6" s="53"/>
      <c r="L6" s="53"/>
      <c r="M6" s="53"/>
      <c r="N6" s="53"/>
      <c r="O6" s="53"/>
      <c r="P6" s="63"/>
      <c r="Q6" s="53"/>
      <c r="R6" s="53"/>
      <c r="S6" s="53"/>
      <c r="T6" s="53"/>
      <c r="U6" s="53"/>
      <c r="V6" s="53"/>
      <c r="W6" s="53"/>
      <c r="X6" s="53"/>
      <c r="Y6" s="64"/>
      <c r="Z6" s="53"/>
      <c r="AA6" s="53"/>
      <c r="AB6" s="53"/>
      <c r="AC6" s="53"/>
      <c r="AD6" s="53"/>
      <c r="AE6" s="53"/>
      <c r="AF6" s="53"/>
      <c r="AG6" s="53"/>
      <c r="AH6" s="64"/>
      <c r="AI6" s="53"/>
      <c r="AJ6" s="53"/>
      <c r="AK6" s="53"/>
      <c r="AL6" s="53"/>
      <c r="AM6" s="63"/>
      <c r="AN6" s="53"/>
      <c r="AO6" s="53"/>
      <c r="AP6" s="53"/>
      <c r="AQ6" s="53"/>
      <c r="AR6" s="63"/>
      <c r="AS6" s="53"/>
      <c r="AT6" s="53"/>
      <c r="AU6" s="53"/>
      <c r="AV6" s="53"/>
      <c r="AW6" s="53"/>
      <c r="AX6" s="53"/>
      <c r="AY6" s="53"/>
      <c r="AZ6" s="53"/>
      <c r="BA6" s="53"/>
      <c r="BB6" s="53"/>
      <c r="BC6" s="53"/>
      <c r="BD6" s="53"/>
      <c r="BE6" s="53"/>
      <c r="BF6" s="53"/>
      <c r="BG6" s="53"/>
      <c r="BH6" s="53"/>
      <c r="BI6" s="53"/>
      <c r="BJ6" s="53"/>
    </row>
    <row r="7" spans="2:62" ht="14.25" customHeight="1">
      <c r="B7" s="133" t="s">
        <v>1</v>
      </c>
      <c r="C7" s="168"/>
      <c r="D7" s="168">
        <v>225</v>
      </c>
      <c r="E7" s="168">
        <v>3012</v>
      </c>
      <c r="F7" s="168">
        <v>74</v>
      </c>
      <c r="G7" s="168">
        <v>399.9</v>
      </c>
      <c r="H7" s="168">
        <v>0</v>
      </c>
      <c r="I7" s="168">
        <v>0</v>
      </c>
      <c r="J7" s="168">
        <v>0</v>
      </c>
      <c r="K7" s="168">
        <v>0</v>
      </c>
      <c r="L7" s="169">
        <v>0</v>
      </c>
      <c r="M7" s="168">
        <v>0</v>
      </c>
      <c r="N7" s="168">
        <v>1656</v>
      </c>
      <c r="O7" s="168">
        <v>166</v>
      </c>
      <c r="P7" s="168"/>
      <c r="Q7" s="168">
        <v>0</v>
      </c>
      <c r="R7" s="168">
        <v>0</v>
      </c>
      <c r="S7" s="168">
        <v>0</v>
      </c>
      <c r="T7" s="168">
        <v>0</v>
      </c>
      <c r="U7" s="168">
        <v>0</v>
      </c>
      <c r="V7" s="168">
        <v>0</v>
      </c>
      <c r="W7" s="168">
        <v>0</v>
      </c>
      <c r="X7" s="168">
        <v>0</v>
      </c>
      <c r="Y7" s="170"/>
      <c r="Z7" s="169">
        <v>0</v>
      </c>
      <c r="AA7" s="169">
        <v>0</v>
      </c>
      <c r="AB7" s="169" t="s">
        <v>123</v>
      </c>
      <c r="AC7" s="169" t="s">
        <v>123</v>
      </c>
      <c r="AD7" s="169" t="s">
        <v>123</v>
      </c>
      <c r="AE7" s="169" t="s">
        <v>123</v>
      </c>
      <c r="AF7" s="169" t="s">
        <v>123</v>
      </c>
      <c r="AG7" s="169" t="s">
        <v>123</v>
      </c>
      <c r="AH7" s="170"/>
      <c r="AI7" s="169">
        <v>0</v>
      </c>
      <c r="AJ7" s="169" t="s">
        <v>123</v>
      </c>
      <c r="AK7" s="169" t="s">
        <v>123</v>
      </c>
      <c r="AL7" s="169" t="s">
        <v>123</v>
      </c>
      <c r="AM7" s="169"/>
      <c r="AN7" s="169" t="s">
        <v>123</v>
      </c>
      <c r="AO7" s="169" t="s">
        <v>123</v>
      </c>
      <c r="AP7" s="169" t="s">
        <v>123</v>
      </c>
      <c r="AQ7" s="169" t="s">
        <v>123</v>
      </c>
      <c r="AR7" s="169"/>
      <c r="AS7" s="169" t="s">
        <v>123</v>
      </c>
      <c r="AT7" s="169" t="s">
        <v>123</v>
      </c>
      <c r="AU7" s="169" t="s">
        <v>123</v>
      </c>
      <c r="AV7" s="169" t="s">
        <v>123</v>
      </c>
      <c r="AW7" s="169" t="s">
        <v>123</v>
      </c>
      <c r="AX7" s="169" t="s">
        <v>123</v>
      </c>
      <c r="AY7" s="169" t="s">
        <v>123</v>
      </c>
      <c r="AZ7" s="169" t="s">
        <v>123</v>
      </c>
      <c r="BA7" s="169" t="s">
        <v>123</v>
      </c>
      <c r="BB7" s="169" t="s">
        <v>123</v>
      </c>
      <c r="BC7" s="169" t="s">
        <v>123</v>
      </c>
      <c r="BD7" s="169" t="s">
        <v>123</v>
      </c>
      <c r="BE7" s="169"/>
      <c r="BF7" s="169" t="s">
        <v>123</v>
      </c>
      <c r="BG7" s="169" t="s">
        <v>123</v>
      </c>
      <c r="BH7" s="169">
        <v>89</v>
      </c>
      <c r="BI7" s="549" t="s">
        <v>123</v>
      </c>
      <c r="BJ7" s="549" t="s">
        <v>123</v>
      </c>
    </row>
    <row r="8" spans="2:62" ht="14.25" customHeight="1">
      <c r="B8" s="131" t="s">
        <v>95</v>
      </c>
      <c r="C8" s="171"/>
      <c r="D8" s="172">
        <v>0</v>
      </c>
      <c r="E8" s="173">
        <v>0</v>
      </c>
      <c r="F8" s="172">
        <v>0</v>
      </c>
      <c r="G8" s="172">
        <v>47</v>
      </c>
      <c r="H8" s="172">
        <v>0</v>
      </c>
      <c r="I8" s="172">
        <v>2</v>
      </c>
      <c r="J8" s="172">
        <v>0</v>
      </c>
      <c r="K8" s="172">
        <v>0</v>
      </c>
      <c r="L8" s="173">
        <v>0</v>
      </c>
      <c r="M8" s="172">
        <v>0</v>
      </c>
      <c r="N8" s="172">
        <v>0</v>
      </c>
      <c r="O8" s="172">
        <v>0</v>
      </c>
      <c r="P8" s="172"/>
      <c r="Q8" s="172">
        <v>0</v>
      </c>
      <c r="R8" s="172">
        <v>0</v>
      </c>
      <c r="S8" s="172">
        <v>0</v>
      </c>
      <c r="T8" s="172">
        <v>0</v>
      </c>
      <c r="U8" s="172">
        <v>0</v>
      </c>
      <c r="V8" s="172">
        <v>0</v>
      </c>
      <c r="W8" s="172">
        <v>0</v>
      </c>
      <c r="X8" s="172">
        <v>0</v>
      </c>
      <c r="Y8" s="174"/>
      <c r="Z8" s="173">
        <v>0</v>
      </c>
      <c r="AA8" s="173">
        <v>0</v>
      </c>
      <c r="AB8" s="173" t="s">
        <v>123</v>
      </c>
      <c r="AC8" s="173" t="s">
        <v>123</v>
      </c>
      <c r="AD8" s="173" t="s">
        <v>123</v>
      </c>
      <c r="AE8" s="173" t="s">
        <v>123</v>
      </c>
      <c r="AF8" s="173" t="s">
        <v>123</v>
      </c>
      <c r="AG8" s="173" t="s">
        <v>123</v>
      </c>
      <c r="AH8" s="174"/>
      <c r="AI8" s="173">
        <v>0</v>
      </c>
      <c r="AJ8" s="173" t="s">
        <v>123</v>
      </c>
      <c r="AK8" s="173" t="s">
        <v>123</v>
      </c>
      <c r="AL8" s="173" t="s">
        <v>123</v>
      </c>
      <c r="AM8" s="173"/>
      <c r="AN8" s="173" t="s">
        <v>123</v>
      </c>
      <c r="AO8" s="173"/>
      <c r="AP8" s="173"/>
      <c r="AQ8" s="173"/>
      <c r="AR8" s="173"/>
      <c r="AS8" s="173"/>
      <c r="AT8" s="173"/>
      <c r="AU8" s="173"/>
      <c r="AV8" s="173"/>
      <c r="AW8" s="173"/>
      <c r="AX8" s="173" t="s">
        <v>123</v>
      </c>
      <c r="AY8" s="173" t="s">
        <v>123</v>
      </c>
      <c r="AZ8" s="173" t="s">
        <v>123</v>
      </c>
      <c r="BA8" s="173" t="s">
        <v>123</v>
      </c>
      <c r="BB8" s="173" t="s">
        <v>123</v>
      </c>
      <c r="BC8" s="173" t="s">
        <v>123</v>
      </c>
      <c r="BD8" s="173" t="s">
        <v>123</v>
      </c>
      <c r="BE8" s="173"/>
      <c r="BF8" s="173" t="s">
        <v>123</v>
      </c>
      <c r="BG8" s="173" t="s">
        <v>123</v>
      </c>
      <c r="BH8" s="173">
        <v>89</v>
      </c>
      <c r="BI8" s="577" t="s">
        <v>123</v>
      </c>
      <c r="BJ8" s="577" t="s">
        <v>123</v>
      </c>
    </row>
    <row r="9" spans="2:62" ht="14.25" customHeight="1">
      <c r="B9" s="133" t="s">
        <v>96</v>
      </c>
      <c r="C9" s="168"/>
      <c r="D9" s="175">
        <v>0</v>
      </c>
      <c r="E9" s="175">
        <v>230.5</v>
      </c>
      <c r="F9" s="175">
        <v>15</v>
      </c>
      <c r="G9" s="175">
        <v>58</v>
      </c>
      <c r="H9" s="175">
        <v>0</v>
      </c>
      <c r="I9" s="175">
        <v>0</v>
      </c>
      <c r="J9" s="175">
        <v>0</v>
      </c>
      <c r="K9" s="175">
        <v>0</v>
      </c>
      <c r="L9" s="176">
        <v>0</v>
      </c>
      <c r="M9" s="175">
        <v>0</v>
      </c>
      <c r="N9" s="175">
        <v>1599</v>
      </c>
      <c r="O9" s="175">
        <v>166</v>
      </c>
      <c r="P9" s="175"/>
      <c r="Q9" s="175">
        <v>0</v>
      </c>
      <c r="R9" s="175">
        <v>0</v>
      </c>
      <c r="S9" s="175">
        <v>0</v>
      </c>
      <c r="T9" s="175">
        <v>0</v>
      </c>
      <c r="U9" s="175">
        <v>0</v>
      </c>
      <c r="V9" s="175">
        <v>0</v>
      </c>
      <c r="W9" s="175">
        <v>0</v>
      </c>
      <c r="X9" s="175">
        <v>0</v>
      </c>
      <c r="Y9" s="170"/>
      <c r="Z9" s="176">
        <v>26</v>
      </c>
      <c r="AA9" s="176">
        <v>0</v>
      </c>
      <c r="AB9" s="176" t="s">
        <v>123</v>
      </c>
      <c r="AC9" s="176" t="s">
        <v>123</v>
      </c>
      <c r="AD9" s="176" t="s">
        <v>123</v>
      </c>
      <c r="AE9" s="176" t="s">
        <v>123</v>
      </c>
      <c r="AF9" s="176" t="s">
        <v>123</v>
      </c>
      <c r="AG9" s="176" t="s">
        <v>123</v>
      </c>
      <c r="AH9" s="170"/>
      <c r="AI9" s="176">
        <v>0</v>
      </c>
      <c r="AJ9" s="176" t="s">
        <v>123</v>
      </c>
      <c r="AK9" s="176" t="s">
        <v>123</v>
      </c>
      <c r="AL9" s="176" t="s">
        <v>123</v>
      </c>
      <c r="AM9" s="176"/>
      <c r="AN9" s="176" t="s">
        <v>123</v>
      </c>
      <c r="AO9" s="176" t="s">
        <v>123</v>
      </c>
      <c r="AP9" s="176" t="s">
        <v>123</v>
      </c>
      <c r="AQ9" s="176" t="s">
        <v>123</v>
      </c>
      <c r="AR9" s="176"/>
      <c r="AS9" s="176" t="s">
        <v>123</v>
      </c>
      <c r="AT9" s="176" t="s">
        <v>123</v>
      </c>
      <c r="AU9" s="176" t="s">
        <v>123</v>
      </c>
      <c r="AV9" s="176" t="s">
        <v>123</v>
      </c>
      <c r="AW9" s="176" t="s">
        <v>123</v>
      </c>
      <c r="AX9" s="176" t="s">
        <v>123</v>
      </c>
      <c r="AY9" s="176" t="s">
        <v>123</v>
      </c>
      <c r="AZ9" s="176" t="s">
        <v>123</v>
      </c>
      <c r="BA9" s="176" t="s">
        <v>123</v>
      </c>
      <c r="BB9" s="176" t="s">
        <v>123</v>
      </c>
      <c r="BC9" s="176" t="s">
        <v>123</v>
      </c>
      <c r="BD9" s="176" t="s">
        <v>123</v>
      </c>
      <c r="BE9" s="176"/>
      <c r="BF9" s="176" t="s">
        <v>123</v>
      </c>
      <c r="BG9" s="176" t="s">
        <v>123</v>
      </c>
      <c r="BH9" s="176" t="s">
        <v>123</v>
      </c>
      <c r="BI9" s="551" t="s">
        <v>123</v>
      </c>
      <c r="BJ9" s="551" t="s">
        <v>123</v>
      </c>
    </row>
    <row r="10" spans="2:62" ht="14.25" customHeight="1">
      <c r="B10" s="131" t="s">
        <v>162</v>
      </c>
      <c r="C10" s="171"/>
      <c r="D10" s="172">
        <v>225</v>
      </c>
      <c r="E10" s="172">
        <v>186</v>
      </c>
      <c r="F10" s="172">
        <v>59</v>
      </c>
      <c r="G10" s="172">
        <v>6.9</v>
      </c>
      <c r="H10" s="172">
        <v>0</v>
      </c>
      <c r="I10" s="172">
        <v>0</v>
      </c>
      <c r="J10" s="172">
        <v>0</v>
      </c>
      <c r="K10" s="172">
        <v>0</v>
      </c>
      <c r="L10" s="173">
        <v>0</v>
      </c>
      <c r="M10" s="172">
        <v>0</v>
      </c>
      <c r="N10" s="172">
        <v>57</v>
      </c>
      <c r="O10" s="172">
        <v>0</v>
      </c>
      <c r="P10" s="172"/>
      <c r="Q10" s="172">
        <v>0</v>
      </c>
      <c r="R10" s="172">
        <v>0</v>
      </c>
      <c r="S10" s="172">
        <v>0</v>
      </c>
      <c r="T10" s="172">
        <v>0</v>
      </c>
      <c r="U10" s="172">
        <v>0</v>
      </c>
      <c r="V10" s="172">
        <v>0</v>
      </c>
      <c r="W10" s="172">
        <v>0</v>
      </c>
      <c r="X10" s="172">
        <v>0</v>
      </c>
      <c r="Y10" s="174"/>
      <c r="Z10" s="173">
        <v>0</v>
      </c>
      <c r="AA10" s="173">
        <v>0</v>
      </c>
      <c r="AB10" s="173">
        <v>29</v>
      </c>
      <c r="AC10" s="173" t="s">
        <v>123</v>
      </c>
      <c r="AD10" s="173" t="s">
        <v>123</v>
      </c>
      <c r="AE10" s="173" t="s">
        <v>123</v>
      </c>
      <c r="AF10" s="173" t="s">
        <v>123</v>
      </c>
      <c r="AG10" s="173" t="s">
        <v>123</v>
      </c>
      <c r="AH10" s="174"/>
      <c r="AI10" s="173">
        <v>0</v>
      </c>
      <c r="AJ10" s="173" t="s">
        <v>123</v>
      </c>
      <c r="AK10" s="173" t="s">
        <v>123</v>
      </c>
      <c r="AL10" s="173" t="s">
        <v>123</v>
      </c>
      <c r="AM10" s="173"/>
      <c r="AN10" s="173" t="s">
        <v>123</v>
      </c>
      <c r="AO10" s="173" t="s">
        <v>123</v>
      </c>
      <c r="AP10" s="173" t="s">
        <v>123</v>
      </c>
      <c r="AQ10" s="173" t="s">
        <v>123</v>
      </c>
      <c r="AR10" s="173"/>
      <c r="AS10" s="173" t="s">
        <v>123</v>
      </c>
      <c r="AT10" s="173" t="s">
        <v>123</v>
      </c>
      <c r="AU10" s="173" t="s">
        <v>123</v>
      </c>
      <c r="AV10" s="173" t="s">
        <v>123</v>
      </c>
      <c r="AW10" s="173" t="s">
        <v>123</v>
      </c>
      <c r="AX10" s="173" t="s">
        <v>123</v>
      </c>
      <c r="AY10" s="173" t="s">
        <v>123</v>
      </c>
      <c r="AZ10" s="173" t="s">
        <v>123</v>
      </c>
      <c r="BA10" s="173" t="s">
        <v>123</v>
      </c>
      <c r="BB10" s="173" t="s">
        <v>123</v>
      </c>
      <c r="BC10" s="173" t="s">
        <v>123</v>
      </c>
      <c r="BD10" s="173" t="s">
        <v>123</v>
      </c>
      <c r="BE10" s="173"/>
      <c r="BF10" s="173" t="s">
        <v>123</v>
      </c>
      <c r="BG10" s="173" t="s">
        <v>123</v>
      </c>
      <c r="BH10" s="173" t="s">
        <v>123</v>
      </c>
      <c r="BI10" s="550" t="s">
        <v>123</v>
      </c>
      <c r="BJ10" s="550" t="s">
        <v>123</v>
      </c>
    </row>
    <row r="11" spans="2:62" ht="14.25" customHeight="1">
      <c r="B11" s="133" t="s">
        <v>122</v>
      </c>
      <c r="C11" s="168"/>
      <c r="D11" s="175">
        <v>0</v>
      </c>
      <c r="E11" s="175">
        <v>2595.9</v>
      </c>
      <c r="F11" s="175">
        <v>0</v>
      </c>
      <c r="G11" s="175">
        <v>288</v>
      </c>
      <c r="H11" s="175">
        <v>0</v>
      </c>
      <c r="I11" s="175">
        <v>0</v>
      </c>
      <c r="J11" s="175">
        <v>0</v>
      </c>
      <c r="K11" s="175">
        <v>0</v>
      </c>
      <c r="L11" s="176">
        <v>0</v>
      </c>
      <c r="M11" s="175">
        <v>0</v>
      </c>
      <c r="N11" s="175">
        <v>0</v>
      </c>
      <c r="O11" s="175">
        <v>0</v>
      </c>
      <c r="P11" s="175"/>
      <c r="Q11" s="175">
        <v>0</v>
      </c>
      <c r="R11" s="175">
        <v>0</v>
      </c>
      <c r="S11" s="175">
        <v>0</v>
      </c>
      <c r="T11" s="175">
        <v>0</v>
      </c>
      <c r="U11" s="175">
        <v>0</v>
      </c>
      <c r="V11" s="175">
        <v>0</v>
      </c>
      <c r="W11" s="175">
        <v>0</v>
      </c>
      <c r="X11" s="175">
        <v>0</v>
      </c>
      <c r="Y11" s="170"/>
      <c r="Z11" s="176">
        <v>0</v>
      </c>
      <c r="AA11" s="176">
        <v>0</v>
      </c>
      <c r="AB11" s="176" t="s">
        <v>123</v>
      </c>
      <c r="AC11" s="176" t="s">
        <v>123</v>
      </c>
      <c r="AD11" s="176" t="s">
        <v>123</v>
      </c>
      <c r="AE11" s="176" t="s">
        <v>123</v>
      </c>
      <c r="AF11" s="176" t="s">
        <v>123</v>
      </c>
      <c r="AG11" s="176" t="s">
        <v>123</v>
      </c>
      <c r="AH11" s="170"/>
      <c r="AI11" s="176">
        <v>0</v>
      </c>
      <c r="AJ11" s="176" t="s">
        <v>123</v>
      </c>
      <c r="AK11" s="176" t="s">
        <v>123</v>
      </c>
      <c r="AL11" s="176" t="s">
        <v>123</v>
      </c>
      <c r="AM11" s="176"/>
      <c r="AN11" s="176" t="s">
        <v>123</v>
      </c>
      <c r="AO11" s="176" t="s">
        <v>123</v>
      </c>
      <c r="AP11" s="176" t="s">
        <v>123</v>
      </c>
      <c r="AQ11" s="176" t="s">
        <v>123</v>
      </c>
      <c r="AR11" s="176"/>
      <c r="AS11" s="176" t="s">
        <v>123</v>
      </c>
      <c r="AT11" s="176" t="s">
        <v>123</v>
      </c>
      <c r="AU11" s="176" t="s">
        <v>123</v>
      </c>
      <c r="AV11" s="176" t="s">
        <v>123</v>
      </c>
      <c r="AW11" s="176" t="s">
        <v>123</v>
      </c>
      <c r="AX11" s="176" t="s">
        <v>123</v>
      </c>
      <c r="AY11" s="176" t="s">
        <v>123</v>
      </c>
      <c r="AZ11" s="176" t="s">
        <v>123</v>
      </c>
      <c r="BA11" s="176" t="s">
        <v>123</v>
      </c>
      <c r="BB11" s="176" t="s">
        <v>123</v>
      </c>
      <c r="BC11" s="176" t="s">
        <v>123</v>
      </c>
      <c r="BD11" s="176" t="s">
        <v>123</v>
      </c>
      <c r="BE11" s="176"/>
      <c r="BF11" s="176" t="s">
        <v>123</v>
      </c>
      <c r="BG11" s="176" t="s">
        <v>123</v>
      </c>
      <c r="BH11" s="176" t="s">
        <v>123</v>
      </c>
      <c r="BI11" s="551" t="s">
        <v>123</v>
      </c>
      <c r="BJ11" s="551" t="s">
        <v>123</v>
      </c>
    </row>
    <row r="12" spans="2:62" ht="14">
      <c r="B12" s="159"/>
      <c r="C12" s="150"/>
      <c r="D12" s="150"/>
      <c r="E12" s="150"/>
      <c r="F12" s="150"/>
      <c r="G12" s="150"/>
      <c r="H12" s="66"/>
      <c r="I12" s="66"/>
      <c r="J12" s="66"/>
      <c r="K12" s="66"/>
      <c r="L12" s="66"/>
      <c r="M12" s="66"/>
      <c r="N12" s="66"/>
      <c r="O12" s="66"/>
      <c r="P12" s="76"/>
      <c r="Q12" s="66"/>
      <c r="R12" s="66"/>
      <c r="S12" s="66"/>
      <c r="T12" s="66"/>
      <c r="U12" s="66"/>
      <c r="V12" s="66"/>
      <c r="W12" s="66"/>
      <c r="X12" s="66"/>
      <c r="Y12" s="66"/>
      <c r="Z12" s="160"/>
      <c r="AA12" s="66"/>
      <c r="AB12" s="66"/>
      <c r="AC12" s="66"/>
      <c r="AD12" s="66"/>
      <c r="AE12" s="66"/>
      <c r="AF12" s="76"/>
      <c r="AG12" s="76"/>
      <c r="AH12" s="66"/>
      <c r="AI12" s="76"/>
      <c r="AJ12" s="76"/>
      <c r="AK12" s="76"/>
      <c r="AL12" s="76"/>
      <c r="AM12" s="66"/>
      <c r="AN12" s="76"/>
      <c r="AO12" s="76"/>
      <c r="AP12" s="76"/>
      <c r="AQ12" s="66"/>
      <c r="AR12" s="66"/>
      <c r="AS12" s="139"/>
      <c r="AT12" s="139"/>
      <c r="AU12" s="139"/>
      <c r="AV12" s="139"/>
      <c r="AW12" s="66"/>
      <c r="AX12" s="66"/>
      <c r="AY12" s="66"/>
      <c r="AZ12" s="66"/>
      <c r="BA12" s="66"/>
      <c r="BB12" s="66"/>
      <c r="BC12" s="66"/>
      <c r="BD12" s="66"/>
      <c r="BE12" s="66"/>
      <c r="BF12" s="66"/>
      <c r="BG12" s="66"/>
      <c r="BH12" s="66"/>
    </row>
    <row r="13" spans="2:62" ht="14.25" customHeight="1">
      <c r="B13" s="161" t="s">
        <v>34</v>
      </c>
      <c r="C13" s="150"/>
      <c r="D13" s="150"/>
      <c r="E13" s="150"/>
      <c r="F13" s="150"/>
      <c r="G13" s="150"/>
      <c r="H13" s="66"/>
      <c r="I13" s="66"/>
      <c r="J13" s="66"/>
      <c r="K13" s="66"/>
      <c r="L13" s="66"/>
      <c r="M13" s="66"/>
      <c r="N13" s="66"/>
      <c r="O13" s="66"/>
      <c r="P13" s="76"/>
      <c r="Q13" s="66"/>
      <c r="R13" s="66"/>
      <c r="S13" s="66"/>
      <c r="T13" s="66"/>
      <c r="U13" s="66"/>
      <c r="V13" s="66"/>
      <c r="W13" s="66"/>
      <c r="X13" s="66"/>
      <c r="Y13" s="66"/>
      <c r="Z13" s="160"/>
      <c r="AA13" s="66"/>
      <c r="AB13" s="66"/>
      <c r="AC13" s="66"/>
      <c r="AD13" s="66"/>
      <c r="AE13" s="66"/>
      <c r="AF13" s="66"/>
      <c r="AG13" s="66"/>
      <c r="AH13" s="66"/>
      <c r="AI13" s="66"/>
      <c r="AJ13" s="66"/>
      <c r="AK13" s="66"/>
      <c r="AL13" s="66"/>
      <c r="AM13" s="66"/>
      <c r="AN13" s="66"/>
      <c r="AO13" s="66"/>
      <c r="AP13" s="66"/>
      <c r="AQ13" s="66"/>
      <c r="AR13" s="66"/>
      <c r="AS13" s="139"/>
      <c r="AT13" s="139"/>
      <c r="AU13" s="139"/>
      <c r="AV13" s="139"/>
      <c r="AW13" s="66"/>
      <c r="AX13" s="66"/>
      <c r="AY13" s="66"/>
      <c r="AZ13" s="66"/>
      <c r="BA13" s="66"/>
      <c r="BB13" s="66"/>
      <c r="BC13" s="66"/>
      <c r="BD13" s="66"/>
      <c r="BE13" s="66"/>
      <c r="BF13" s="66"/>
      <c r="BG13" s="66"/>
      <c r="BH13" s="66"/>
    </row>
    <row r="14" spans="2:62" ht="14.25" customHeight="1">
      <c r="B14" s="161"/>
      <c r="C14" s="150"/>
      <c r="D14" s="150"/>
      <c r="E14" s="150"/>
      <c r="F14" s="150"/>
      <c r="G14" s="150"/>
      <c r="H14" s="66"/>
      <c r="I14" s="66"/>
      <c r="J14" s="66"/>
      <c r="K14" s="66"/>
      <c r="L14" s="66"/>
      <c r="M14" s="66"/>
      <c r="N14" s="66"/>
      <c r="O14" s="66"/>
      <c r="P14" s="76"/>
      <c r="Q14" s="66"/>
      <c r="R14" s="66"/>
      <c r="S14" s="66"/>
      <c r="T14" s="66"/>
      <c r="U14" s="66"/>
      <c r="V14" s="66"/>
      <c r="W14" s="66"/>
      <c r="X14" s="66"/>
      <c r="Y14" s="66"/>
      <c r="Z14" s="160"/>
      <c r="AA14" s="66"/>
      <c r="AB14" s="66"/>
      <c r="AC14" s="66"/>
      <c r="AD14" s="66"/>
      <c r="AE14" s="66"/>
      <c r="AF14" s="66"/>
      <c r="AG14" s="66"/>
      <c r="AH14" s="66"/>
      <c r="AI14" s="66"/>
      <c r="AJ14" s="66"/>
      <c r="AK14" s="66"/>
      <c r="AL14" s="66"/>
      <c r="AM14" s="66"/>
      <c r="AN14" s="66"/>
      <c r="AO14" s="66"/>
      <c r="AP14" s="66"/>
      <c r="AQ14" s="66"/>
      <c r="AR14" s="66"/>
      <c r="AS14" s="139"/>
      <c r="AT14" s="139"/>
      <c r="AU14" s="139"/>
      <c r="AV14" s="139"/>
      <c r="AW14" s="66"/>
      <c r="AX14" s="66"/>
      <c r="AY14" s="66"/>
      <c r="AZ14" s="66"/>
      <c r="BA14" s="66"/>
      <c r="BB14" s="66"/>
      <c r="BC14" s="66"/>
      <c r="BD14" s="66"/>
      <c r="BE14" s="66"/>
      <c r="BF14" s="66"/>
      <c r="BG14" s="66"/>
      <c r="BH14" s="66"/>
    </row>
    <row r="15" spans="2:62" ht="14.25" customHeight="1" thickBot="1">
      <c r="B15" s="625" t="s">
        <v>2</v>
      </c>
      <c r="C15" s="625"/>
      <c r="D15" s="163" t="s">
        <v>20</v>
      </c>
      <c r="E15" s="163" t="s">
        <v>21</v>
      </c>
      <c r="F15" s="163" t="s">
        <v>22</v>
      </c>
      <c r="G15" s="163" t="s">
        <v>6</v>
      </c>
      <c r="H15" s="163" t="s">
        <v>23</v>
      </c>
      <c r="I15" s="163" t="s">
        <v>24</v>
      </c>
      <c r="J15" s="163" t="s">
        <v>91</v>
      </c>
      <c r="K15" s="163" t="s">
        <v>102</v>
      </c>
      <c r="L15" s="163" t="s">
        <v>103</v>
      </c>
      <c r="M15" s="163" t="s">
        <v>105</v>
      </c>
      <c r="N15" s="163" t="s">
        <v>106</v>
      </c>
      <c r="O15" s="163" t="s">
        <v>112</v>
      </c>
      <c r="P15" s="164"/>
      <c r="Q15" s="163" t="str">
        <f t="shared" ref="Q15:V15" si="0">Q5</f>
        <v>1Q11</v>
      </c>
      <c r="R15" s="163" t="str">
        <f t="shared" si="0"/>
        <v>2Q11</v>
      </c>
      <c r="S15" s="163" t="str">
        <f t="shared" si="0"/>
        <v>3Q11</v>
      </c>
      <c r="T15" s="163" t="str">
        <f t="shared" si="0"/>
        <v>4Q11</v>
      </c>
      <c r="U15" s="163" t="str">
        <f t="shared" si="0"/>
        <v>1Q12</v>
      </c>
      <c r="V15" s="163" t="str">
        <f t="shared" si="0"/>
        <v>2Q12</v>
      </c>
      <c r="W15" s="163" t="str">
        <f>W5</f>
        <v>3Q12</v>
      </c>
      <c r="X15" s="163" t="str">
        <f>X5</f>
        <v>4Q12</v>
      </c>
      <c r="Y15" s="165"/>
      <c r="Z15" s="163" t="str">
        <f>Z5</f>
        <v>1Q13</v>
      </c>
      <c r="AA15" s="163" t="str">
        <f>AA5</f>
        <v>2Q13</v>
      </c>
      <c r="AB15" s="163" t="s">
        <v>137</v>
      </c>
      <c r="AC15" s="163" t="s">
        <v>138</v>
      </c>
      <c r="AD15" s="163" t="s">
        <v>139</v>
      </c>
      <c r="AE15" s="163" t="s">
        <v>142</v>
      </c>
      <c r="AF15" s="166" t="s">
        <v>148</v>
      </c>
      <c r="AG15" s="166" t="s">
        <v>151</v>
      </c>
      <c r="AH15" s="166"/>
      <c r="AI15" s="166" t="s">
        <v>156</v>
      </c>
      <c r="AJ15" s="166" t="s">
        <v>157</v>
      </c>
      <c r="AK15" s="166" t="s">
        <v>161</v>
      </c>
      <c r="AL15" s="166" t="s">
        <v>166</v>
      </c>
      <c r="AM15" s="166"/>
      <c r="AN15" s="166" t="s">
        <v>180</v>
      </c>
      <c r="AO15" s="166" t="s">
        <v>181</v>
      </c>
      <c r="AP15" s="166" t="s">
        <v>192</v>
      </c>
      <c r="AQ15" s="166" t="s">
        <v>195</v>
      </c>
      <c r="AR15" s="166"/>
      <c r="AS15" s="166" t="s">
        <v>198</v>
      </c>
      <c r="AT15" s="166" t="str">
        <f>AT5</f>
        <v>2Q17</v>
      </c>
      <c r="AU15" s="166" t="str">
        <f>AU5</f>
        <v>3Q17</v>
      </c>
      <c r="AV15" s="166" t="s">
        <v>204</v>
      </c>
      <c r="AW15" s="166" t="s">
        <v>205</v>
      </c>
      <c r="AX15" s="166" t="s">
        <v>206</v>
      </c>
      <c r="AY15" s="166" t="s">
        <v>207</v>
      </c>
      <c r="AZ15" s="166" t="s">
        <v>212</v>
      </c>
      <c r="BA15" s="166" t="s">
        <v>228</v>
      </c>
      <c r="BB15" s="166" t="s">
        <v>247</v>
      </c>
      <c r="BC15" s="166" t="s">
        <v>249</v>
      </c>
      <c r="BD15" s="166" t="s">
        <v>254</v>
      </c>
      <c r="BE15" s="166" t="s">
        <v>258</v>
      </c>
      <c r="BF15" s="166" t="s">
        <v>260</v>
      </c>
      <c r="BG15" s="166" t="s">
        <v>338</v>
      </c>
      <c r="BH15" s="166" t="s">
        <v>366</v>
      </c>
      <c r="BI15" s="166" t="s">
        <v>373</v>
      </c>
      <c r="BJ15" s="166" t="s">
        <v>378</v>
      </c>
    </row>
    <row r="16" spans="2:62" ht="14.25" customHeight="1" thickTop="1">
      <c r="B16" s="167" t="s">
        <v>100</v>
      </c>
      <c r="C16" s="65"/>
      <c r="D16" s="53"/>
      <c r="E16" s="53"/>
      <c r="F16" s="53"/>
      <c r="G16" s="53"/>
      <c r="H16" s="53"/>
      <c r="I16" s="53"/>
      <c r="J16" s="53"/>
      <c r="K16" s="53"/>
      <c r="L16" s="53"/>
      <c r="M16" s="53"/>
      <c r="N16" s="53"/>
      <c r="O16" s="53"/>
      <c r="P16" s="63"/>
      <c r="Q16" s="53"/>
      <c r="R16" s="53"/>
      <c r="S16" s="53"/>
      <c r="T16" s="53"/>
      <c r="U16" s="53"/>
      <c r="V16" s="53"/>
      <c r="W16" s="53"/>
      <c r="X16" s="53"/>
      <c r="Y16" s="64"/>
      <c r="Z16" s="53"/>
      <c r="AA16" s="53"/>
      <c r="AB16" s="53"/>
      <c r="AC16" s="53"/>
      <c r="AD16" s="53"/>
      <c r="AE16" s="53"/>
      <c r="AF16" s="53"/>
      <c r="AG16" s="53"/>
      <c r="AH16" s="64"/>
      <c r="AI16" s="53"/>
      <c r="AJ16" s="53"/>
      <c r="AK16" s="53"/>
      <c r="AL16" s="53"/>
      <c r="AM16" s="63"/>
      <c r="AN16" s="53"/>
      <c r="AO16" s="53"/>
      <c r="AP16" s="53"/>
      <c r="AQ16" s="53"/>
      <c r="AR16" s="63"/>
      <c r="AS16" s="53"/>
      <c r="AT16" s="53"/>
      <c r="AU16" s="53"/>
      <c r="AV16" s="53"/>
      <c r="AW16" s="53"/>
      <c r="AX16" s="53"/>
      <c r="AY16" s="53"/>
      <c r="AZ16" s="53"/>
      <c r="BA16" s="53"/>
      <c r="BB16" s="53"/>
      <c r="BC16" s="53"/>
      <c r="BD16" s="53"/>
      <c r="BE16" s="53"/>
      <c r="BF16" s="53"/>
      <c r="BG16" s="53"/>
      <c r="BH16" s="53"/>
    </row>
    <row r="17" spans="2:73" ht="14.25" customHeight="1">
      <c r="B17" s="133" t="s">
        <v>1</v>
      </c>
      <c r="C17" s="168"/>
      <c r="D17" s="168">
        <v>482.9</v>
      </c>
      <c r="E17" s="168">
        <v>627.9</v>
      </c>
      <c r="F17" s="168">
        <v>623.6</v>
      </c>
      <c r="G17" s="168">
        <v>845</v>
      </c>
      <c r="H17" s="168">
        <v>558.70000000000005</v>
      </c>
      <c r="I17" s="168">
        <v>313</v>
      </c>
      <c r="J17" s="168">
        <v>231.7</v>
      </c>
      <c r="K17" s="168">
        <v>276</v>
      </c>
      <c r="L17" s="169">
        <v>233</v>
      </c>
      <c r="M17" s="168">
        <v>220</v>
      </c>
      <c r="N17" s="168">
        <v>298</v>
      </c>
      <c r="O17" s="168">
        <v>537</v>
      </c>
      <c r="P17" s="168"/>
      <c r="Q17" s="168">
        <v>333</v>
      </c>
      <c r="R17" s="168">
        <v>340</v>
      </c>
      <c r="S17" s="168">
        <v>614</v>
      </c>
      <c r="T17" s="168">
        <v>674</v>
      </c>
      <c r="U17" s="168">
        <f>SUM(U18:U21)</f>
        <v>691</v>
      </c>
      <c r="V17" s="168">
        <v>850</v>
      </c>
      <c r="W17" s="168">
        <v>904</v>
      </c>
      <c r="X17" s="168">
        <v>683</v>
      </c>
      <c r="Y17" s="170"/>
      <c r="Z17" s="169">
        <v>571</v>
      </c>
      <c r="AA17" s="169">
        <v>678</v>
      </c>
      <c r="AB17" s="169">
        <v>676</v>
      </c>
      <c r="AC17" s="169">
        <v>677</v>
      </c>
      <c r="AD17" s="169">
        <v>677</v>
      </c>
      <c r="AE17" s="169">
        <v>479</v>
      </c>
      <c r="AF17" s="169">
        <v>438</v>
      </c>
      <c r="AG17" s="169">
        <v>673</v>
      </c>
      <c r="AH17" s="170"/>
      <c r="AI17" s="169">
        <v>613</v>
      </c>
      <c r="AJ17" s="169">
        <v>648</v>
      </c>
      <c r="AK17" s="169">
        <v>509</v>
      </c>
      <c r="AL17" s="169">
        <v>555</v>
      </c>
      <c r="AM17" s="169"/>
      <c r="AN17" s="169">
        <v>485</v>
      </c>
      <c r="AO17" s="169">
        <v>326</v>
      </c>
      <c r="AP17" s="169">
        <v>286</v>
      </c>
      <c r="AQ17" s="169">
        <v>226</v>
      </c>
      <c r="AR17" s="169"/>
      <c r="AS17" s="169">
        <v>237</v>
      </c>
      <c r="AT17" s="169">
        <v>195</v>
      </c>
      <c r="AU17" s="169">
        <v>170</v>
      </c>
      <c r="AV17" s="169">
        <v>271</v>
      </c>
      <c r="AW17" s="169">
        <v>216</v>
      </c>
      <c r="AX17" s="169">
        <v>299</v>
      </c>
      <c r="AY17" s="169">
        <v>319</v>
      </c>
      <c r="AZ17" s="169">
        <v>360.09956777000002</v>
      </c>
      <c r="BA17" s="169">
        <v>305</v>
      </c>
      <c r="BB17" s="392">
        <v>424</v>
      </c>
      <c r="BC17" s="169">
        <v>532</v>
      </c>
      <c r="BD17" s="169">
        <f>SUM(BD18:BD21)</f>
        <v>485.93799999999999</v>
      </c>
      <c r="BE17" s="549">
        <f>SUM(BE18:BE21)</f>
        <v>470.76600000000002</v>
      </c>
      <c r="BF17" s="392">
        <f>SUM(BF18:BF21)</f>
        <v>270.334</v>
      </c>
      <c r="BG17" s="392">
        <f>SUM(BG18:BG21)</f>
        <v>358.85</v>
      </c>
      <c r="BH17" s="392">
        <f>'[1]6 - Investimentos'!$BH$17</f>
        <v>548.90899999999999</v>
      </c>
      <c r="BI17" s="549">
        <f>SUM(BI18:BI22)</f>
        <v>435.44200000000006</v>
      </c>
      <c r="BJ17" s="549">
        <v>565.59260394</v>
      </c>
      <c r="BK17" s="552"/>
      <c r="BL17" s="552"/>
      <c r="BM17" s="552"/>
      <c r="BN17" s="552"/>
      <c r="BO17" s="553"/>
      <c r="BP17" s="554"/>
      <c r="BQ17" s="554"/>
      <c r="BR17" s="554"/>
      <c r="BS17" s="554"/>
      <c r="BT17" s="554"/>
      <c r="BU17" s="553"/>
    </row>
    <row r="18" spans="2:73" ht="14.25" customHeight="1">
      <c r="B18" s="131" t="s">
        <v>215</v>
      </c>
      <c r="C18" s="171"/>
      <c r="D18" s="172">
        <v>270.39999999999998</v>
      </c>
      <c r="E18" s="173">
        <v>384.3</v>
      </c>
      <c r="F18" s="172">
        <v>355.2</v>
      </c>
      <c r="G18" s="172">
        <v>451.9</v>
      </c>
      <c r="H18" s="172">
        <v>323.7</v>
      </c>
      <c r="I18" s="172">
        <v>152</v>
      </c>
      <c r="J18" s="172">
        <v>153.69999999999999</v>
      </c>
      <c r="K18" s="172">
        <v>159</v>
      </c>
      <c r="L18" s="173">
        <v>136</v>
      </c>
      <c r="M18" s="172">
        <v>135</v>
      </c>
      <c r="N18" s="172">
        <v>197</v>
      </c>
      <c r="O18" s="172">
        <v>426</v>
      </c>
      <c r="P18" s="172"/>
      <c r="Q18" s="172">
        <v>231</v>
      </c>
      <c r="R18" s="172">
        <v>237</v>
      </c>
      <c r="S18" s="172">
        <v>465</v>
      </c>
      <c r="T18" s="172">
        <v>473</v>
      </c>
      <c r="U18" s="172">
        <f>SUM(432)</f>
        <v>432</v>
      </c>
      <c r="V18" s="172">
        <v>555</v>
      </c>
      <c r="W18" s="172">
        <v>594</v>
      </c>
      <c r="X18" s="172">
        <v>337</v>
      </c>
      <c r="Y18" s="174"/>
      <c r="Z18" s="173">
        <v>332</v>
      </c>
      <c r="AA18" s="173">
        <v>410</v>
      </c>
      <c r="AB18" s="173">
        <v>396</v>
      </c>
      <c r="AC18" s="173">
        <v>391</v>
      </c>
      <c r="AD18" s="173">
        <v>383</v>
      </c>
      <c r="AE18" s="173">
        <v>235</v>
      </c>
      <c r="AF18" s="173">
        <v>130</v>
      </c>
      <c r="AG18" s="173">
        <v>322</v>
      </c>
      <c r="AH18" s="174"/>
      <c r="AI18" s="173">
        <v>282</v>
      </c>
      <c r="AJ18" s="173">
        <v>288</v>
      </c>
      <c r="AK18" s="173">
        <v>278</v>
      </c>
      <c r="AL18" s="173">
        <v>243</v>
      </c>
      <c r="AM18" s="173"/>
      <c r="AN18" s="173">
        <v>196</v>
      </c>
      <c r="AO18" s="173">
        <v>175</v>
      </c>
      <c r="AP18" s="173">
        <v>143</v>
      </c>
      <c r="AQ18" s="173">
        <v>94</v>
      </c>
      <c r="AR18" s="173"/>
      <c r="AS18" s="173">
        <v>108</v>
      </c>
      <c r="AT18" s="173">
        <v>65</v>
      </c>
      <c r="AU18" s="173">
        <v>57</v>
      </c>
      <c r="AV18" s="173">
        <v>119</v>
      </c>
      <c r="AW18" s="173">
        <v>94</v>
      </c>
      <c r="AX18" s="173">
        <v>147</v>
      </c>
      <c r="AY18" s="173">
        <v>136.851</v>
      </c>
      <c r="AZ18" s="173">
        <v>181.559</v>
      </c>
      <c r="BA18" s="173">
        <v>125.05</v>
      </c>
      <c r="BB18" s="393">
        <v>209</v>
      </c>
      <c r="BC18" s="173">
        <v>298</v>
      </c>
      <c r="BD18" s="173">
        <f>224.852</f>
        <v>224.852</v>
      </c>
      <c r="BE18" s="550">
        <v>201.63900000000001</v>
      </c>
      <c r="BF18" s="393">
        <v>122.732</v>
      </c>
      <c r="BG18" s="393">
        <v>160.143</v>
      </c>
      <c r="BH18" s="393">
        <f>'[1]6 - Investimentos'!$BH$18</f>
        <v>292.48599999999999</v>
      </c>
      <c r="BI18" s="550">
        <v>203.84200000000001</v>
      </c>
      <c r="BJ18" s="550">
        <v>296.41751929000003</v>
      </c>
      <c r="BK18" s="555"/>
      <c r="BL18" s="555"/>
      <c r="BM18" s="555"/>
      <c r="BN18" s="555"/>
      <c r="BO18" s="553"/>
      <c r="BP18" s="554"/>
      <c r="BQ18" s="554"/>
      <c r="BR18" s="554"/>
      <c r="BS18" s="554"/>
      <c r="BT18" s="554"/>
      <c r="BU18" s="553"/>
    </row>
    <row r="19" spans="2:73" ht="14.25" customHeight="1">
      <c r="B19" s="133" t="s">
        <v>216</v>
      </c>
      <c r="C19" s="168"/>
      <c r="D19" s="175">
        <v>48.7</v>
      </c>
      <c r="E19" s="175">
        <v>54.6</v>
      </c>
      <c r="F19" s="175">
        <v>90.1</v>
      </c>
      <c r="G19" s="175">
        <v>125.4</v>
      </c>
      <c r="H19" s="175">
        <v>70.8</v>
      </c>
      <c r="I19" s="175">
        <v>42</v>
      </c>
      <c r="J19" s="175">
        <v>19.100000000000001</v>
      </c>
      <c r="K19" s="175">
        <v>31</v>
      </c>
      <c r="L19" s="176">
        <v>18</v>
      </c>
      <c r="M19" s="175">
        <v>12</v>
      </c>
      <c r="N19" s="175">
        <v>33</v>
      </c>
      <c r="O19" s="175">
        <v>24</v>
      </c>
      <c r="P19" s="175"/>
      <c r="Q19" s="175">
        <v>33</v>
      </c>
      <c r="R19" s="175">
        <v>30</v>
      </c>
      <c r="S19" s="175">
        <v>50</v>
      </c>
      <c r="T19" s="175">
        <v>59</v>
      </c>
      <c r="U19" s="175">
        <v>82</v>
      </c>
      <c r="V19" s="175">
        <v>71</v>
      </c>
      <c r="W19" s="175">
        <v>90</v>
      </c>
      <c r="X19" s="175">
        <v>113</v>
      </c>
      <c r="Y19" s="170"/>
      <c r="Z19" s="176">
        <v>101</v>
      </c>
      <c r="AA19" s="176">
        <v>93</v>
      </c>
      <c r="AB19" s="176">
        <v>84</v>
      </c>
      <c r="AC19" s="176">
        <v>107</v>
      </c>
      <c r="AD19" s="176">
        <v>79</v>
      </c>
      <c r="AE19" s="176">
        <v>63</v>
      </c>
      <c r="AF19" s="176">
        <v>70</v>
      </c>
      <c r="AG19" s="176">
        <v>97</v>
      </c>
      <c r="AH19" s="170"/>
      <c r="AI19" s="176">
        <v>78</v>
      </c>
      <c r="AJ19" s="176">
        <v>89</v>
      </c>
      <c r="AK19" s="176">
        <v>72</v>
      </c>
      <c r="AL19" s="176">
        <v>108</v>
      </c>
      <c r="AM19" s="176"/>
      <c r="AN19" s="176">
        <v>62</v>
      </c>
      <c r="AO19" s="176">
        <v>44</v>
      </c>
      <c r="AP19" s="176">
        <v>56</v>
      </c>
      <c r="AQ19" s="176">
        <v>46</v>
      </c>
      <c r="AR19" s="176"/>
      <c r="AS19" s="176">
        <v>70</v>
      </c>
      <c r="AT19" s="176">
        <v>67</v>
      </c>
      <c r="AU19" s="176">
        <v>70</v>
      </c>
      <c r="AV19" s="176">
        <v>84</v>
      </c>
      <c r="AW19" s="176">
        <v>79.400000000000006</v>
      </c>
      <c r="AX19" s="176">
        <v>107</v>
      </c>
      <c r="AY19" s="176">
        <v>103.35600000000001</v>
      </c>
      <c r="AZ19" s="176">
        <v>98</v>
      </c>
      <c r="BA19" s="176">
        <v>94.55</v>
      </c>
      <c r="BB19" s="394">
        <v>114.48</v>
      </c>
      <c r="BC19" s="176">
        <v>101</v>
      </c>
      <c r="BD19" s="176">
        <f>98.511</f>
        <v>98.510999999999996</v>
      </c>
      <c r="BE19" s="551">
        <v>156.47200000000001</v>
      </c>
      <c r="BF19" s="394">
        <f>84.227</f>
        <v>84.227000000000004</v>
      </c>
      <c r="BG19" s="394">
        <v>75.072999999999993</v>
      </c>
      <c r="BH19" s="394">
        <f>'[1]6 - Investimentos'!$BH$19</f>
        <v>161.14099999999999</v>
      </c>
      <c r="BI19" s="551">
        <v>122.361</v>
      </c>
      <c r="BJ19" s="551">
        <v>118.18600000000001</v>
      </c>
      <c r="BK19" s="555"/>
      <c r="BL19" s="555"/>
      <c r="BM19" s="555"/>
      <c r="BN19" s="555"/>
      <c r="BO19" s="553"/>
      <c r="BP19" s="554"/>
      <c r="BQ19" s="554"/>
      <c r="BR19" s="554"/>
      <c r="BS19" s="554"/>
      <c r="BT19" s="554"/>
      <c r="BU19" s="553"/>
    </row>
    <row r="20" spans="2:73" ht="14.25" customHeight="1">
      <c r="B20" s="131" t="s">
        <v>217</v>
      </c>
      <c r="C20" s="171"/>
      <c r="D20" s="172">
        <v>108</v>
      </c>
      <c r="E20" s="172">
        <v>87</v>
      </c>
      <c r="F20" s="172">
        <v>75</v>
      </c>
      <c r="G20" s="172">
        <v>92</v>
      </c>
      <c r="H20" s="172">
        <v>114.3</v>
      </c>
      <c r="I20" s="172">
        <v>108</v>
      </c>
      <c r="J20" s="172">
        <v>52.2</v>
      </c>
      <c r="K20" s="172">
        <v>77</v>
      </c>
      <c r="L20" s="173">
        <v>54</v>
      </c>
      <c r="M20" s="172">
        <v>61</v>
      </c>
      <c r="N20" s="172">
        <v>44</v>
      </c>
      <c r="O20" s="172">
        <v>50</v>
      </c>
      <c r="P20" s="172"/>
      <c r="Q20" s="172">
        <v>34</v>
      </c>
      <c r="R20" s="172">
        <v>50</v>
      </c>
      <c r="S20" s="172">
        <v>37</v>
      </c>
      <c r="T20" s="172">
        <v>51</v>
      </c>
      <c r="U20" s="172">
        <v>39</v>
      </c>
      <c r="V20" s="172">
        <v>43</v>
      </c>
      <c r="W20" s="172">
        <v>58</v>
      </c>
      <c r="X20" s="172">
        <v>58</v>
      </c>
      <c r="Y20" s="174"/>
      <c r="Z20" s="173">
        <v>39</v>
      </c>
      <c r="AA20" s="173">
        <v>49</v>
      </c>
      <c r="AB20" s="173">
        <v>50</v>
      </c>
      <c r="AC20" s="173">
        <v>36</v>
      </c>
      <c r="AD20" s="173">
        <v>78</v>
      </c>
      <c r="AE20" s="173">
        <v>57</v>
      </c>
      <c r="AF20" s="173">
        <v>72</v>
      </c>
      <c r="AG20" s="173">
        <v>113</v>
      </c>
      <c r="AH20" s="174"/>
      <c r="AI20" s="173">
        <v>108</v>
      </c>
      <c r="AJ20" s="173">
        <v>173</v>
      </c>
      <c r="AK20" s="173">
        <v>56</v>
      </c>
      <c r="AL20" s="173">
        <v>106</v>
      </c>
      <c r="AM20" s="173"/>
      <c r="AN20" s="173">
        <v>146</v>
      </c>
      <c r="AO20" s="173">
        <v>72</v>
      </c>
      <c r="AP20" s="173">
        <v>68</v>
      </c>
      <c r="AQ20" s="173">
        <v>61</v>
      </c>
      <c r="AR20" s="173"/>
      <c r="AS20" s="173">
        <v>38</v>
      </c>
      <c r="AT20" s="173">
        <v>36</v>
      </c>
      <c r="AU20" s="173">
        <v>21</v>
      </c>
      <c r="AV20" s="173">
        <v>28</v>
      </c>
      <c r="AW20" s="173">
        <v>10</v>
      </c>
      <c r="AX20" s="173">
        <v>11</v>
      </c>
      <c r="AY20" s="173">
        <v>15.312000000000001</v>
      </c>
      <c r="AZ20" s="173">
        <v>17.718</v>
      </c>
      <c r="BA20" s="173">
        <v>12</v>
      </c>
      <c r="BB20" s="393">
        <v>14</v>
      </c>
      <c r="BC20" s="173">
        <v>16</v>
      </c>
      <c r="BD20" s="173">
        <v>20.704999999999998</v>
      </c>
      <c r="BE20" s="550">
        <v>18.297000000000001</v>
      </c>
      <c r="BF20" s="393">
        <f>14.282</f>
        <v>14.282</v>
      </c>
      <c r="BG20" s="393">
        <v>14.519</v>
      </c>
      <c r="BH20" s="393">
        <f>'[1]6 - Investimentos'!$BH$20</f>
        <v>23.135000000000002</v>
      </c>
      <c r="BI20" s="550">
        <v>18.672000000000001</v>
      </c>
      <c r="BJ20" s="550">
        <v>24.672000000000001</v>
      </c>
      <c r="BK20" s="555"/>
      <c r="BL20" s="555"/>
      <c r="BM20" s="555"/>
      <c r="BN20" s="555"/>
      <c r="BO20" s="553"/>
      <c r="BP20" s="554"/>
      <c r="BQ20" s="554"/>
      <c r="BR20" s="554"/>
      <c r="BS20" s="554"/>
      <c r="BT20" s="554"/>
      <c r="BU20" s="553"/>
    </row>
    <row r="21" spans="2:73" ht="14.25" customHeight="1">
      <c r="B21" s="133" t="s">
        <v>218</v>
      </c>
      <c r="C21" s="168"/>
      <c r="D21" s="175">
        <v>55.8</v>
      </c>
      <c r="E21" s="175">
        <v>101.9</v>
      </c>
      <c r="F21" s="175">
        <v>104</v>
      </c>
      <c r="G21" s="175">
        <v>175.8</v>
      </c>
      <c r="H21" s="175">
        <v>49.8</v>
      </c>
      <c r="I21" s="175">
        <v>11</v>
      </c>
      <c r="J21" s="175">
        <v>6.7</v>
      </c>
      <c r="K21" s="175">
        <v>9</v>
      </c>
      <c r="L21" s="176">
        <v>25</v>
      </c>
      <c r="M21" s="175">
        <v>12</v>
      </c>
      <c r="N21" s="175">
        <v>24</v>
      </c>
      <c r="O21" s="175">
        <v>37</v>
      </c>
      <c r="P21" s="175"/>
      <c r="Q21" s="175">
        <v>36</v>
      </c>
      <c r="R21" s="175">
        <v>23</v>
      </c>
      <c r="S21" s="175">
        <v>62</v>
      </c>
      <c r="T21" s="175">
        <v>91</v>
      </c>
      <c r="U21" s="175">
        <v>138</v>
      </c>
      <c r="V21" s="175">
        <v>181</v>
      </c>
      <c r="W21" s="175">
        <v>162</v>
      </c>
      <c r="X21" s="175">
        <v>175</v>
      </c>
      <c r="Y21" s="170"/>
      <c r="Z21" s="176">
        <v>99</v>
      </c>
      <c r="AA21" s="176">
        <v>126</v>
      </c>
      <c r="AB21" s="176">
        <v>146</v>
      </c>
      <c r="AC21" s="176">
        <v>143</v>
      </c>
      <c r="AD21" s="176">
        <v>137</v>
      </c>
      <c r="AE21" s="176">
        <v>124</v>
      </c>
      <c r="AF21" s="176">
        <v>166</v>
      </c>
      <c r="AG21" s="176">
        <v>141</v>
      </c>
      <c r="AH21" s="170"/>
      <c r="AI21" s="176">
        <v>144</v>
      </c>
      <c r="AJ21" s="176">
        <v>98</v>
      </c>
      <c r="AK21" s="176">
        <v>103</v>
      </c>
      <c r="AL21" s="176">
        <v>98</v>
      </c>
      <c r="AM21" s="176"/>
      <c r="AN21" s="176">
        <v>81</v>
      </c>
      <c r="AO21" s="176">
        <v>35</v>
      </c>
      <c r="AP21" s="176">
        <v>19</v>
      </c>
      <c r="AQ21" s="176">
        <v>25</v>
      </c>
      <c r="AR21" s="176"/>
      <c r="AS21" s="176">
        <v>21</v>
      </c>
      <c r="AT21" s="176">
        <v>27</v>
      </c>
      <c r="AU21" s="176">
        <v>22</v>
      </c>
      <c r="AV21" s="176">
        <v>40</v>
      </c>
      <c r="AW21" s="176">
        <v>33.299999999999997</v>
      </c>
      <c r="AX21" s="176">
        <v>34</v>
      </c>
      <c r="AY21" s="176">
        <v>63.480999999999995</v>
      </c>
      <c r="AZ21" s="176">
        <v>63</v>
      </c>
      <c r="BA21" s="176">
        <v>73</v>
      </c>
      <c r="BB21" s="394">
        <v>87</v>
      </c>
      <c r="BC21" s="176">
        <v>117</v>
      </c>
      <c r="BD21" s="176">
        <v>141.87</v>
      </c>
      <c r="BE21" s="551">
        <v>94.358000000000004</v>
      </c>
      <c r="BF21" s="394">
        <f>49.093</f>
        <v>49.093000000000004</v>
      </c>
      <c r="BG21" s="394">
        <v>109.11499999999999</v>
      </c>
      <c r="BH21" s="394">
        <f>'[1]6 - Investimentos'!$BH$21</f>
        <v>72.147000000000006</v>
      </c>
      <c r="BI21" s="551">
        <v>73.566999999999993</v>
      </c>
      <c r="BJ21" s="551">
        <v>120.96194550999999</v>
      </c>
      <c r="BK21" s="555"/>
      <c r="BL21" s="555"/>
      <c r="BM21" s="555"/>
      <c r="BN21" s="555"/>
      <c r="BO21" s="553"/>
      <c r="BP21" s="554"/>
      <c r="BQ21" s="554"/>
      <c r="BR21" s="554"/>
      <c r="BS21" s="554"/>
      <c r="BT21" s="554"/>
      <c r="BU21" s="553"/>
    </row>
    <row r="22" spans="2:73" ht="14.25" customHeight="1">
      <c r="B22" s="131" t="s">
        <v>374</v>
      </c>
      <c r="C22" s="171"/>
      <c r="D22" s="172"/>
      <c r="E22" s="172"/>
      <c r="F22" s="172"/>
      <c r="G22" s="172"/>
      <c r="H22" s="172"/>
      <c r="I22" s="172"/>
      <c r="J22" s="172"/>
      <c r="K22" s="172"/>
      <c r="L22" s="173"/>
      <c r="M22" s="172"/>
      <c r="N22" s="172"/>
      <c r="O22" s="172"/>
      <c r="P22" s="172"/>
      <c r="Q22" s="172"/>
      <c r="R22" s="172"/>
      <c r="S22" s="172"/>
      <c r="T22" s="172"/>
      <c r="U22" s="172"/>
      <c r="V22" s="172"/>
      <c r="W22" s="172"/>
      <c r="X22" s="172"/>
      <c r="Y22" s="174"/>
      <c r="Z22" s="173"/>
      <c r="AA22" s="173"/>
      <c r="AB22" s="173"/>
      <c r="AC22" s="173"/>
      <c r="AD22" s="173"/>
      <c r="AE22" s="173"/>
      <c r="AF22" s="173"/>
      <c r="AG22" s="173"/>
      <c r="AH22" s="174"/>
      <c r="AI22" s="173"/>
      <c r="AJ22" s="173"/>
      <c r="AK22" s="173"/>
      <c r="AL22" s="173"/>
      <c r="AM22" s="173"/>
      <c r="AN22" s="173"/>
      <c r="AO22" s="173"/>
      <c r="AP22" s="173"/>
      <c r="AQ22" s="173"/>
      <c r="AR22" s="173"/>
      <c r="AS22" s="173"/>
      <c r="AT22" s="173"/>
      <c r="AU22" s="173"/>
      <c r="AV22" s="173"/>
      <c r="AW22" s="173"/>
      <c r="AX22" s="173"/>
      <c r="AY22" s="173"/>
      <c r="AZ22" s="173"/>
      <c r="BA22" s="173"/>
      <c r="BB22" s="393"/>
      <c r="BC22" s="173"/>
      <c r="BD22" s="173"/>
      <c r="BE22" s="550"/>
      <c r="BF22" s="393"/>
      <c r="BG22" s="393"/>
      <c r="BH22" s="393"/>
      <c r="BI22" s="550">
        <v>17</v>
      </c>
      <c r="BJ22" s="550">
        <v>5.3551391399999995</v>
      </c>
      <c r="BK22" s="555"/>
      <c r="BL22" s="555"/>
      <c r="BM22" s="555"/>
      <c r="BN22" s="555"/>
      <c r="BO22" s="553"/>
      <c r="BP22" s="554"/>
      <c r="BQ22" s="554"/>
      <c r="BR22" s="554"/>
      <c r="BS22" s="554"/>
      <c r="BT22" s="554"/>
      <c r="BU22" s="553"/>
    </row>
    <row r="23" spans="2:73" ht="17.5">
      <c r="B23" s="19"/>
      <c r="C23" s="18"/>
      <c r="D23" s="17"/>
      <c r="E23" s="17"/>
      <c r="F23" s="17"/>
      <c r="G23" s="10"/>
      <c r="AF23" s="2"/>
      <c r="AG23" s="2"/>
      <c r="AI23" s="2"/>
      <c r="AJ23" s="2"/>
      <c r="AK23" s="2"/>
    </row>
    <row r="24" spans="2:73" ht="14.25" customHeight="1">
      <c r="B24" s="626"/>
      <c r="C24" s="626"/>
      <c r="D24" s="626"/>
      <c r="E24" s="626"/>
      <c r="F24" s="626"/>
      <c r="G24" s="626"/>
      <c r="H24" s="626"/>
      <c r="I24" s="626"/>
      <c r="J24" s="626"/>
      <c r="AF24" s="2"/>
      <c r="AG24" s="2"/>
      <c r="AI24" s="2"/>
      <c r="AJ24" s="2"/>
      <c r="AK24" s="2"/>
    </row>
    <row r="25" spans="2:73" ht="14.25" customHeight="1">
      <c r="B25" s="626"/>
      <c r="C25" s="626"/>
      <c r="D25" s="626"/>
      <c r="E25" s="626"/>
      <c r="F25" s="626"/>
      <c r="G25" s="626"/>
      <c r="H25" s="626"/>
      <c r="I25" s="626"/>
      <c r="J25" s="626"/>
      <c r="AF25" s="2"/>
      <c r="AG25" s="2"/>
      <c r="AI25" s="2"/>
      <c r="AJ25" s="2"/>
      <c r="AK25" s="2"/>
    </row>
    <row r="26" spans="2:73" ht="14.25" customHeight="1">
      <c r="B26" s="15"/>
      <c r="C26" s="9"/>
      <c r="D26" s="9"/>
      <c r="E26" s="9"/>
      <c r="F26" s="12"/>
      <c r="G26" s="12"/>
      <c r="H26" s="7"/>
      <c r="I26" s="7"/>
      <c r="AF26" s="2"/>
      <c r="AG26" s="2"/>
      <c r="AI26" s="2"/>
      <c r="AJ26" s="2"/>
      <c r="AK26" s="2"/>
    </row>
    <row r="27" spans="2:73" ht="14.25" customHeight="1">
      <c r="B27" s="11"/>
      <c r="C27" s="12"/>
      <c r="D27" s="9"/>
      <c r="E27" s="13"/>
      <c r="F27" s="9"/>
      <c r="G27" s="9"/>
      <c r="H27" s="9"/>
      <c r="I27" s="9"/>
      <c r="AF27" s="2"/>
      <c r="AG27" s="2"/>
      <c r="AI27" s="2"/>
      <c r="AJ27" s="2"/>
      <c r="AK27" s="2"/>
    </row>
  </sheetData>
  <mergeCells count="3">
    <mergeCell ref="B5:C5"/>
    <mergeCell ref="B24:J25"/>
    <mergeCell ref="B15:C15"/>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ignoredErrors>
    <ignoredError sqref="BH17"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6:BH48"/>
  <sheetViews>
    <sheetView showGridLines="0" zoomScaleNormal="100" workbookViewId="0">
      <pane xSplit="3" ySplit="5" topLeftCell="BD6" activePane="bottomRight" state="frozen"/>
      <selection pane="topRight" activeCell="D1" sqref="D1"/>
      <selection pane="bottomLeft" activeCell="A6" sqref="A6"/>
      <selection pane="bottomRight" activeCell="BG36" sqref="BG36"/>
    </sheetView>
  </sheetViews>
  <sheetFormatPr defaultColWidth="9.1796875" defaultRowHeight="13.5"/>
  <cols>
    <col min="1" max="1" width="1.54296875" style="14" customWidth="1"/>
    <col min="2" max="2" width="24" style="14" bestFit="1" customWidth="1"/>
    <col min="3" max="3" width="25.54296875" style="14" customWidth="1"/>
    <col min="4" max="19" width="11.54296875" style="14" hidden="1" customWidth="1"/>
    <col min="20" max="21" width="11.453125" style="14" hidden="1" customWidth="1"/>
    <col min="22" max="23" width="10.453125" style="14" hidden="1" customWidth="1"/>
    <col min="24" max="27" width="10.81640625" style="14" hidden="1" customWidth="1"/>
    <col min="28" max="28" width="4.453125" style="14" hidden="1" customWidth="1"/>
    <col min="29" max="30" width="10.81640625" style="14" hidden="1" customWidth="1"/>
    <col min="31" max="36" width="11.453125" style="14" hidden="1" customWidth="1"/>
    <col min="37" max="37" width="3.81640625" style="14" hidden="1" customWidth="1"/>
    <col min="38" max="38" width="10.54296875" style="14" hidden="1" customWidth="1"/>
    <col min="39" max="39" width="12" style="14" hidden="1" customWidth="1"/>
    <col min="40" max="40" width="11.81640625" style="14" hidden="1" customWidth="1"/>
    <col min="41" max="41" width="0" style="14" hidden="1" customWidth="1"/>
    <col min="42" max="42" width="4" style="14" hidden="1" customWidth="1"/>
    <col min="43" max="43" width="11.453125" style="14" hidden="1" customWidth="1"/>
    <col min="44" max="46" width="10.453125" style="14" hidden="1" customWidth="1"/>
    <col min="47" max="55" width="0" style="14" hidden="1" customWidth="1"/>
    <col min="56" max="16384" width="9.1796875" style="14"/>
  </cols>
  <sheetData>
    <row r="6" spans="1:60" s="177" customFormat="1" ht="14.5" thickBot="1">
      <c r="B6" s="627" t="s">
        <v>100</v>
      </c>
      <c r="C6" s="627"/>
      <c r="D6" s="129" t="s">
        <v>20</v>
      </c>
      <c r="E6" s="129" t="s">
        <v>21</v>
      </c>
      <c r="F6" s="129" t="s">
        <v>22</v>
      </c>
      <c r="G6" s="129" t="s">
        <v>6</v>
      </c>
      <c r="H6" s="129" t="s">
        <v>23</v>
      </c>
      <c r="I6" s="129" t="s">
        <v>24</v>
      </c>
      <c r="J6" s="129" t="s">
        <v>91</v>
      </c>
      <c r="K6" s="129" t="s">
        <v>102</v>
      </c>
      <c r="L6" s="129" t="s">
        <v>103</v>
      </c>
      <c r="M6" s="129" t="s">
        <v>105</v>
      </c>
      <c r="N6" s="129" t="s">
        <v>106</v>
      </c>
      <c r="O6" s="129" t="s">
        <v>112</v>
      </c>
      <c r="P6" s="129" t="s">
        <v>113</v>
      </c>
      <c r="Q6" s="129" t="s">
        <v>114</v>
      </c>
      <c r="R6" s="129" t="s">
        <v>118</v>
      </c>
      <c r="S6" s="129" t="s">
        <v>119</v>
      </c>
      <c r="T6" s="129" t="s">
        <v>120</v>
      </c>
      <c r="U6" s="129" t="s">
        <v>124</v>
      </c>
      <c r="V6" s="129" t="s">
        <v>127</v>
      </c>
      <c r="W6" s="129" t="s">
        <v>129</v>
      </c>
      <c r="X6" s="129" t="s">
        <v>130</v>
      </c>
      <c r="Y6" s="129" t="s">
        <v>132</v>
      </c>
      <c r="Z6" s="129" t="s">
        <v>137</v>
      </c>
      <c r="AA6" s="129" t="s">
        <v>138</v>
      </c>
      <c r="AB6" s="178"/>
      <c r="AC6" s="129" t="s">
        <v>139</v>
      </c>
      <c r="AD6" s="129" t="s">
        <v>142</v>
      </c>
      <c r="AE6" s="129" t="s">
        <v>148</v>
      </c>
      <c r="AF6" s="129" t="s">
        <v>151</v>
      </c>
      <c r="AG6" s="129" t="s">
        <v>156</v>
      </c>
      <c r="AH6" s="129" t="s">
        <v>157</v>
      </c>
      <c r="AI6" s="129" t="s">
        <v>161</v>
      </c>
      <c r="AJ6" s="129" t="s">
        <v>166</v>
      </c>
      <c r="AK6" s="130"/>
      <c r="AL6" s="129" t="s">
        <v>180</v>
      </c>
      <c r="AM6" s="129" t="s">
        <v>181</v>
      </c>
      <c r="AN6" s="129" t="s">
        <v>192</v>
      </c>
      <c r="AO6" s="129" t="s">
        <v>195</v>
      </c>
      <c r="AP6" s="130"/>
      <c r="AQ6" s="129" t="s">
        <v>198</v>
      </c>
      <c r="AR6" s="129" t="s">
        <v>202</v>
      </c>
      <c r="AS6" s="129" t="s">
        <v>203</v>
      </c>
      <c r="AT6" s="129" t="s">
        <v>204</v>
      </c>
      <c r="AU6" s="129" t="s">
        <v>205</v>
      </c>
      <c r="AV6" s="129" t="s">
        <v>206</v>
      </c>
      <c r="AW6" s="129" t="s">
        <v>207</v>
      </c>
      <c r="AX6" s="129" t="s">
        <v>212</v>
      </c>
      <c r="AY6" s="129" t="s">
        <v>228</v>
      </c>
      <c r="AZ6" s="129" t="s">
        <v>247</v>
      </c>
      <c r="BA6" s="129" t="s">
        <v>249</v>
      </c>
      <c r="BB6" s="129" t="s">
        <v>254</v>
      </c>
      <c r="BC6" s="129" t="s">
        <v>258</v>
      </c>
      <c r="BD6" s="129" t="s">
        <v>260</v>
      </c>
      <c r="BE6" s="129" t="s">
        <v>338</v>
      </c>
      <c r="BF6" s="129" t="s">
        <v>366</v>
      </c>
      <c r="BG6" s="129" t="s">
        <v>373</v>
      </c>
      <c r="BH6" s="129" t="s">
        <v>378</v>
      </c>
    </row>
    <row r="7" spans="1:60" ht="14.5" thickTop="1">
      <c r="B7" s="100"/>
      <c r="C7" s="100"/>
      <c r="D7" s="158"/>
      <c r="E7" s="158"/>
      <c r="F7" s="158"/>
      <c r="G7" s="158"/>
      <c r="H7" s="158"/>
      <c r="I7" s="158"/>
      <c r="J7" s="158"/>
      <c r="K7" s="158"/>
      <c r="L7" s="158"/>
      <c r="M7" s="158"/>
      <c r="N7" s="158"/>
      <c r="O7" s="158"/>
      <c r="P7" s="158"/>
      <c r="Q7" s="158"/>
      <c r="R7" s="158"/>
      <c r="S7" s="158"/>
      <c r="T7" s="158"/>
      <c r="U7" s="158"/>
      <c r="V7" s="158"/>
      <c r="W7" s="158"/>
      <c r="X7" s="158"/>
      <c r="Y7" s="158"/>
      <c r="Z7" s="158"/>
      <c r="AA7" s="158"/>
      <c r="AB7" s="195"/>
      <c r="AC7" s="158"/>
      <c r="AD7" s="158"/>
      <c r="AE7" s="158"/>
      <c r="AF7" s="158"/>
      <c r="AG7" s="158"/>
      <c r="AH7" s="158"/>
      <c r="AI7" s="158"/>
      <c r="AJ7" s="158"/>
      <c r="AK7" s="195"/>
      <c r="AL7" s="158"/>
      <c r="AM7" s="158"/>
      <c r="AN7" s="158"/>
      <c r="AO7" s="158"/>
      <c r="AP7" s="195"/>
      <c r="AQ7" s="158"/>
      <c r="AR7" s="158"/>
      <c r="AS7" s="158"/>
      <c r="AT7" s="158"/>
      <c r="AU7" s="158"/>
      <c r="AV7" s="158"/>
      <c r="AW7" s="158"/>
      <c r="AX7" s="158"/>
      <c r="AY7" s="158"/>
      <c r="AZ7" s="158"/>
      <c r="BA7" s="158"/>
      <c r="BB7" s="158"/>
      <c r="BC7" s="158"/>
      <c r="BD7" s="158"/>
      <c r="BE7" s="158"/>
      <c r="BF7" s="158"/>
      <c r="BG7" s="158"/>
      <c r="BH7" s="158"/>
    </row>
    <row r="8" spans="1:60" s="16" customFormat="1" ht="14.25" customHeight="1">
      <c r="B8" s="179" t="s">
        <v>35</v>
      </c>
      <c r="C8" s="180"/>
      <c r="D8" s="180">
        <v>2142</v>
      </c>
      <c r="E8" s="180">
        <v>3143</v>
      </c>
      <c r="F8" s="180">
        <v>3244</v>
      </c>
      <c r="G8" s="180">
        <v>3933</v>
      </c>
      <c r="H8" s="180">
        <v>3449</v>
      </c>
      <c r="I8" s="180">
        <v>2826</v>
      </c>
      <c r="J8" s="180">
        <v>2126</v>
      </c>
      <c r="K8" s="180">
        <v>1357</v>
      </c>
      <c r="L8" s="180">
        <v>1352</v>
      </c>
      <c r="M8" s="180">
        <v>1483</v>
      </c>
      <c r="N8" s="180">
        <v>2482</v>
      </c>
      <c r="O8" s="180">
        <v>1693</v>
      </c>
      <c r="P8" s="180">
        <v>1729</v>
      </c>
      <c r="Q8" s="180">
        <v>1289</v>
      </c>
      <c r="R8" s="180">
        <v>1611</v>
      </c>
      <c r="S8" s="180">
        <v>1757</v>
      </c>
      <c r="T8" s="180">
        <v>1928</v>
      </c>
      <c r="U8" s="180">
        <v>2971</v>
      </c>
      <c r="V8" s="180">
        <v>3093</v>
      </c>
      <c r="W8" s="180">
        <v>2583</v>
      </c>
      <c r="X8" s="180">
        <v>3333</v>
      </c>
      <c r="Y8" s="180">
        <v>1770</v>
      </c>
      <c r="Z8" s="180">
        <v>1769</v>
      </c>
      <c r="AA8" s="180">
        <v>1838</v>
      </c>
      <c r="AB8" s="181"/>
      <c r="AC8" s="180">
        <v>1756</v>
      </c>
      <c r="AD8" s="180">
        <v>1299</v>
      </c>
      <c r="AE8" s="180">
        <v>1949</v>
      </c>
      <c r="AF8" s="180">
        <v>2038</v>
      </c>
      <c r="AG8" s="180">
        <v>2366</v>
      </c>
      <c r="AH8" s="180">
        <v>2584</v>
      </c>
      <c r="AI8" s="180">
        <v>2132</v>
      </c>
      <c r="AJ8" s="180">
        <v>2387</v>
      </c>
      <c r="AK8" s="180"/>
      <c r="AL8" s="180">
        <v>2464</v>
      </c>
      <c r="AM8" s="180">
        <v>1959</v>
      </c>
      <c r="AN8" s="180">
        <v>2196</v>
      </c>
      <c r="AO8" s="180">
        <v>4458</v>
      </c>
      <c r="AP8" s="180"/>
      <c r="AQ8" s="180">
        <v>4185</v>
      </c>
      <c r="AR8" s="180">
        <v>4186</v>
      </c>
      <c r="AS8" s="180">
        <v>4480</v>
      </c>
      <c r="AT8" s="180">
        <v>2004</v>
      </c>
      <c r="AU8" s="180">
        <v>2180</v>
      </c>
      <c r="AV8" s="180">
        <v>2317</v>
      </c>
      <c r="AW8" s="180">
        <v>2178</v>
      </c>
      <c r="AX8" s="180">
        <v>1825</v>
      </c>
      <c r="AY8" s="180">
        <v>2939</v>
      </c>
      <c r="AZ8" s="395">
        <v>1874</v>
      </c>
      <c r="BA8" s="180">
        <v>2262</v>
      </c>
      <c r="BB8" s="180">
        <v>1562</v>
      </c>
      <c r="BC8" s="180">
        <v>3659.1550000000002</v>
      </c>
      <c r="BD8" s="180">
        <f>'[2]7 - Dívida'!$BD$8</f>
        <v>3867</v>
      </c>
      <c r="BE8" s="180">
        <v>2173</v>
      </c>
      <c r="BF8" s="180">
        <f>'[1]7 - Dívida'!$BF$8</f>
        <v>1432</v>
      </c>
      <c r="BG8" s="180">
        <v>452</v>
      </c>
      <c r="BH8" s="180">
        <v>261.101</v>
      </c>
    </row>
    <row r="9" spans="1:60" s="32" customFormat="1" ht="14.25" hidden="1" customHeight="1">
      <c r="A9" s="14"/>
      <c r="B9" s="196" t="s">
        <v>36</v>
      </c>
      <c r="C9" s="197"/>
      <c r="D9" s="198">
        <v>733</v>
      </c>
      <c r="E9" s="198">
        <v>796</v>
      </c>
      <c r="F9" s="198">
        <v>879</v>
      </c>
      <c r="G9" s="198">
        <v>891</v>
      </c>
      <c r="H9" s="198">
        <v>976</v>
      </c>
      <c r="I9" s="198">
        <v>1048</v>
      </c>
      <c r="J9" s="198">
        <v>1032</v>
      </c>
      <c r="K9" s="198">
        <v>843</v>
      </c>
      <c r="L9" s="198">
        <v>800</v>
      </c>
      <c r="M9" s="198">
        <v>854</v>
      </c>
      <c r="N9" s="198">
        <v>797</v>
      </c>
      <c r="O9" s="198">
        <v>703</v>
      </c>
      <c r="P9" s="198">
        <v>706</v>
      </c>
      <c r="Q9" s="198">
        <v>554</v>
      </c>
      <c r="R9" s="198">
        <v>576</v>
      </c>
      <c r="S9" s="199">
        <v>821</v>
      </c>
      <c r="T9" s="199">
        <v>808</v>
      </c>
      <c r="U9" s="199">
        <v>1003</v>
      </c>
      <c r="V9" s="199">
        <v>1023</v>
      </c>
      <c r="W9" s="199">
        <v>652</v>
      </c>
      <c r="X9" s="199">
        <v>552</v>
      </c>
      <c r="Y9" s="199">
        <v>382</v>
      </c>
      <c r="Z9" s="199">
        <v>435</v>
      </c>
      <c r="AA9" s="199">
        <v>492</v>
      </c>
      <c r="AB9" s="200"/>
      <c r="AC9" s="199">
        <v>539</v>
      </c>
      <c r="AD9" s="199">
        <v>109</v>
      </c>
      <c r="AE9" s="199">
        <v>35</v>
      </c>
      <c r="AF9" s="199">
        <v>79</v>
      </c>
      <c r="AG9" s="199">
        <v>712</v>
      </c>
      <c r="AH9" s="199"/>
      <c r="AI9" s="199"/>
      <c r="AJ9" s="199"/>
      <c r="AK9" s="200"/>
      <c r="AL9" s="199"/>
      <c r="AM9" s="199"/>
      <c r="AN9" s="201"/>
      <c r="AO9" s="199"/>
      <c r="AP9" s="200"/>
      <c r="AQ9" s="199"/>
      <c r="AR9" s="199"/>
      <c r="AS9" s="199"/>
      <c r="AT9" s="199"/>
      <c r="AU9" s="199"/>
      <c r="AV9" s="199"/>
      <c r="AW9" s="199"/>
      <c r="AX9" s="199"/>
      <c r="AY9" s="199"/>
      <c r="AZ9" s="199"/>
      <c r="BA9" s="199"/>
      <c r="BB9" s="199"/>
      <c r="BC9" s="199"/>
      <c r="BD9" s="199"/>
      <c r="BE9" s="199"/>
      <c r="BF9" s="199"/>
      <c r="BG9" s="199"/>
      <c r="BH9" s="199"/>
    </row>
    <row r="10" spans="1:60" s="32" customFormat="1" ht="14.25" hidden="1" customHeight="1">
      <c r="A10" s="14"/>
      <c r="B10" s="196" t="s">
        <v>37</v>
      </c>
      <c r="C10" s="197"/>
      <c r="D10" s="198">
        <v>644</v>
      </c>
      <c r="E10" s="198">
        <v>618</v>
      </c>
      <c r="F10" s="198">
        <v>757</v>
      </c>
      <c r="G10" s="198">
        <v>1103</v>
      </c>
      <c r="H10" s="198">
        <v>1071</v>
      </c>
      <c r="I10" s="198">
        <v>677</v>
      </c>
      <c r="J10" s="198">
        <v>353</v>
      </c>
      <c r="K10" s="198">
        <v>197</v>
      </c>
      <c r="L10" s="198">
        <v>244</v>
      </c>
      <c r="M10" s="198">
        <v>183</v>
      </c>
      <c r="N10" s="198">
        <v>1196</v>
      </c>
      <c r="O10" s="198">
        <v>169</v>
      </c>
      <c r="P10" s="198">
        <v>200</v>
      </c>
      <c r="Q10" s="198">
        <v>179</v>
      </c>
      <c r="R10" s="198">
        <v>257</v>
      </c>
      <c r="S10" s="199">
        <v>243</v>
      </c>
      <c r="T10" s="199">
        <v>280</v>
      </c>
      <c r="U10" s="199">
        <v>333</v>
      </c>
      <c r="V10" s="199">
        <v>485</v>
      </c>
      <c r="W10" s="199">
        <v>469</v>
      </c>
      <c r="X10" s="199">
        <v>774</v>
      </c>
      <c r="Y10" s="199">
        <v>295</v>
      </c>
      <c r="Z10" s="199">
        <v>272</v>
      </c>
      <c r="AA10" s="199">
        <v>262</v>
      </c>
      <c r="AB10" s="200"/>
      <c r="AC10" s="199">
        <v>290</v>
      </c>
      <c r="AD10" s="199">
        <v>298</v>
      </c>
      <c r="AE10" s="199">
        <v>281</v>
      </c>
      <c r="AF10" s="199">
        <v>304</v>
      </c>
      <c r="AG10" s="199">
        <v>129</v>
      </c>
      <c r="AH10" s="199"/>
      <c r="AI10" s="199"/>
      <c r="AJ10" s="199"/>
      <c r="AK10" s="200"/>
      <c r="AL10" s="199"/>
      <c r="AM10" s="199"/>
      <c r="AN10" s="201"/>
      <c r="AO10" s="199"/>
      <c r="AP10" s="200"/>
      <c r="AQ10" s="199"/>
      <c r="AR10" s="199"/>
      <c r="AS10" s="199"/>
      <c r="AT10" s="199"/>
      <c r="AU10" s="199"/>
      <c r="AV10" s="199"/>
      <c r="AW10" s="199"/>
      <c r="AX10" s="199"/>
      <c r="AY10" s="199"/>
      <c r="AZ10" s="199"/>
      <c r="BA10" s="199"/>
      <c r="BB10" s="199"/>
      <c r="BC10" s="199"/>
      <c r="BD10" s="199"/>
      <c r="BE10" s="199"/>
      <c r="BF10" s="199"/>
      <c r="BG10" s="199"/>
      <c r="BH10" s="199"/>
    </row>
    <row r="11" spans="1:60" s="32" customFormat="1" ht="0.75" customHeight="1">
      <c r="A11" s="14"/>
      <c r="B11" s="196" t="s">
        <v>38</v>
      </c>
      <c r="C11" s="197"/>
      <c r="D11" s="198">
        <v>765</v>
      </c>
      <c r="E11" s="198">
        <v>1729</v>
      </c>
      <c r="F11" s="198">
        <v>1609</v>
      </c>
      <c r="G11" s="198">
        <v>1938</v>
      </c>
      <c r="H11" s="198">
        <v>1403</v>
      </c>
      <c r="I11" s="198">
        <v>1101</v>
      </c>
      <c r="J11" s="198">
        <v>741</v>
      </c>
      <c r="K11" s="198">
        <v>317</v>
      </c>
      <c r="L11" s="198">
        <v>308</v>
      </c>
      <c r="M11" s="198">
        <v>446</v>
      </c>
      <c r="N11" s="198">
        <v>489</v>
      </c>
      <c r="O11" s="198">
        <v>821</v>
      </c>
      <c r="P11" s="198">
        <v>823</v>
      </c>
      <c r="Q11" s="198">
        <v>556</v>
      </c>
      <c r="R11" s="198">
        <v>778</v>
      </c>
      <c r="S11" s="199">
        <v>693</v>
      </c>
      <c r="T11" s="199">
        <v>840</v>
      </c>
      <c r="U11" s="199">
        <v>1635</v>
      </c>
      <c r="V11" s="199">
        <v>1585</v>
      </c>
      <c r="W11" s="199">
        <v>1462</v>
      </c>
      <c r="X11" s="199">
        <v>2007</v>
      </c>
      <c r="Y11" s="199">
        <v>1093</v>
      </c>
      <c r="Z11" s="199">
        <v>1062</v>
      </c>
      <c r="AA11" s="199">
        <v>1084</v>
      </c>
      <c r="AB11" s="200"/>
      <c r="AC11" s="199">
        <v>926</v>
      </c>
      <c r="AD11" s="199">
        <v>892</v>
      </c>
      <c r="AE11" s="199">
        <v>1633</v>
      </c>
      <c r="AF11" s="199">
        <v>1655</v>
      </c>
      <c r="AG11" s="199">
        <v>1525</v>
      </c>
      <c r="AH11" s="199"/>
      <c r="AI11" s="199"/>
      <c r="AJ11" s="199"/>
      <c r="AK11" s="200"/>
      <c r="AL11" s="199"/>
      <c r="AM11" s="199"/>
      <c r="AN11" s="201"/>
      <c r="AO11" s="199"/>
      <c r="AP11" s="200"/>
      <c r="AQ11" s="199"/>
      <c r="AR11" s="199"/>
      <c r="AS11" s="199"/>
      <c r="AT11" s="199"/>
      <c r="AU11" s="199"/>
      <c r="AV11" s="199"/>
      <c r="AW11" s="199"/>
      <c r="AX11" s="199"/>
      <c r="AY11" s="199"/>
      <c r="AZ11" s="199"/>
      <c r="BA11" s="199"/>
      <c r="BB11" s="199"/>
      <c r="BC11" s="199"/>
      <c r="BD11" s="199"/>
      <c r="BE11" s="199"/>
      <c r="BF11" s="199"/>
      <c r="BG11" s="199"/>
      <c r="BH11" s="199"/>
    </row>
    <row r="12" spans="1:60" s="32" customFormat="1" ht="14.25" customHeight="1">
      <c r="A12" s="14"/>
      <c r="B12" s="202"/>
      <c r="C12" s="197"/>
      <c r="D12" s="198"/>
      <c r="E12" s="198"/>
      <c r="F12" s="198"/>
      <c r="G12" s="198"/>
      <c r="H12" s="198"/>
      <c r="I12" s="198"/>
      <c r="J12" s="198"/>
      <c r="K12" s="198"/>
      <c r="L12" s="198"/>
      <c r="M12" s="198"/>
      <c r="N12" s="198"/>
      <c r="O12" s="198"/>
      <c r="P12" s="198"/>
      <c r="Q12" s="198"/>
      <c r="R12" s="198"/>
      <c r="S12" s="199"/>
      <c r="T12" s="199"/>
      <c r="U12" s="199"/>
      <c r="V12" s="199"/>
      <c r="W12" s="199"/>
      <c r="X12" s="199"/>
      <c r="Y12" s="199"/>
      <c r="Z12" s="199"/>
      <c r="AA12" s="199"/>
      <c r="AB12" s="200"/>
      <c r="AC12" s="199"/>
      <c r="AD12" s="199"/>
      <c r="AE12" s="199"/>
      <c r="AF12" s="199"/>
      <c r="AG12" s="199"/>
      <c r="AH12" s="199"/>
      <c r="AI12" s="199"/>
      <c r="AJ12" s="199"/>
      <c r="AK12" s="200"/>
      <c r="AL12" s="199"/>
      <c r="AM12" s="199"/>
      <c r="AN12" s="201"/>
      <c r="AO12" s="199"/>
      <c r="AP12" s="200"/>
      <c r="AQ12" s="199"/>
      <c r="AR12" s="199"/>
      <c r="AS12" s="199"/>
      <c r="AT12" s="199"/>
      <c r="AU12" s="199"/>
      <c r="AV12" s="199"/>
      <c r="AW12" s="199"/>
      <c r="AX12" s="199"/>
      <c r="AY12" s="199"/>
      <c r="AZ12" s="199"/>
      <c r="BA12" s="199"/>
      <c r="BB12" s="199"/>
      <c r="BC12" s="199"/>
      <c r="BD12" s="199"/>
      <c r="BE12" s="199"/>
      <c r="BF12" s="199"/>
      <c r="BG12" s="199"/>
      <c r="BH12" s="199"/>
    </row>
    <row r="13" spans="1:60" s="16" customFormat="1" ht="14.25" customHeight="1">
      <c r="B13" s="179" t="s">
        <v>39</v>
      </c>
      <c r="C13" s="180"/>
      <c r="D13" s="180">
        <v>13287</v>
      </c>
      <c r="E13" s="180">
        <v>13340</v>
      </c>
      <c r="F13" s="180">
        <v>15767</v>
      </c>
      <c r="G13" s="180">
        <v>19301</v>
      </c>
      <c r="H13" s="180">
        <v>18700</v>
      </c>
      <c r="I13" s="180">
        <v>16095</v>
      </c>
      <c r="J13" s="180">
        <v>13951</v>
      </c>
      <c r="K13" s="180">
        <v>13164</v>
      </c>
      <c r="L13" s="180">
        <v>13279</v>
      </c>
      <c r="M13" s="180">
        <v>13270</v>
      </c>
      <c r="N13" s="180">
        <v>11824</v>
      </c>
      <c r="O13" s="180">
        <v>12977</v>
      </c>
      <c r="P13" s="180">
        <v>12506</v>
      </c>
      <c r="Q13" s="180">
        <v>10619</v>
      </c>
      <c r="R13" s="180">
        <v>11913</v>
      </c>
      <c r="S13" s="180">
        <v>11927</v>
      </c>
      <c r="T13" s="180">
        <v>11533</v>
      </c>
      <c r="U13" s="180">
        <v>11921</v>
      </c>
      <c r="V13" s="180">
        <v>11875</v>
      </c>
      <c r="W13" s="180">
        <v>12086</v>
      </c>
      <c r="X13" s="180">
        <v>11610</v>
      </c>
      <c r="Y13" s="180">
        <v>13889</v>
      </c>
      <c r="Z13" s="180">
        <v>14022</v>
      </c>
      <c r="AA13" s="180">
        <v>14869</v>
      </c>
      <c r="AB13" s="181"/>
      <c r="AC13" s="180">
        <v>15004</v>
      </c>
      <c r="AD13" s="180">
        <v>15415</v>
      </c>
      <c r="AE13" s="180">
        <v>16516</v>
      </c>
      <c r="AF13" s="180">
        <v>17484</v>
      </c>
      <c r="AG13" s="180">
        <v>20916</v>
      </c>
      <c r="AH13" s="180">
        <v>19982</v>
      </c>
      <c r="AI13" s="180">
        <v>25451</v>
      </c>
      <c r="AJ13" s="180">
        <v>24074</v>
      </c>
      <c r="AK13" s="180"/>
      <c r="AL13" s="180">
        <v>21220</v>
      </c>
      <c r="AM13" s="180">
        <v>18715</v>
      </c>
      <c r="AN13" s="180">
        <v>18902</v>
      </c>
      <c r="AO13" s="180">
        <v>16125</v>
      </c>
      <c r="AP13" s="180"/>
      <c r="AQ13" s="180">
        <v>15516</v>
      </c>
      <c r="AR13" s="180">
        <v>15778</v>
      </c>
      <c r="AS13" s="180">
        <v>14193</v>
      </c>
      <c r="AT13" s="180">
        <v>14505</v>
      </c>
      <c r="AU13" s="180">
        <v>14539</v>
      </c>
      <c r="AV13" s="180">
        <v>15798</v>
      </c>
      <c r="AW13" s="180">
        <v>16015</v>
      </c>
      <c r="AX13" s="180">
        <v>13082</v>
      </c>
      <c r="AY13" s="180">
        <v>12054</v>
      </c>
      <c r="AZ13" s="395">
        <v>12800</v>
      </c>
      <c r="BA13" s="180">
        <v>13232</v>
      </c>
      <c r="BB13" s="180">
        <v>14488</v>
      </c>
      <c r="BC13" s="180">
        <v>16370.279</v>
      </c>
      <c r="BD13" s="180">
        <f>'[2]7 - Dívida'!$BD$13</f>
        <v>17110</v>
      </c>
      <c r="BE13" s="180">
        <v>17368</v>
      </c>
      <c r="BF13" s="180">
        <f>'[1]7 - Dívida'!$BF$13</f>
        <v>16084</v>
      </c>
      <c r="BG13" s="180">
        <v>17313</v>
      </c>
      <c r="BH13" s="180">
        <v>15545.06</v>
      </c>
    </row>
    <row r="14" spans="1:60" ht="14.25" hidden="1" customHeight="1">
      <c r="B14" s="196" t="s">
        <v>36</v>
      </c>
      <c r="C14" s="197"/>
      <c r="D14" s="198">
        <v>2589</v>
      </c>
      <c r="E14" s="198">
        <v>2306</v>
      </c>
      <c r="F14" s="198">
        <v>2543</v>
      </c>
      <c r="G14" s="198">
        <v>2625</v>
      </c>
      <c r="H14" s="198">
        <v>2393</v>
      </c>
      <c r="I14" s="198">
        <v>2276</v>
      </c>
      <c r="J14" s="198">
        <v>2127</v>
      </c>
      <c r="K14" s="198">
        <v>2002</v>
      </c>
      <c r="L14" s="198">
        <v>2229</v>
      </c>
      <c r="M14" s="198">
        <v>2232</v>
      </c>
      <c r="N14" s="198">
        <v>2556</v>
      </c>
      <c r="O14" s="198">
        <v>2623</v>
      </c>
      <c r="P14" s="198">
        <v>2611</v>
      </c>
      <c r="Q14" s="198">
        <v>2739</v>
      </c>
      <c r="R14" s="198">
        <v>2692</v>
      </c>
      <c r="S14" s="199">
        <v>2383</v>
      </c>
      <c r="T14" s="199">
        <v>2309</v>
      </c>
      <c r="U14" s="199">
        <v>1947</v>
      </c>
      <c r="V14" s="199">
        <v>1866</v>
      </c>
      <c r="W14" s="199">
        <v>2240</v>
      </c>
      <c r="X14" s="199">
        <v>2123</v>
      </c>
      <c r="Y14" s="199">
        <v>1964</v>
      </c>
      <c r="Z14" s="199">
        <v>2506</v>
      </c>
      <c r="AA14" s="199">
        <v>2927</v>
      </c>
      <c r="AB14" s="195"/>
      <c r="AC14" s="199">
        <v>3396</v>
      </c>
      <c r="AD14" s="199">
        <v>3365</v>
      </c>
      <c r="AE14" s="199">
        <v>4245</v>
      </c>
      <c r="AF14" s="199">
        <v>4073</v>
      </c>
      <c r="AG14" s="199">
        <v>3351</v>
      </c>
      <c r="AH14" s="199"/>
      <c r="AI14" s="199"/>
      <c r="AJ14" s="199"/>
      <c r="AK14" s="195"/>
      <c r="AL14" s="199"/>
      <c r="AM14" s="199"/>
      <c r="AN14" s="201"/>
      <c r="AO14" s="199"/>
      <c r="AP14" s="195"/>
      <c r="AQ14" s="199"/>
      <c r="AR14" s="199"/>
      <c r="AS14" s="199"/>
      <c r="AT14" s="199"/>
      <c r="AU14" s="199"/>
      <c r="AV14" s="199"/>
      <c r="AW14" s="199"/>
      <c r="AX14" s="199"/>
      <c r="AY14" s="199"/>
      <c r="AZ14" s="396"/>
      <c r="BA14" s="199"/>
      <c r="BB14" s="199"/>
      <c r="BC14" s="199"/>
      <c r="BD14" s="199"/>
      <c r="BE14" s="199"/>
      <c r="BF14" s="199"/>
      <c r="BG14" s="199"/>
      <c r="BH14" s="199"/>
    </row>
    <row r="15" spans="1:60" ht="14.25" hidden="1" customHeight="1">
      <c r="B15" s="196" t="s">
        <v>37</v>
      </c>
      <c r="C15" s="197"/>
      <c r="D15" s="198">
        <v>4221</v>
      </c>
      <c r="E15" s="198">
        <v>4483</v>
      </c>
      <c r="F15" s="198">
        <v>5255</v>
      </c>
      <c r="G15" s="198">
        <v>6886</v>
      </c>
      <c r="H15" s="198">
        <v>6687</v>
      </c>
      <c r="I15" s="198">
        <v>6111</v>
      </c>
      <c r="J15" s="198">
        <v>5537</v>
      </c>
      <c r="K15" s="198">
        <v>5268</v>
      </c>
      <c r="L15" s="198">
        <v>5071</v>
      </c>
      <c r="M15" s="198">
        <v>5095</v>
      </c>
      <c r="N15" s="198">
        <v>3769</v>
      </c>
      <c r="O15" s="198">
        <v>5655</v>
      </c>
      <c r="P15" s="198">
        <v>5589</v>
      </c>
      <c r="Q15" s="198">
        <v>5198</v>
      </c>
      <c r="R15" s="198">
        <v>6271</v>
      </c>
      <c r="S15" s="199">
        <v>6462</v>
      </c>
      <c r="T15" s="199">
        <v>6242</v>
      </c>
      <c r="U15" s="199">
        <v>6855</v>
      </c>
      <c r="V15" s="199">
        <v>6551</v>
      </c>
      <c r="W15" s="199">
        <v>6422</v>
      </c>
      <c r="X15" s="199">
        <v>6261</v>
      </c>
      <c r="Y15" s="199">
        <v>8500</v>
      </c>
      <c r="Z15" s="199">
        <v>8146</v>
      </c>
      <c r="AA15" s="199">
        <v>8725</v>
      </c>
      <c r="AB15" s="195"/>
      <c r="AC15" s="199">
        <v>8381</v>
      </c>
      <c r="AD15" s="199">
        <v>8966</v>
      </c>
      <c r="AE15" s="199">
        <v>9395</v>
      </c>
      <c r="AF15" s="199">
        <v>10717</v>
      </c>
      <c r="AG15" s="199">
        <v>11680</v>
      </c>
      <c r="AH15" s="199"/>
      <c r="AI15" s="199"/>
      <c r="AJ15" s="199"/>
      <c r="AK15" s="195"/>
      <c r="AL15" s="199"/>
      <c r="AM15" s="199"/>
      <c r="AN15" s="201"/>
      <c r="AO15" s="199"/>
      <c r="AP15" s="195"/>
      <c r="AQ15" s="199"/>
      <c r="AR15" s="199"/>
      <c r="AS15" s="199"/>
      <c r="AT15" s="199"/>
      <c r="AU15" s="199"/>
      <c r="AV15" s="199"/>
      <c r="AW15" s="199"/>
      <c r="AX15" s="199"/>
      <c r="AY15" s="199"/>
      <c r="AZ15" s="396"/>
      <c r="BA15" s="199"/>
      <c r="BB15" s="199"/>
      <c r="BC15" s="199"/>
      <c r="BD15" s="199"/>
      <c r="BE15" s="199"/>
      <c r="BF15" s="199"/>
      <c r="BG15" s="199"/>
      <c r="BH15" s="199"/>
    </row>
    <row r="16" spans="1:60" ht="14.25" hidden="1" customHeight="1">
      <c r="B16" s="196" t="s">
        <v>38</v>
      </c>
      <c r="C16" s="197"/>
      <c r="D16" s="198">
        <v>6476</v>
      </c>
      <c r="E16" s="198">
        <v>6551</v>
      </c>
      <c r="F16" s="198">
        <v>7970</v>
      </c>
      <c r="G16" s="198">
        <v>9790</v>
      </c>
      <c r="H16" s="198">
        <v>9620</v>
      </c>
      <c r="I16" s="198">
        <v>7708</v>
      </c>
      <c r="J16" s="198">
        <v>6287</v>
      </c>
      <c r="K16" s="198">
        <v>5894</v>
      </c>
      <c r="L16" s="198">
        <v>5979</v>
      </c>
      <c r="M16" s="198">
        <v>5943</v>
      </c>
      <c r="N16" s="198">
        <v>5499</v>
      </c>
      <c r="O16" s="198">
        <v>4699</v>
      </c>
      <c r="P16" s="198">
        <v>4306</v>
      </c>
      <c r="Q16" s="198">
        <v>2682</v>
      </c>
      <c r="R16" s="198">
        <v>2950</v>
      </c>
      <c r="S16" s="199">
        <v>3082</v>
      </c>
      <c r="T16" s="199">
        <v>2982</v>
      </c>
      <c r="U16" s="199">
        <v>3119</v>
      </c>
      <c r="V16" s="199">
        <v>3458</v>
      </c>
      <c r="W16" s="199">
        <v>3424</v>
      </c>
      <c r="X16" s="199">
        <v>3226</v>
      </c>
      <c r="Y16" s="199">
        <v>3425</v>
      </c>
      <c r="Z16" s="199">
        <v>3370</v>
      </c>
      <c r="AA16" s="199">
        <v>3217</v>
      </c>
      <c r="AB16" s="195"/>
      <c r="AC16" s="199">
        <v>3227</v>
      </c>
      <c r="AD16" s="199">
        <v>3084</v>
      </c>
      <c r="AE16" s="199">
        <v>2876</v>
      </c>
      <c r="AF16" s="199">
        <v>2694</v>
      </c>
      <c r="AG16" s="199">
        <v>5885</v>
      </c>
      <c r="AH16" s="199"/>
      <c r="AI16" s="199"/>
      <c r="AJ16" s="199"/>
      <c r="AK16" s="195"/>
      <c r="AL16" s="199"/>
      <c r="AM16" s="199"/>
      <c r="AN16" s="201"/>
      <c r="AO16" s="199"/>
      <c r="AP16" s="195"/>
      <c r="AQ16" s="199"/>
      <c r="AR16" s="199"/>
      <c r="AS16" s="199"/>
      <c r="AT16" s="199"/>
      <c r="AU16" s="199"/>
      <c r="AV16" s="199"/>
      <c r="AW16" s="199"/>
      <c r="AX16" s="199"/>
      <c r="AY16" s="199"/>
      <c r="AZ16" s="396"/>
      <c r="BA16" s="199"/>
      <c r="BB16" s="199"/>
      <c r="BC16" s="199"/>
      <c r="BD16" s="199"/>
      <c r="BE16" s="199"/>
      <c r="BF16" s="199"/>
      <c r="BG16" s="199"/>
      <c r="BH16" s="199"/>
    </row>
    <row r="17" spans="1:60" ht="14.25" customHeight="1">
      <c r="B17" s="182" t="s">
        <v>158</v>
      </c>
      <c r="C17" s="183"/>
      <c r="D17" s="183">
        <v>15429</v>
      </c>
      <c r="E17" s="183">
        <v>16483</v>
      </c>
      <c r="F17" s="183">
        <v>19012</v>
      </c>
      <c r="G17" s="183">
        <v>23234</v>
      </c>
      <c r="H17" s="183">
        <v>22149</v>
      </c>
      <c r="I17" s="183">
        <v>18921</v>
      </c>
      <c r="J17" s="183">
        <v>16077</v>
      </c>
      <c r="K17" s="183">
        <v>14521</v>
      </c>
      <c r="L17" s="183">
        <v>14631</v>
      </c>
      <c r="M17" s="183">
        <v>14753</v>
      </c>
      <c r="N17" s="183">
        <v>14306</v>
      </c>
      <c r="O17" s="183">
        <v>14670</v>
      </c>
      <c r="P17" s="183">
        <v>14235</v>
      </c>
      <c r="Q17" s="183">
        <v>11908</v>
      </c>
      <c r="R17" s="183">
        <v>13524</v>
      </c>
      <c r="S17" s="183">
        <v>13684</v>
      </c>
      <c r="T17" s="183">
        <v>13461.17</v>
      </c>
      <c r="U17" s="183">
        <v>14892</v>
      </c>
      <c r="V17" s="183">
        <v>14968</v>
      </c>
      <c r="W17" s="183">
        <v>14669</v>
      </c>
      <c r="X17" s="183">
        <v>14943</v>
      </c>
      <c r="Y17" s="183">
        <v>15659</v>
      </c>
      <c r="Z17" s="183">
        <v>15791</v>
      </c>
      <c r="AA17" s="183">
        <v>16707</v>
      </c>
      <c r="AB17" s="184"/>
      <c r="AC17" s="183">
        <v>16759</v>
      </c>
      <c r="AD17" s="183">
        <v>16714</v>
      </c>
      <c r="AE17" s="183">
        <v>18465</v>
      </c>
      <c r="AF17" s="183">
        <v>19522</v>
      </c>
      <c r="AG17" s="183">
        <v>23282</v>
      </c>
      <c r="AH17" s="183">
        <v>22566</v>
      </c>
      <c r="AI17" s="183">
        <v>27583</v>
      </c>
      <c r="AJ17" s="183">
        <v>26461</v>
      </c>
      <c r="AK17" s="183"/>
      <c r="AL17" s="183">
        <v>23684</v>
      </c>
      <c r="AM17" s="183">
        <v>20674</v>
      </c>
      <c r="AN17" s="183">
        <v>21098</v>
      </c>
      <c r="AO17" s="183">
        <v>20583</v>
      </c>
      <c r="AP17" s="183"/>
      <c r="AQ17" s="183">
        <v>19701</v>
      </c>
      <c r="AR17" s="183">
        <v>19964</v>
      </c>
      <c r="AS17" s="183">
        <v>18674</v>
      </c>
      <c r="AT17" s="183">
        <v>16509</v>
      </c>
      <c r="AU17" s="183">
        <v>16719</v>
      </c>
      <c r="AV17" s="183">
        <v>18115</v>
      </c>
      <c r="AW17" s="183">
        <v>18193</v>
      </c>
      <c r="AX17" s="183">
        <v>14907</v>
      </c>
      <c r="AY17" s="183">
        <f>AY13+AY8</f>
        <v>14993</v>
      </c>
      <c r="AZ17" s="397">
        <v>14674</v>
      </c>
      <c r="BA17" s="183">
        <v>15494</v>
      </c>
      <c r="BB17" s="183">
        <v>16050</v>
      </c>
      <c r="BC17" s="183">
        <f>SUM(BC8+BC13)</f>
        <v>20029.434000000001</v>
      </c>
      <c r="BD17" s="183">
        <f>'[2]7 - Dívida'!$BD$17</f>
        <v>20997</v>
      </c>
      <c r="BE17" s="183">
        <v>19541</v>
      </c>
      <c r="BF17" s="183">
        <f>'[1]7 - Dívida'!$BF$17</f>
        <v>17516</v>
      </c>
      <c r="BG17" s="183">
        <v>17766</v>
      </c>
      <c r="BH17" s="183">
        <v>15806.161</v>
      </c>
    </row>
    <row r="18" spans="1:60" s="32" customFormat="1" ht="14.25" hidden="1" customHeight="1">
      <c r="A18" s="14"/>
      <c r="B18" s="196" t="s">
        <v>133</v>
      </c>
      <c r="C18" s="197"/>
      <c r="D18" s="198"/>
      <c r="E18" s="198"/>
      <c r="F18" s="198"/>
      <c r="G18" s="198"/>
      <c r="H18" s="198"/>
      <c r="I18" s="198"/>
      <c r="J18" s="198"/>
      <c r="K18" s="198"/>
      <c r="L18" s="198"/>
      <c r="M18" s="198"/>
      <c r="N18" s="198"/>
      <c r="O18" s="198"/>
      <c r="P18" s="198"/>
      <c r="Q18" s="198"/>
      <c r="R18" s="198"/>
      <c r="S18" s="199"/>
      <c r="T18" s="199"/>
      <c r="U18" s="199">
        <v>-383</v>
      </c>
      <c r="V18" s="199">
        <v>-339</v>
      </c>
      <c r="W18" s="199">
        <v>-308</v>
      </c>
      <c r="X18" s="199">
        <v>-417</v>
      </c>
      <c r="Y18" s="199">
        <v>-344</v>
      </c>
      <c r="Z18" s="199">
        <v>-339</v>
      </c>
      <c r="AA18" s="199">
        <v>-391</v>
      </c>
      <c r="AB18" s="200"/>
      <c r="AC18" s="197">
        <v>-374</v>
      </c>
      <c r="AD18" s="197">
        <v>-283</v>
      </c>
      <c r="AE18" s="197">
        <v>-340</v>
      </c>
      <c r="AF18" s="197">
        <v>-343</v>
      </c>
      <c r="AG18" s="197">
        <v>-400</v>
      </c>
      <c r="AH18" s="197"/>
      <c r="AI18" s="197"/>
      <c r="AJ18" s="197"/>
      <c r="AK18" s="200"/>
      <c r="AL18" s="197"/>
      <c r="AM18" s="197"/>
      <c r="AN18" s="197"/>
      <c r="AO18" s="197"/>
      <c r="AP18" s="200"/>
      <c r="AQ18" s="197"/>
      <c r="AR18" s="197"/>
      <c r="AS18" s="197"/>
      <c r="AT18" s="197"/>
      <c r="AU18" s="197"/>
      <c r="AV18" s="197"/>
      <c r="AW18" s="197"/>
      <c r="AX18" s="197"/>
      <c r="AY18" s="197"/>
      <c r="AZ18" s="197"/>
      <c r="BA18" s="197"/>
      <c r="BB18" s="197"/>
      <c r="BC18" s="197"/>
      <c r="BD18" s="197"/>
      <c r="BE18" s="197"/>
      <c r="BF18" s="197"/>
      <c r="BG18" s="197"/>
      <c r="BH18" s="197"/>
    </row>
    <row r="19" spans="1:60" ht="14.25" hidden="1" customHeight="1">
      <c r="B19" s="203" t="s">
        <v>134</v>
      </c>
      <c r="C19" s="204"/>
      <c r="D19" s="205"/>
      <c r="E19" s="205"/>
      <c r="F19" s="205"/>
      <c r="G19" s="205"/>
      <c r="H19" s="205"/>
      <c r="I19" s="205"/>
      <c r="J19" s="205"/>
      <c r="K19" s="205"/>
      <c r="L19" s="205"/>
      <c r="M19" s="205"/>
      <c r="N19" s="205"/>
      <c r="O19" s="205"/>
      <c r="P19" s="205"/>
      <c r="Q19" s="205"/>
      <c r="R19" s="205"/>
      <c r="S19" s="206"/>
      <c r="T19" s="206"/>
      <c r="U19" s="204">
        <f>U17+U18</f>
        <v>14509</v>
      </c>
      <c r="V19" s="204">
        <f>V17+V18</f>
        <v>14629</v>
      </c>
      <c r="W19" s="204">
        <f>W17+W18</f>
        <v>14361</v>
      </c>
      <c r="X19" s="204">
        <f>X17+X18</f>
        <v>14526</v>
      </c>
      <c r="Y19" s="204">
        <f>Y17+Y18</f>
        <v>15315</v>
      </c>
      <c r="Z19" s="204">
        <v>15452</v>
      </c>
      <c r="AA19" s="204">
        <v>16316</v>
      </c>
      <c r="AB19" s="195"/>
      <c r="AC19" s="204">
        <v>16386</v>
      </c>
      <c r="AD19" s="204">
        <v>16431</v>
      </c>
      <c r="AE19" s="204">
        <v>18125</v>
      </c>
      <c r="AF19" s="204">
        <v>19178</v>
      </c>
      <c r="AG19" s="204">
        <v>22882</v>
      </c>
      <c r="AH19" s="204"/>
      <c r="AI19" s="204"/>
      <c r="AJ19" s="204"/>
      <c r="AK19" s="195"/>
      <c r="AL19" s="204"/>
      <c r="AM19" s="204"/>
      <c r="AN19" s="204"/>
      <c r="AO19" s="204"/>
      <c r="AP19" s="195"/>
      <c r="AQ19" s="204"/>
      <c r="AR19" s="204"/>
      <c r="AS19" s="204"/>
      <c r="AT19" s="204"/>
      <c r="AU19" s="204"/>
      <c r="AV19" s="204"/>
      <c r="AW19" s="204"/>
      <c r="AX19" s="204"/>
      <c r="AY19" s="204"/>
      <c r="AZ19" s="204"/>
      <c r="BA19" s="204"/>
      <c r="BB19" s="204"/>
      <c r="BC19" s="204"/>
      <c r="BD19" s="204"/>
      <c r="BE19" s="204"/>
      <c r="BF19" s="204"/>
      <c r="BG19" s="204"/>
      <c r="BH19" s="204"/>
    </row>
    <row r="20" spans="1:60" ht="14.25" customHeight="1">
      <c r="B20" s="195"/>
      <c r="C20" s="197"/>
      <c r="D20" s="198"/>
      <c r="E20" s="198"/>
      <c r="F20" s="198"/>
      <c r="G20" s="198"/>
      <c r="H20" s="198"/>
      <c r="I20" s="198"/>
      <c r="J20" s="198"/>
      <c r="K20" s="198"/>
      <c r="L20" s="198"/>
      <c r="M20" s="198"/>
      <c r="N20" s="198"/>
      <c r="O20" s="198"/>
      <c r="P20" s="198"/>
      <c r="Q20" s="198"/>
      <c r="R20" s="198"/>
      <c r="S20" s="199"/>
      <c r="T20" s="199"/>
      <c r="U20" s="199"/>
      <c r="V20" s="199"/>
      <c r="W20" s="199"/>
      <c r="X20" s="199"/>
      <c r="Y20" s="199"/>
      <c r="Z20" s="199"/>
      <c r="AA20" s="199"/>
      <c r="AB20" s="195"/>
      <c r="AC20" s="199"/>
      <c r="AD20" s="199"/>
      <c r="AE20" s="199"/>
      <c r="AF20" s="199"/>
      <c r="AG20" s="199"/>
      <c r="AH20" s="199"/>
      <c r="AI20" s="199"/>
      <c r="AJ20" s="199"/>
      <c r="AK20" s="195"/>
      <c r="AL20" s="199"/>
      <c r="AM20" s="199"/>
      <c r="AN20" s="199"/>
      <c r="AO20" s="199"/>
      <c r="AP20" s="195"/>
      <c r="AQ20" s="199"/>
      <c r="AR20" s="199"/>
      <c r="AS20" s="199"/>
      <c r="AT20" s="199"/>
      <c r="AU20" s="199"/>
      <c r="AV20" s="199"/>
      <c r="AW20" s="199"/>
      <c r="AX20" s="199"/>
      <c r="AY20" s="199"/>
      <c r="AZ20" s="199"/>
      <c r="BA20" s="199"/>
      <c r="BB20" s="199"/>
      <c r="BC20" s="199"/>
      <c r="BD20" s="199"/>
      <c r="BE20" s="199"/>
      <c r="BF20" s="199"/>
      <c r="BG20" s="199"/>
      <c r="BH20" s="199"/>
    </row>
    <row r="21" spans="1:60" ht="14.25" customHeight="1">
      <c r="B21" s="179" t="s">
        <v>135</v>
      </c>
      <c r="C21" s="180"/>
      <c r="D21" s="180">
        <v>4084</v>
      </c>
      <c r="E21" s="180">
        <v>5557</v>
      </c>
      <c r="F21" s="180">
        <v>5640</v>
      </c>
      <c r="G21" s="180">
        <v>5491</v>
      </c>
      <c r="H21" s="180">
        <v>5830</v>
      </c>
      <c r="I21" s="180">
        <v>6263</v>
      </c>
      <c r="J21" s="180">
        <v>5405</v>
      </c>
      <c r="K21" s="180">
        <v>4819</v>
      </c>
      <c r="L21" s="180">
        <v>4505</v>
      </c>
      <c r="M21" s="180">
        <v>4317</v>
      </c>
      <c r="N21" s="180">
        <v>1677</v>
      </c>
      <c r="O21" s="180">
        <v>2204</v>
      </c>
      <c r="P21" s="180">
        <v>2446</v>
      </c>
      <c r="Q21" s="180">
        <v>4121</v>
      </c>
      <c r="R21" s="180">
        <v>4366</v>
      </c>
      <c r="S21" s="180">
        <v>4578</v>
      </c>
      <c r="T21" s="180">
        <v>3435</v>
      </c>
      <c r="U21" s="180">
        <v>3165</v>
      </c>
      <c r="V21" s="180">
        <v>2999</v>
      </c>
      <c r="W21" s="180">
        <v>2497</v>
      </c>
      <c r="X21" s="180">
        <v>1832</v>
      </c>
      <c r="Y21" s="180">
        <v>2972</v>
      </c>
      <c r="Z21" s="180">
        <v>3512</v>
      </c>
      <c r="AA21" s="180">
        <v>4222</v>
      </c>
      <c r="AB21" s="178"/>
      <c r="AC21" s="180">
        <v>3520</v>
      </c>
      <c r="AD21" s="180">
        <v>3963</v>
      </c>
      <c r="AE21" s="180">
        <v>4670</v>
      </c>
      <c r="AF21" s="180">
        <v>5849</v>
      </c>
      <c r="AG21" s="180">
        <v>5847</v>
      </c>
      <c r="AH21" s="180">
        <v>5690</v>
      </c>
      <c r="AI21" s="180">
        <v>6739</v>
      </c>
      <c r="AJ21" s="180">
        <v>6919</v>
      </c>
      <c r="AK21" s="180"/>
      <c r="AL21" s="180">
        <v>5525</v>
      </c>
      <c r="AM21" s="180">
        <v>4877</v>
      </c>
      <c r="AN21" s="180">
        <v>5261</v>
      </c>
      <c r="AO21" s="180">
        <v>6088</v>
      </c>
      <c r="AP21" s="180"/>
      <c r="AQ21" s="180">
        <v>5454</v>
      </c>
      <c r="AR21" s="180">
        <v>5430</v>
      </c>
      <c r="AS21" s="180">
        <v>5067</v>
      </c>
      <c r="AT21" s="180">
        <v>3377</v>
      </c>
      <c r="AU21" s="180">
        <v>3246</v>
      </c>
      <c r="AV21" s="180">
        <v>2914</v>
      </c>
      <c r="AW21" s="180">
        <v>3475</v>
      </c>
      <c r="AX21" s="180">
        <v>3325</v>
      </c>
      <c r="AY21" s="180">
        <v>2532</v>
      </c>
      <c r="AZ21" s="395">
        <v>2142</v>
      </c>
      <c r="BA21" s="180">
        <v>3432</v>
      </c>
      <c r="BB21" s="180">
        <v>6295</v>
      </c>
      <c r="BC21" s="473">
        <v>5979</v>
      </c>
      <c r="BD21" s="473">
        <f>'[2]7 - Dívida'!$BD$21</f>
        <v>6548</v>
      </c>
      <c r="BE21" s="473">
        <v>7200</v>
      </c>
      <c r="BF21" s="473">
        <f>'[1]7 - Dívida'!$BF$21</f>
        <v>7658</v>
      </c>
      <c r="BG21" s="473">
        <f>SUM(BG22:BG23)</f>
        <v>7002.7999999999993</v>
      </c>
      <c r="BH21" s="473">
        <v>5637.8140000000003</v>
      </c>
    </row>
    <row r="22" spans="1:60" ht="14.25" customHeight="1">
      <c r="B22" s="185" t="s">
        <v>36</v>
      </c>
      <c r="C22" s="183"/>
      <c r="D22" s="186">
        <v>841</v>
      </c>
      <c r="E22" s="186">
        <v>3282</v>
      </c>
      <c r="F22" s="186">
        <v>3672</v>
      </c>
      <c r="G22" s="186">
        <v>2836</v>
      </c>
      <c r="H22" s="186">
        <v>2713</v>
      </c>
      <c r="I22" s="186">
        <v>3249</v>
      </c>
      <c r="J22" s="186">
        <v>3211</v>
      </c>
      <c r="K22" s="186">
        <v>2972</v>
      </c>
      <c r="L22" s="186">
        <v>2816</v>
      </c>
      <c r="M22" s="186">
        <v>2667</v>
      </c>
      <c r="N22" s="186">
        <v>1110</v>
      </c>
      <c r="O22" s="186">
        <v>1336</v>
      </c>
      <c r="P22" s="186">
        <v>1746</v>
      </c>
      <c r="Q22" s="186">
        <v>3361</v>
      </c>
      <c r="R22" s="186">
        <v>3384</v>
      </c>
      <c r="S22" s="186">
        <v>3587</v>
      </c>
      <c r="T22" s="186">
        <v>2424</v>
      </c>
      <c r="U22" s="186">
        <v>2296</v>
      </c>
      <c r="V22" s="186">
        <v>1987</v>
      </c>
      <c r="W22" s="186">
        <v>1617</v>
      </c>
      <c r="X22" s="186">
        <v>1110</v>
      </c>
      <c r="Y22" s="186">
        <v>1877</v>
      </c>
      <c r="Z22" s="186">
        <v>1920</v>
      </c>
      <c r="AA22" s="186">
        <v>2142</v>
      </c>
      <c r="AB22" s="184"/>
      <c r="AC22" s="186">
        <v>1995</v>
      </c>
      <c r="AD22" s="186">
        <v>2011</v>
      </c>
      <c r="AE22" s="186">
        <v>2305</v>
      </c>
      <c r="AF22" s="186">
        <v>3466</v>
      </c>
      <c r="AG22" s="186">
        <v>3430</v>
      </c>
      <c r="AH22" s="186">
        <v>2966</v>
      </c>
      <c r="AI22" s="186">
        <v>3251</v>
      </c>
      <c r="AJ22" s="186">
        <v>2289</v>
      </c>
      <c r="AK22" s="186"/>
      <c r="AL22" s="186">
        <v>1428</v>
      </c>
      <c r="AM22" s="186">
        <v>1456</v>
      </c>
      <c r="AN22" s="186">
        <v>1442</v>
      </c>
      <c r="AO22" s="186">
        <v>1609</v>
      </c>
      <c r="AP22" s="186"/>
      <c r="AQ22" s="186">
        <v>1510</v>
      </c>
      <c r="AR22" s="186">
        <v>1775</v>
      </c>
      <c r="AS22" s="186">
        <v>1938</v>
      </c>
      <c r="AT22" s="186">
        <v>387</v>
      </c>
      <c r="AU22" s="186">
        <v>1114</v>
      </c>
      <c r="AV22" s="186">
        <v>873</v>
      </c>
      <c r="AW22" s="186">
        <v>983.42499999999973</v>
      </c>
      <c r="AX22" s="186">
        <v>1298</v>
      </c>
      <c r="AY22" s="186">
        <v>955.53777673020022</v>
      </c>
      <c r="AZ22" s="398">
        <f>AZ21-AZ23</f>
        <v>1006.74</v>
      </c>
      <c r="BA22" s="186">
        <f>BA21-BA23</f>
        <v>1510.08</v>
      </c>
      <c r="BB22" s="186">
        <f>BB21-BB23</f>
        <v>2455.0500000000002</v>
      </c>
      <c r="BC22" s="474">
        <v>2631</v>
      </c>
      <c r="BD22" s="474">
        <f>'[2]7 - Dívida'!$BD$22</f>
        <v>2881.1199999999994</v>
      </c>
      <c r="BE22" s="474">
        <v>3340</v>
      </c>
      <c r="BF22" s="474">
        <f>'[1]7 - Dívida'!$BF$22</f>
        <v>4365</v>
      </c>
      <c r="BG22" s="474">
        <v>4154.3999999999996</v>
      </c>
      <c r="BH22" s="474">
        <v>3777.3353800000004</v>
      </c>
    </row>
    <row r="23" spans="1:60" ht="14.25" customHeight="1">
      <c r="B23" s="185" t="s">
        <v>259</v>
      </c>
      <c r="C23" s="183"/>
      <c r="D23" s="186">
        <v>3243</v>
      </c>
      <c r="E23" s="186">
        <v>2275</v>
      </c>
      <c r="F23" s="186">
        <v>1968</v>
      </c>
      <c r="G23" s="186">
        <v>2655</v>
      </c>
      <c r="H23" s="186">
        <v>3117</v>
      </c>
      <c r="I23" s="186">
        <v>3014</v>
      </c>
      <c r="J23" s="186">
        <v>2194</v>
      </c>
      <c r="K23" s="186">
        <v>1847</v>
      </c>
      <c r="L23" s="186">
        <v>1689</v>
      </c>
      <c r="M23" s="186">
        <v>1650</v>
      </c>
      <c r="N23" s="186">
        <v>567</v>
      </c>
      <c r="O23" s="186">
        <v>868</v>
      </c>
      <c r="P23" s="186">
        <v>700</v>
      </c>
      <c r="Q23" s="186">
        <v>760</v>
      </c>
      <c r="R23" s="186">
        <v>982</v>
      </c>
      <c r="S23" s="186">
        <v>991</v>
      </c>
      <c r="T23" s="186">
        <v>1011</v>
      </c>
      <c r="U23" s="186">
        <v>869</v>
      </c>
      <c r="V23" s="186">
        <v>1012</v>
      </c>
      <c r="W23" s="186">
        <v>880</v>
      </c>
      <c r="X23" s="186">
        <v>722</v>
      </c>
      <c r="Y23" s="186">
        <v>1095</v>
      </c>
      <c r="Z23" s="186">
        <v>1592</v>
      </c>
      <c r="AA23" s="186">
        <v>2080</v>
      </c>
      <c r="AB23" s="184"/>
      <c r="AC23" s="186">
        <v>1525</v>
      </c>
      <c r="AD23" s="186">
        <v>1952</v>
      </c>
      <c r="AE23" s="186">
        <v>2365</v>
      </c>
      <c r="AF23" s="186">
        <v>2383</v>
      </c>
      <c r="AG23" s="186">
        <v>2417</v>
      </c>
      <c r="AH23" s="186">
        <v>2724</v>
      </c>
      <c r="AI23" s="186">
        <v>3487</v>
      </c>
      <c r="AJ23" s="186">
        <v>4630</v>
      </c>
      <c r="AK23" s="186"/>
      <c r="AL23" s="186">
        <v>4097</v>
      </c>
      <c r="AM23" s="186">
        <v>3421</v>
      </c>
      <c r="AN23" s="186">
        <v>3819</v>
      </c>
      <c r="AO23" s="186">
        <v>4479</v>
      </c>
      <c r="AP23" s="186"/>
      <c r="AQ23" s="186">
        <v>3944</v>
      </c>
      <c r="AR23" s="186">
        <v>3655</v>
      </c>
      <c r="AS23" s="186">
        <v>3129</v>
      </c>
      <c r="AT23" s="186">
        <v>2990</v>
      </c>
      <c r="AU23" s="186">
        <v>2131</v>
      </c>
      <c r="AV23" s="186">
        <v>2068</v>
      </c>
      <c r="AW23" s="186">
        <v>2491.5750000000003</v>
      </c>
      <c r="AX23" s="186">
        <v>2027</v>
      </c>
      <c r="AY23" s="186">
        <v>1576.6289561598001</v>
      </c>
      <c r="AZ23" s="398">
        <f>AZ21*0.53</f>
        <v>1135.26</v>
      </c>
      <c r="BA23" s="186">
        <f>BA21*0.56</f>
        <v>1921.92</v>
      </c>
      <c r="BB23" s="186">
        <f>BB21*0.61</f>
        <v>3839.95</v>
      </c>
      <c r="BC23" s="474">
        <v>3348</v>
      </c>
      <c r="BD23" s="474">
        <f>'[2]7 - Dívida'!$BD$23</f>
        <v>3666.8800000000006</v>
      </c>
      <c r="BE23" s="474">
        <v>3860</v>
      </c>
      <c r="BF23" s="474">
        <f>'[1]7 - Dívida'!$BF$23</f>
        <v>3293</v>
      </c>
      <c r="BG23" s="474">
        <v>2848.4</v>
      </c>
      <c r="BH23" s="474">
        <v>1860.4786200000001</v>
      </c>
    </row>
    <row r="24" spans="1:60" ht="14.25" customHeight="1">
      <c r="B24" s="202"/>
      <c r="C24" s="197"/>
      <c r="D24" s="198"/>
      <c r="E24" s="198"/>
      <c r="F24" s="198"/>
      <c r="G24" s="198"/>
      <c r="H24" s="198"/>
      <c r="I24" s="198"/>
      <c r="J24" s="198"/>
      <c r="K24" s="198"/>
      <c r="L24" s="198"/>
      <c r="M24" s="198"/>
      <c r="N24" s="198"/>
      <c r="O24" s="198"/>
      <c r="P24" s="198"/>
      <c r="Q24" s="198"/>
      <c r="R24" s="198"/>
      <c r="S24" s="199"/>
      <c r="T24" s="199"/>
      <c r="U24" s="199"/>
      <c r="V24" s="199"/>
      <c r="W24" s="199"/>
      <c r="X24" s="199"/>
      <c r="Y24" s="199"/>
      <c r="Z24" s="199"/>
      <c r="AA24" s="199"/>
      <c r="AB24" s="195"/>
      <c r="AC24" s="199"/>
      <c r="AD24" s="199"/>
      <c r="AE24" s="199"/>
      <c r="AF24" s="199"/>
      <c r="AG24" s="199"/>
      <c r="AH24" s="199"/>
      <c r="AI24" s="199"/>
      <c r="AJ24" s="199"/>
      <c r="AK24" s="195"/>
      <c r="AL24" s="199"/>
      <c r="AM24" s="199"/>
      <c r="AN24" s="199"/>
      <c r="AO24" s="195"/>
      <c r="AP24" s="195"/>
      <c r="AQ24" s="199"/>
      <c r="AR24" s="199"/>
      <c r="AS24" s="199"/>
      <c r="AT24" s="199"/>
      <c r="AU24" s="199"/>
      <c r="AV24" s="199"/>
      <c r="AW24" s="199"/>
      <c r="AX24" s="199"/>
      <c r="AY24" s="199"/>
      <c r="AZ24" s="199"/>
      <c r="BA24" s="199"/>
      <c r="BB24" s="199"/>
      <c r="BC24" s="199"/>
      <c r="BD24" s="199"/>
      <c r="BE24" s="199"/>
      <c r="BF24" s="199"/>
      <c r="BG24" s="199"/>
      <c r="BH24" s="199"/>
    </row>
    <row r="25" spans="1:60" ht="14.25" customHeight="1" thickBot="1">
      <c r="B25" s="187" t="s">
        <v>159</v>
      </c>
      <c r="C25" s="188"/>
      <c r="D25" s="188">
        <f>D17-D21</f>
        <v>11345</v>
      </c>
      <c r="E25" s="188">
        <f>E17-E21</f>
        <v>10926</v>
      </c>
      <c r="F25" s="188">
        <f t="shared" ref="F25:P25" si="0">F17-F21</f>
        <v>13372</v>
      </c>
      <c r="G25" s="188">
        <f t="shared" si="0"/>
        <v>17743</v>
      </c>
      <c r="H25" s="188">
        <f t="shared" si="0"/>
        <v>16319</v>
      </c>
      <c r="I25" s="188">
        <f t="shared" si="0"/>
        <v>12658</v>
      </c>
      <c r="J25" s="188">
        <f t="shared" si="0"/>
        <v>10672</v>
      </c>
      <c r="K25" s="188">
        <f t="shared" si="0"/>
        <v>9702</v>
      </c>
      <c r="L25" s="188">
        <f t="shared" si="0"/>
        <v>10126</v>
      </c>
      <c r="M25" s="188">
        <f t="shared" si="0"/>
        <v>10436</v>
      </c>
      <c r="N25" s="188">
        <f t="shared" si="0"/>
        <v>12629</v>
      </c>
      <c r="O25" s="188">
        <f t="shared" si="0"/>
        <v>12466</v>
      </c>
      <c r="P25" s="188">
        <f t="shared" si="0"/>
        <v>11789</v>
      </c>
      <c r="Q25" s="188">
        <f>Q17-Q21</f>
        <v>7787</v>
      </c>
      <c r="R25" s="188">
        <f>R17-R21</f>
        <v>9158</v>
      </c>
      <c r="S25" s="188">
        <f t="shared" ref="S25:Z25" si="1">S17-S21</f>
        <v>9106</v>
      </c>
      <c r="T25" s="188">
        <f t="shared" si="1"/>
        <v>10026.17</v>
      </c>
      <c r="U25" s="188">
        <f t="shared" si="1"/>
        <v>11727</v>
      </c>
      <c r="V25" s="188">
        <f t="shared" si="1"/>
        <v>11969</v>
      </c>
      <c r="W25" s="188">
        <f t="shared" si="1"/>
        <v>12172</v>
      </c>
      <c r="X25" s="188">
        <f t="shared" si="1"/>
        <v>13111</v>
      </c>
      <c r="Y25" s="188">
        <f t="shared" si="1"/>
        <v>12687</v>
      </c>
      <c r="Z25" s="188">
        <f t="shared" si="1"/>
        <v>12279</v>
      </c>
      <c r="AA25" s="188">
        <f>AA17-AA21</f>
        <v>12485</v>
      </c>
      <c r="AB25" s="178"/>
      <c r="AC25" s="188">
        <f t="shared" ref="AC25:AI25" si="2">AC17-AC21</f>
        <v>13239</v>
      </c>
      <c r="AD25" s="188">
        <f t="shared" si="2"/>
        <v>12751</v>
      </c>
      <c r="AE25" s="188">
        <f t="shared" si="2"/>
        <v>13795</v>
      </c>
      <c r="AF25" s="188">
        <f t="shared" si="2"/>
        <v>13673</v>
      </c>
      <c r="AG25" s="188">
        <f t="shared" si="2"/>
        <v>17435</v>
      </c>
      <c r="AH25" s="188">
        <f t="shared" si="2"/>
        <v>16876</v>
      </c>
      <c r="AI25" s="188">
        <f t="shared" si="2"/>
        <v>20844</v>
      </c>
      <c r="AJ25" s="188">
        <v>19542</v>
      </c>
      <c r="AK25" s="180"/>
      <c r="AL25" s="188">
        <v>18159</v>
      </c>
      <c r="AM25" s="188">
        <v>15797</v>
      </c>
      <c r="AN25" s="188">
        <v>15837</v>
      </c>
      <c r="AO25" s="188">
        <v>14495</v>
      </c>
      <c r="AP25" s="180"/>
      <c r="AQ25" s="188">
        <v>14247</v>
      </c>
      <c r="AR25" s="188">
        <v>14534</v>
      </c>
      <c r="AS25" s="188">
        <v>13264</v>
      </c>
      <c r="AT25" s="188">
        <v>13132</v>
      </c>
      <c r="AU25" s="188">
        <v>13473</v>
      </c>
      <c r="AV25" s="188">
        <v>14901</v>
      </c>
      <c r="AW25" s="188">
        <v>14718</v>
      </c>
      <c r="AX25" s="188">
        <v>11582</v>
      </c>
      <c r="AY25" s="188">
        <f>AY17-AY21</f>
        <v>12461</v>
      </c>
      <c r="AZ25" s="399">
        <v>12532</v>
      </c>
      <c r="BA25" s="188">
        <v>12062</v>
      </c>
      <c r="BB25" s="188">
        <v>9755</v>
      </c>
      <c r="BC25" s="188">
        <f>BC17-BC21</f>
        <v>14050.434000000001</v>
      </c>
      <c r="BD25" s="188">
        <f>'[2]7 - Dívida'!$BD$25</f>
        <v>14429</v>
      </c>
      <c r="BE25" s="188">
        <v>12341</v>
      </c>
      <c r="BF25" s="188">
        <f>'[1]7 - Dívida'!$BF$25</f>
        <v>9858</v>
      </c>
      <c r="BG25" s="188">
        <v>10763</v>
      </c>
      <c r="BH25" s="188">
        <v>10168.347</v>
      </c>
    </row>
    <row r="26" spans="1:60" ht="14.25" customHeight="1" thickTop="1">
      <c r="B26" s="207"/>
      <c r="C26" s="208"/>
      <c r="D26" s="209"/>
      <c r="E26" s="209"/>
      <c r="F26" s="209"/>
      <c r="G26" s="209"/>
      <c r="H26" s="209"/>
      <c r="I26" s="209"/>
      <c r="J26" s="209"/>
      <c r="K26" s="209"/>
      <c r="L26" s="209"/>
      <c r="M26" s="209"/>
      <c r="N26" s="209"/>
      <c r="O26" s="209"/>
      <c r="P26" s="209"/>
      <c r="Q26" s="209"/>
      <c r="R26" s="209"/>
      <c r="S26" s="209"/>
      <c r="T26" s="208"/>
      <c r="U26" s="208"/>
      <c r="V26" s="208"/>
      <c r="W26" s="208"/>
      <c r="X26" s="208"/>
      <c r="Y26" s="208"/>
      <c r="Z26" s="208"/>
      <c r="AA26" s="208"/>
      <c r="AB26" s="195"/>
      <c r="AC26" s="208"/>
      <c r="AD26" s="208"/>
      <c r="AE26" s="208"/>
      <c r="AF26" s="208"/>
      <c r="AG26" s="208"/>
      <c r="AH26" s="208"/>
      <c r="AI26" s="208"/>
      <c r="AJ26" s="208"/>
      <c r="AK26" s="195"/>
      <c r="AL26" s="208"/>
      <c r="AM26" s="208"/>
      <c r="AN26" s="208"/>
      <c r="AO26" s="208"/>
      <c r="AP26" s="195"/>
      <c r="AQ26" s="208"/>
      <c r="AR26" s="208"/>
      <c r="AS26" s="208"/>
      <c r="AT26" s="208"/>
      <c r="AU26" s="208"/>
      <c r="AV26" s="208"/>
      <c r="AW26" s="208"/>
      <c r="AX26" s="208"/>
      <c r="AY26" s="208"/>
      <c r="AZ26" s="208"/>
      <c r="BA26" s="413"/>
      <c r="BB26" s="413"/>
      <c r="BC26" s="413"/>
      <c r="BD26" s="413"/>
      <c r="BE26" s="413"/>
      <c r="BF26" s="413"/>
      <c r="BG26" s="413"/>
      <c r="BH26" s="413"/>
    </row>
    <row r="27" spans="1:60" ht="14">
      <c r="B27" s="628" t="s">
        <v>160</v>
      </c>
      <c r="C27" s="628"/>
      <c r="D27" s="628"/>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8"/>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row>
    <row r="28" spans="1:60" ht="14">
      <c r="B28" s="182" t="s">
        <v>40</v>
      </c>
      <c r="C28" s="183"/>
      <c r="D28" s="186">
        <v>3323</v>
      </c>
      <c r="E28" s="186">
        <v>3102</v>
      </c>
      <c r="F28" s="186">
        <v>3422</v>
      </c>
      <c r="G28" s="186">
        <v>3516</v>
      </c>
      <c r="H28" s="186">
        <v>3369</v>
      </c>
      <c r="I28" s="186">
        <v>3324</v>
      </c>
      <c r="J28" s="186">
        <v>3159</v>
      </c>
      <c r="K28" s="186">
        <v>2845</v>
      </c>
      <c r="L28" s="186">
        <v>3029</v>
      </c>
      <c r="M28" s="186">
        <v>3086</v>
      </c>
      <c r="N28" s="186">
        <v>3353</v>
      </c>
      <c r="O28" s="186">
        <v>3326</v>
      </c>
      <c r="P28" s="186">
        <v>3317</v>
      </c>
      <c r="Q28" s="186">
        <v>3293</v>
      </c>
      <c r="R28" s="186">
        <v>3268</v>
      </c>
      <c r="S28" s="186">
        <v>3204</v>
      </c>
      <c r="T28" s="186">
        <v>3118</v>
      </c>
      <c r="U28" s="186">
        <v>2889</v>
      </c>
      <c r="V28" s="186">
        <f>2274+618</f>
        <v>2892</v>
      </c>
      <c r="W28" s="186">
        <v>2675</v>
      </c>
      <c r="X28" s="186">
        <v>2345</v>
      </c>
      <c r="Y28" s="186">
        <v>2941</v>
      </c>
      <c r="Z28" s="186">
        <v>3418</v>
      </c>
      <c r="AA28" s="186">
        <v>3418</v>
      </c>
      <c r="AB28" s="184"/>
      <c r="AC28" s="186">
        <v>3935</v>
      </c>
      <c r="AD28" s="186">
        <v>3474</v>
      </c>
      <c r="AE28" s="186">
        <v>4280</v>
      </c>
      <c r="AF28" s="186">
        <v>3817</v>
      </c>
      <c r="AG28" s="186">
        <v>4062</v>
      </c>
      <c r="AH28" s="186">
        <v>4036</v>
      </c>
      <c r="AI28" s="186">
        <v>4376</v>
      </c>
      <c r="AJ28" s="186">
        <v>3472</v>
      </c>
      <c r="AK28" s="186"/>
      <c r="AL28" s="186">
        <v>2862</v>
      </c>
      <c r="AM28" s="186">
        <v>3389</v>
      </c>
      <c r="AN28" s="186">
        <v>3535</v>
      </c>
      <c r="AO28" s="186">
        <v>3395</v>
      </c>
      <c r="AP28" s="186"/>
      <c r="AQ28" s="186">
        <v>2963</v>
      </c>
      <c r="AR28" s="186">
        <v>2985</v>
      </c>
      <c r="AS28" s="186">
        <v>2712</v>
      </c>
      <c r="AT28" s="186">
        <v>2758</v>
      </c>
      <c r="AU28" s="186">
        <v>2939</v>
      </c>
      <c r="AV28" s="186">
        <v>2527</v>
      </c>
      <c r="AW28" s="186">
        <v>2437.8620000000001</v>
      </c>
      <c r="AX28" s="186">
        <v>3901</v>
      </c>
      <c r="AY28" s="186">
        <v>3737.6570000000002</v>
      </c>
      <c r="AZ28" s="398">
        <v>3839</v>
      </c>
      <c r="BA28" s="186">
        <v>3383</v>
      </c>
      <c r="BB28" s="186">
        <v>2953</v>
      </c>
      <c r="BC28" s="474">
        <f>'[2]7 - Dívida'!$BC$28</f>
        <v>3063.982</v>
      </c>
      <c r="BD28" s="474">
        <f>'[2]7 - Dívida'!$BD$28</f>
        <v>3023</v>
      </c>
      <c r="BE28" s="474">
        <v>3030.0720000000001</v>
      </c>
      <c r="BF28" s="474">
        <f>'[1]7 - Dívida'!$BF$28</f>
        <v>4148.4049999999997</v>
      </c>
      <c r="BG28" s="474">
        <v>4086</v>
      </c>
      <c r="BH28" s="474">
        <v>4109.6018600000007</v>
      </c>
    </row>
    <row r="29" spans="1:60" ht="14.25" customHeight="1">
      <c r="B29" s="179" t="s">
        <v>41</v>
      </c>
      <c r="C29" s="180"/>
      <c r="D29" s="189">
        <v>11100</v>
      </c>
      <c r="E29" s="189">
        <v>12197</v>
      </c>
      <c r="F29" s="189">
        <v>13839</v>
      </c>
      <c r="G29" s="189">
        <v>17460</v>
      </c>
      <c r="H29" s="189">
        <v>16748</v>
      </c>
      <c r="I29" s="189">
        <v>14094</v>
      </c>
      <c r="J29" s="189">
        <v>11691</v>
      </c>
      <c r="K29" s="189">
        <v>11003</v>
      </c>
      <c r="L29" s="189">
        <v>11000</v>
      </c>
      <c r="M29" s="189">
        <v>11209</v>
      </c>
      <c r="N29" s="189">
        <v>10413</v>
      </c>
      <c r="O29" s="189">
        <v>10763</v>
      </c>
      <c r="P29" s="189">
        <v>10346</v>
      </c>
      <c r="Q29" s="189">
        <v>8065</v>
      </c>
      <c r="R29" s="189">
        <v>9610</v>
      </c>
      <c r="S29" s="189">
        <v>10000</v>
      </c>
      <c r="T29" s="189">
        <v>9866</v>
      </c>
      <c r="U29" s="189">
        <v>11131</v>
      </c>
      <c r="V29" s="189">
        <v>10838</v>
      </c>
      <c r="W29" s="189">
        <v>11177</v>
      </c>
      <c r="X29" s="189">
        <v>12510</v>
      </c>
      <c r="Y29" s="189">
        <v>12027</v>
      </c>
      <c r="Z29" s="189">
        <v>12420</v>
      </c>
      <c r="AA29" s="189">
        <v>12420</v>
      </c>
      <c r="AB29" s="178"/>
      <c r="AC29" s="189">
        <v>11972</v>
      </c>
      <c r="AD29" s="189">
        <v>12377</v>
      </c>
      <c r="AE29" s="189">
        <v>13209</v>
      </c>
      <c r="AF29" s="189">
        <v>14709</v>
      </c>
      <c r="AG29" s="189">
        <v>17776</v>
      </c>
      <c r="AH29" s="189">
        <v>17142</v>
      </c>
      <c r="AI29" s="189">
        <v>21586</v>
      </c>
      <c r="AJ29" s="189">
        <v>21637</v>
      </c>
      <c r="AK29" s="189"/>
      <c r="AL29" s="189">
        <v>19480</v>
      </c>
      <c r="AM29" s="189">
        <v>16381</v>
      </c>
      <c r="AN29" s="189">
        <v>16633</v>
      </c>
      <c r="AO29" s="190">
        <v>16487</v>
      </c>
      <c r="AP29" s="189"/>
      <c r="AQ29" s="190">
        <v>15928</v>
      </c>
      <c r="AR29" s="190">
        <v>16250</v>
      </c>
      <c r="AS29" s="190">
        <v>15397</v>
      </c>
      <c r="AT29" s="190">
        <v>13333</v>
      </c>
      <c r="AU29" s="190">
        <v>13372</v>
      </c>
      <c r="AV29" s="190">
        <v>15159</v>
      </c>
      <c r="AW29" s="190">
        <v>15536.822000000002</v>
      </c>
      <c r="AX29" s="190">
        <v>10924</v>
      </c>
      <c r="AY29" s="190">
        <v>11151.397000000001</v>
      </c>
      <c r="AZ29" s="190">
        <v>10703</v>
      </c>
      <c r="BA29" s="190">
        <v>12011</v>
      </c>
      <c r="BB29" s="190">
        <v>13033</v>
      </c>
      <c r="BC29" s="475">
        <f>'[2]7 - Dívida'!$BC$29</f>
        <v>16895.472000000002</v>
      </c>
      <c r="BD29" s="475">
        <f>'[2]7 - Dívida'!$BD$29</f>
        <v>17934</v>
      </c>
      <c r="BE29" s="475">
        <v>16510.891</v>
      </c>
      <c r="BF29" s="475">
        <f>'[1]7 - Dívida'!$BF$29</f>
        <v>13366.946</v>
      </c>
      <c r="BG29" s="475">
        <v>13680</v>
      </c>
      <c r="BH29" s="475">
        <v>11696.559139999999</v>
      </c>
    </row>
    <row r="30" spans="1:60" ht="14.25" customHeight="1" thickBot="1">
      <c r="B30" s="191" t="s">
        <v>42</v>
      </c>
      <c r="C30" s="192"/>
      <c r="D30" s="193">
        <v>2032</v>
      </c>
      <c r="E30" s="193">
        <v>1503</v>
      </c>
      <c r="F30" s="193">
        <v>1227</v>
      </c>
      <c r="G30" s="193">
        <v>673</v>
      </c>
      <c r="H30" s="193">
        <v>2032</v>
      </c>
      <c r="I30" s="193">
        <v>1503</v>
      </c>
      <c r="J30" s="193">
        <v>1227</v>
      </c>
      <c r="K30" s="193">
        <v>673</v>
      </c>
      <c r="L30" s="193">
        <v>602</v>
      </c>
      <c r="M30" s="193">
        <v>458</v>
      </c>
      <c r="N30" s="193">
        <v>540</v>
      </c>
      <c r="O30" s="193">
        <v>581</v>
      </c>
      <c r="P30" s="193">
        <v>572</v>
      </c>
      <c r="Q30" s="193">
        <v>550</v>
      </c>
      <c r="R30" s="193">
        <v>646</v>
      </c>
      <c r="S30" s="193">
        <v>480</v>
      </c>
      <c r="T30" s="193">
        <v>477</v>
      </c>
      <c r="U30" s="193">
        <v>702</v>
      </c>
      <c r="V30" s="193">
        <v>948</v>
      </c>
      <c r="W30" s="193">
        <v>939</v>
      </c>
      <c r="X30" s="193">
        <v>1091</v>
      </c>
      <c r="Y30" s="193">
        <v>804</v>
      </c>
      <c r="Z30" s="193">
        <v>823</v>
      </c>
      <c r="AA30" s="193">
        <v>869</v>
      </c>
      <c r="AB30" s="184"/>
      <c r="AC30" s="193">
        <v>852</v>
      </c>
      <c r="AD30" s="193">
        <v>863</v>
      </c>
      <c r="AE30" s="193">
        <v>976</v>
      </c>
      <c r="AF30" s="193">
        <v>996</v>
      </c>
      <c r="AG30" s="193">
        <v>1444</v>
      </c>
      <c r="AH30" s="193">
        <v>1388</v>
      </c>
      <c r="AI30" s="193">
        <v>1622</v>
      </c>
      <c r="AJ30" s="193">
        <v>1352</v>
      </c>
      <c r="AK30" s="186"/>
      <c r="AL30" s="193">
        <v>1942</v>
      </c>
      <c r="AM30" s="193">
        <v>904</v>
      </c>
      <c r="AN30" s="193">
        <v>930</v>
      </c>
      <c r="AO30" s="193">
        <v>701</v>
      </c>
      <c r="AP30" s="186"/>
      <c r="AQ30" s="193">
        <v>667</v>
      </c>
      <c r="AR30" s="194">
        <v>570</v>
      </c>
      <c r="AS30" s="194">
        <v>501</v>
      </c>
      <c r="AT30" s="194">
        <v>418</v>
      </c>
      <c r="AU30" s="194">
        <v>405</v>
      </c>
      <c r="AV30" s="194">
        <v>388</v>
      </c>
      <c r="AW30" s="194">
        <v>218.316</v>
      </c>
      <c r="AX30" s="194">
        <v>81.876000000000005</v>
      </c>
      <c r="AY30" s="194">
        <v>103.977</v>
      </c>
      <c r="AZ30" s="400">
        <v>132</v>
      </c>
      <c r="BA30" s="194">
        <v>100</v>
      </c>
      <c r="BB30" s="194">
        <v>64</v>
      </c>
      <c r="BC30" s="548">
        <f>'[2]7 - Dívida'!$BC$31</f>
        <v>69.98</v>
      </c>
      <c r="BD30" s="476">
        <f>'[2]7 - Dívida'!$BD$31</f>
        <v>20</v>
      </c>
      <c r="BE30" s="557" t="s">
        <v>123</v>
      </c>
      <c r="BF30" s="557" t="str">
        <f>'[1]7 - Dívida'!$BF$31</f>
        <v>-</v>
      </c>
      <c r="BG30" s="557" t="s">
        <v>123</v>
      </c>
      <c r="BH30" s="557" t="s">
        <v>123</v>
      </c>
    </row>
    <row r="31" spans="1:60" ht="14.5" thickTop="1">
      <c r="B31" s="207"/>
      <c r="C31" s="208"/>
      <c r="D31" s="210"/>
      <c r="E31" s="210"/>
      <c r="F31" s="210"/>
      <c r="G31" s="210"/>
      <c r="H31" s="210"/>
      <c r="I31" s="210"/>
      <c r="J31" s="211"/>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9"/>
      <c r="AK31" s="195"/>
      <c r="AL31" s="195"/>
      <c r="AM31" s="212"/>
      <c r="AN31" s="177"/>
      <c r="AO31" s="212"/>
      <c r="AP31" s="195"/>
      <c r="AQ31" s="212"/>
      <c r="AR31" s="212"/>
      <c r="AS31" s="212"/>
      <c r="AT31" s="212"/>
      <c r="AU31" s="177"/>
      <c r="AV31" s="177"/>
      <c r="AW31" s="177"/>
      <c r="AX31" s="177"/>
      <c r="AY31" s="177"/>
      <c r="BA31" s="177"/>
      <c r="BB31" s="177"/>
      <c r="BC31" s="177"/>
      <c r="BD31" s="177"/>
      <c r="BE31" s="177"/>
      <c r="BF31" s="177"/>
      <c r="BG31" s="177"/>
    </row>
    <row r="32" spans="1:60" ht="14">
      <c r="B32" s="401" t="s">
        <v>371</v>
      </c>
      <c r="C32" s="179"/>
      <c r="D32" s="179"/>
      <c r="E32" s="179"/>
      <c r="F32" s="179"/>
      <c r="G32" s="179"/>
      <c r="H32" s="179"/>
      <c r="I32" s="213"/>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214"/>
      <c r="AR32" s="214"/>
      <c r="AS32" s="214"/>
      <c r="AU32" s="214"/>
      <c r="AV32" s="214"/>
      <c r="AW32" s="214"/>
      <c r="AX32" s="177"/>
      <c r="AY32" s="177"/>
      <c r="AZ32" s="177"/>
      <c r="BA32" s="177"/>
      <c r="BB32" s="177"/>
      <c r="BC32" s="177"/>
      <c r="BD32" s="177"/>
      <c r="BE32" s="177"/>
      <c r="BF32" s="177"/>
      <c r="BG32" s="177"/>
    </row>
    <row r="33" spans="1:59" ht="14">
      <c r="B33" s="425">
        <v>2021</v>
      </c>
      <c r="C33" s="578">
        <v>0.1</v>
      </c>
      <c r="D33" s="189">
        <v>2039</v>
      </c>
      <c r="E33" s="218"/>
      <c r="F33" s="218"/>
      <c r="G33" s="218"/>
      <c r="H33" s="189"/>
      <c r="I33" s="213"/>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214"/>
      <c r="AR33" s="214"/>
      <c r="AS33" s="214"/>
      <c r="AU33" s="219"/>
      <c r="AV33" s="219"/>
      <c r="AW33" s="415">
        <v>1284</v>
      </c>
      <c r="AX33" s="177"/>
      <c r="AY33" s="177"/>
      <c r="AZ33" s="177"/>
      <c r="BA33" s="177"/>
      <c r="BB33" s="177"/>
      <c r="BC33" s="177"/>
      <c r="BD33" s="177"/>
      <c r="BE33" s="177"/>
      <c r="BF33" s="177"/>
      <c r="BG33" s="177"/>
    </row>
    <row r="34" spans="1:59" ht="14">
      <c r="B34" s="423">
        <v>2022</v>
      </c>
      <c r="C34" s="579">
        <v>1.5</v>
      </c>
      <c r="D34" s="186">
        <v>126</v>
      </c>
      <c r="E34" s="186"/>
      <c r="F34" s="186"/>
      <c r="G34" s="186"/>
      <c r="H34" s="186"/>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16"/>
      <c r="AR34" s="216"/>
      <c r="AS34" s="216"/>
      <c r="AU34" s="217"/>
      <c r="AV34" s="217"/>
      <c r="AW34" s="414">
        <v>1625</v>
      </c>
      <c r="AX34" s="177"/>
      <c r="AY34" s="177"/>
      <c r="AZ34" s="177"/>
      <c r="BA34" s="177"/>
      <c r="BB34" s="177"/>
      <c r="BC34" s="177"/>
      <c r="BD34" s="177"/>
      <c r="BE34" s="177"/>
      <c r="BF34" s="177"/>
      <c r="BG34" s="177"/>
    </row>
    <row r="35" spans="1:59" ht="14">
      <c r="B35" s="215">
        <v>2023</v>
      </c>
      <c r="C35" s="580">
        <v>2.6</v>
      </c>
      <c r="D35" s="189">
        <v>2197</v>
      </c>
      <c r="E35" s="218"/>
      <c r="F35" s="218"/>
      <c r="G35" s="218"/>
      <c r="H35" s="189"/>
      <c r="I35" s="189"/>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214"/>
      <c r="AR35" s="214"/>
      <c r="AS35" s="214"/>
      <c r="AU35" s="219"/>
      <c r="AV35" s="219"/>
      <c r="AW35" s="415">
        <v>1897</v>
      </c>
      <c r="AX35" s="177"/>
      <c r="AY35" s="177"/>
      <c r="AZ35" s="177"/>
      <c r="BA35" s="177"/>
      <c r="BB35" s="177"/>
      <c r="BC35" s="177"/>
      <c r="BD35" s="177"/>
      <c r="BE35" s="177"/>
      <c r="BF35" s="177"/>
      <c r="BG35" s="177"/>
    </row>
    <row r="36" spans="1:59" ht="14">
      <c r="B36" s="423">
        <v>2024</v>
      </c>
      <c r="C36" s="581">
        <v>1.7</v>
      </c>
      <c r="D36" s="186">
        <v>3499</v>
      </c>
      <c r="E36" s="186"/>
      <c r="F36" s="186"/>
      <c r="G36" s="186"/>
      <c r="H36" s="186"/>
      <c r="I36" s="182"/>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16"/>
      <c r="AR36" s="216"/>
      <c r="AS36" s="216"/>
      <c r="AU36" s="217"/>
      <c r="AV36" s="217"/>
      <c r="AW36" s="414">
        <v>2625</v>
      </c>
      <c r="AX36" s="177"/>
      <c r="AY36" s="177"/>
      <c r="AZ36" s="177"/>
      <c r="BA36" s="177"/>
      <c r="BB36" s="177"/>
      <c r="BC36" s="177"/>
      <c r="BD36" s="177"/>
      <c r="BE36" s="177"/>
      <c r="BF36" s="177"/>
      <c r="BG36" s="177"/>
    </row>
    <row r="37" spans="1:59" ht="14">
      <c r="B37" s="215">
        <v>2025</v>
      </c>
      <c r="C37" s="580">
        <v>0.7</v>
      </c>
      <c r="D37" s="189">
        <v>4604</v>
      </c>
      <c r="E37" s="218"/>
      <c r="F37" s="218"/>
      <c r="G37" s="218"/>
      <c r="H37" s="189"/>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214"/>
      <c r="AR37" s="214"/>
      <c r="AS37" s="214"/>
      <c r="AU37" s="219"/>
      <c r="AV37" s="219"/>
      <c r="AW37" s="415">
        <v>5494</v>
      </c>
      <c r="AX37" s="177"/>
      <c r="AY37" s="177"/>
      <c r="AZ37" s="177"/>
      <c r="BA37" s="177"/>
      <c r="BB37" s="177"/>
      <c r="BC37" s="177"/>
      <c r="BD37" s="177"/>
      <c r="BE37" s="177"/>
      <c r="BF37" s="177"/>
      <c r="BG37" s="177"/>
    </row>
    <row r="38" spans="1:59" ht="14">
      <c r="B38" s="573">
        <v>2026</v>
      </c>
      <c r="C38" s="581">
        <v>0.8</v>
      </c>
      <c r="D38" s="207"/>
      <c r="E38" s="207"/>
      <c r="F38" s="207"/>
      <c r="G38" s="207"/>
      <c r="H38" s="207"/>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77"/>
      <c r="AR38" s="177"/>
      <c r="AS38" s="177"/>
      <c r="AT38" s="177"/>
      <c r="AU38" s="177"/>
      <c r="AV38" s="177"/>
      <c r="AW38" s="177"/>
      <c r="AX38" s="177"/>
      <c r="AY38" s="177"/>
      <c r="AZ38" s="177"/>
      <c r="BA38" s="177"/>
      <c r="BB38" s="177"/>
      <c r="BC38" s="177"/>
      <c r="BD38" s="177"/>
      <c r="BE38" s="177"/>
      <c r="BF38" s="177"/>
      <c r="BG38" s="177"/>
    </row>
    <row r="39" spans="1:59" ht="14">
      <c r="B39" s="215">
        <v>2027</v>
      </c>
      <c r="C39" s="580">
        <v>3.3</v>
      </c>
      <c r="D39" s="207"/>
      <c r="E39" s="207"/>
      <c r="F39" s="207"/>
      <c r="G39" s="207"/>
      <c r="H39" s="207"/>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77"/>
      <c r="AR39" s="177"/>
      <c r="AS39" s="177"/>
      <c r="AT39" s="177"/>
      <c r="AU39" s="177"/>
      <c r="AV39" s="177"/>
      <c r="AW39" s="177"/>
      <c r="AX39" s="177"/>
      <c r="AY39" s="177"/>
      <c r="AZ39" s="177"/>
      <c r="BA39" s="177"/>
      <c r="BB39" s="177"/>
      <c r="BC39" s="177"/>
      <c r="BD39" s="177"/>
      <c r="BE39" s="177"/>
      <c r="BF39" s="177"/>
      <c r="BG39" s="177"/>
    </row>
    <row r="40" spans="1:59" ht="14">
      <c r="B40" s="603" t="s">
        <v>379</v>
      </c>
      <c r="C40" s="581">
        <v>5.2</v>
      </c>
      <c r="D40" s="207"/>
      <c r="E40" s="207"/>
      <c r="F40" s="207"/>
      <c r="G40" s="207"/>
      <c r="H40" s="207"/>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77"/>
      <c r="AR40" s="177"/>
      <c r="AS40" s="177"/>
      <c r="AT40" s="177"/>
      <c r="AU40" s="177"/>
      <c r="AV40" s="177"/>
      <c r="AW40" s="177"/>
      <c r="AX40" s="177"/>
      <c r="AY40" s="177"/>
      <c r="AZ40" s="177"/>
      <c r="BA40" s="177"/>
      <c r="BB40" s="177"/>
      <c r="BC40" s="177"/>
      <c r="BD40" s="177"/>
      <c r="BE40" s="177"/>
      <c r="BF40" s="177"/>
      <c r="BG40" s="177"/>
    </row>
    <row r="41" spans="1:59" ht="14">
      <c r="B41" s="182" t="s">
        <v>136</v>
      </c>
      <c r="C41" s="616">
        <v>5.3600000000000002E-2</v>
      </c>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77"/>
      <c r="AR41" s="177"/>
      <c r="AS41" s="177"/>
      <c r="AT41" s="177"/>
      <c r="AU41" s="177"/>
      <c r="AV41" s="177"/>
      <c r="AW41" s="177"/>
      <c r="AX41" s="177"/>
      <c r="AY41" s="177"/>
      <c r="AZ41" s="177"/>
      <c r="BA41" s="177"/>
      <c r="BB41" s="177"/>
      <c r="BC41" s="177"/>
      <c r="BD41" s="177"/>
      <c r="BE41" s="177"/>
      <c r="BF41" s="177"/>
      <c r="BG41" s="177"/>
    </row>
    <row r="42" spans="1:59" ht="14">
      <c r="A42" s="32"/>
      <c r="B42" s="604" t="s">
        <v>36</v>
      </c>
      <c r="C42" s="617">
        <v>4.7800000000000002E-2</v>
      </c>
      <c r="D42" s="220"/>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77"/>
      <c r="AR42" s="177"/>
      <c r="AS42" s="177"/>
      <c r="AT42" s="177"/>
      <c r="AU42" s="177"/>
      <c r="AV42" s="177"/>
      <c r="AW42" s="177"/>
      <c r="AX42" s="177"/>
      <c r="AY42" s="177"/>
      <c r="AZ42" s="177"/>
      <c r="BA42" s="177"/>
      <c r="BB42" s="177"/>
      <c r="BC42" s="177"/>
      <c r="BD42" s="177"/>
      <c r="BE42" s="177"/>
      <c r="BF42" s="177"/>
      <c r="BG42" s="177"/>
    </row>
    <row r="43" spans="1:59" ht="14">
      <c r="B43" s="185" t="s">
        <v>37</v>
      </c>
      <c r="C43" s="618">
        <v>5.7000000000000002E-2</v>
      </c>
      <c r="D43" s="220"/>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77"/>
      <c r="AR43" s="177"/>
      <c r="AS43" s="177"/>
      <c r="AT43" s="177"/>
      <c r="AU43" s="177"/>
      <c r="AV43" s="177"/>
      <c r="AW43" s="177"/>
      <c r="AX43" s="177"/>
      <c r="AY43" s="177"/>
      <c r="AZ43" s="177"/>
    </row>
    <row r="44" spans="1:59" ht="15" thickBot="1">
      <c r="B44" s="605" t="s">
        <v>38</v>
      </c>
      <c r="C44" s="619">
        <v>5.11E-2</v>
      </c>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row>
    <row r="45" spans="1:59" ht="14.5">
      <c r="B45" s="61"/>
      <c r="C45" s="61"/>
    </row>
    <row r="46" spans="1:59">
      <c r="B46" s="20"/>
    </row>
    <row r="47" spans="1:59">
      <c r="B47" s="21"/>
    </row>
    <row r="48" spans="1:59">
      <c r="B48" s="21"/>
    </row>
  </sheetData>
  <mergeCells count="2">
    <mergeCell ref="B6:C6"/>
    <mergeCell ref="B27:D27"/>
  </mergeCells>
  <phoneticPr fontId="0" type="noConversion"/>
  <pageMargins left="0.39370078740157483" right="0.39370078740157483" top="0.39370078740157483" bottom="0.39370078740157483" header="0" footer="0"/>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B4:BK81"/>
  <sheetViews>
    <sheetView showGridLines="0" tabSelected="1" zoomScale="80" zoomScaleNormal="80" workbookViewId="0">
      <pane xSplit="6" ySplit="4" topLeftCell="BE5" activePane="bottomRight" state="frozen"/>
      <selection pane="topRight" activeCell="G1" sqref="G1"/>
      <selection pane="bottomLeft" activeCell="A4" sqref="A4"/>
      <selection pane="bottomRight" activeCell="BJ17" sqref="BJ17"/>
    </sheetView>
  </sheetViews>
  <sheetFormatPr defaultColWidth="9.1796875" defaultRowHeight="12.5"/>
  <cols>
    <col min="1" max="1" width="1.81640625" style="177" customWidth="1"/>
    <col min="2" max="2" width="7.54296875" style="177" customWidth="1"/>
    <col min="3" max="4" width="9.1796875" style="177"/>
    <col min="5" max="5" width="11.453125" style="177" customWidth="1"/>
    <col min="6" max="6" width="31" style="177" customWidth="1"/>
    <col min="7" max="22" width="11.54296875" style="177" hidden="1" customWidth="1"/>
    <col min="23" max="23" width="11.81640625" style="177" hidden="1" customWidth="1"/>
    <col min="24" max="24" width="10" style="177" hidden="1" customWidth="1"/>
    <col min="25" max="30" width="10.453125" style="177" hidden="1" customWidth="1"/>
    <col min="31" max="31" width="4" style="177" hidden="1" customWidth="1"/>
    <col min="32" max="39" width="10.453125" style="177" hidden="1" customWidth="1"/>
    <col min="40" max="40" width="4" style="177" hidden="1" customWidth="1"/>
    <col min="41" max="41" width="10.453125" style="177" hidden="1" customWidth="1"/>
    <col min="42" max="42" width="11.54296875" style="177" hidden="1" customWidth="1"/>
    <col min="43" max="43" width="11.453125" style="177" hidden="1" customWidth="1"/>
    <col min="44" max="44" width="9.1796875" style="177" hidden="1" customWidth="1"/>
    <col min="45" max="45" width="2.453125" style="177" hidden="1" customWidth="1"/>
    <col min="46" max="46" width="10.453125" style="177" hidden="1" customWidth="1"/>
    <col min="47" max="47" width="9.54296875" style="177" hidden="1" customWidth="1"/>
    <col min="48" max="49" width="9.1796875" style="177" hidden="1" customWidth="1"/>
    <col min="50" max="50" width="9.1796875" style="177" customWidth="1"/>
    <col min="51" max="53" width="9.1796875" style="177" hidden="1" customWidth="1"/>
    <col min="54" max="54" width="7.54296875" style="177" hidden="1" customWidth="1"/>
    <col min="55" max="56" width="0" style="177" hidden="1" customWidth="1"/>
    <col min="57" max="57" width="0" style="438" hidden="1" customWidth="1"/>
    <col min="58" max="58" width="0" style="477" hidden="1" customWidth="1"/>
    <col min="59" max="62" width="9.1796875" style="477"/>
    <col min="63" max="63" width="9.1796875" style="276"/>
    <col min="64" max="16384" width="9.1796875" style="177"/>
  </cols>
  <sheetData>
    <row r="4" spans="2:63" ht="21" customHeight="1"/>
    <row r="5" spans="2:63" ht="28.5" customHeight="1">
      <c r="B5" s="629" t="s">
        <v>100</v>
      </c>
      <c r="C5" s="629"/>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row>
    <row r="6" spans="2:63" s="223" customFormat="1" ht="20.25" customHeight="1" thickBot="1">
      <c r="B6" s="224" t="s">
        <v>4</v>
      </c>
      <c r="C6" s="225"/>
      <c r="D6" s="225"/>
      <c r="E6" s="225"/>
      <c r="F6" s="225"/>
      <c r="G6" s="226" t="s">
        <v>20</v>
      </c>
      <c r="H6" s="226" t="s">
        <v>21</v>
      </c>
      <c r="I6" s="226" t="s">
        <v>22</v>
      </c>
      <c r="J6" s="226" t="s">
        <v>6</v>
      </c>
      <c r="K6" s="226" t="s">
        <v>23</v>
      </c>
      <c r="L6" s="226" t="s">
        <v>24</v>
      </c>
      <c r="M6" s="226" t="s">
        <v>91</v>
      </c>
      <c r="N6" s="226" t="s">
        <v>102</v>
      </c>
      <c r="O6" s="226" t="s">
        <v>103</v>
      </c>
      <c r="P6" s="226" t="s">
        <v>105</v>
      </c>
      <c r="Q6" s="226" t="s">
        <v>106</v>
      </c>
      <c r="R6" s="226" t="s">
        <v>112</v>
      </c>
      <c r="S6" s="226" t="s">
        <v>113</v>
      </c>
      <c r="T6" s="226" t="s">
        <v>114</v>
      </c>
      <c r="U6" s="226" t="s">
        <v>118</v>
      </c>
      <c r="V6" s="226" t="s">
        <v>119</v>
      </c>
      <c r="W6" s="226" t="s">
        <v>120</v>
      </c>
      <c r="X6" s="226" t="s">
        <v>124</v>
      </c>
      <c r="Y6" s="226" t="s">
        <v>127</v>
      </c>
      <c r="Z6" s="226" t="s">
        <v>129</v>
      </c>
      <c r="AA6" s="226" t="s">
        <v>130</v>
      </c>
      <c r="AB6" s="226" t="s">
        <v>132</v>
      </c>
      <c r="AC6" s="226" t="s">
        <v>137</v>
      </c>
      <c r="AD6" s="226" t="s">
        <v>138</v>
      </c>
      <c r="AE6" s="227"/>
      <c r="AF6" s="226" t="s">
        <v>139</v>
      </c>
      <c r="AG6" s="226" t="s">
        <v>142</v>
      </c>
      <c r="AH6" s="226" t="s">
        <v>148</v>
      </c>
      <c r="AI6" s="226" t="s">
        <v>151</v>
      </c>
      <c r="AJ6" s="228" t="s">
        <v>156</v>
      </c>
      <c r="AK6" s="226" t="s">
        <v>157</v>
      </c>
      <c r="AL6" s="229" t="s">
        <v>161</v>
      </c>
      <c r="AM6" s="229" t="s">
        <v>166</v>
      </c>
      <c r="AN6" s="229"/>
      <c r="AO6" s="228" t="s">
        <v>180</v>
      </c>
      <c r="AP6" s="229" t="s">
        <v>181</v>
      </c>
      <c r="AQ6" s="229" t="s">
        <v>192</v>
      </c>
      <c r="AR6" s="229" t="s">
        <v>195</v>
      </c>
      <c r="AS6" s="229"/>
      <c r="AT6" s="228" t="s">
        <v>198</v>
      </c>
      <c r="AU6" s="229" t="s">
        <v>202</v>
      </c>
      <c r="AV6" s="229" t="s">
        <v>203</v>
      </c>
      <c r="AW6" s="229" t="s">
        <v>204</v>
      </c>
      <c r="AX6" s="229" t="s">
        <v>205</v>
      </c>
      <c r="AY6" s="229" t="s">
        <v>206</v>
      </c>
      <c r="AZ6" s="229" t="s">
        <v>207</v>
      </c>
      <c r="BA6" s="229" t="s">
        <v>212</v>
      </c>
      <c r="BB6" s="229" t="s">
        <v>228</v>
      </c>
      <c r="BC6" s="229" t="s">
        <v>247</v>
      </c>
      <c r="BD6" s="229" t="s">
        <v>249</v>
      </c>
      <c r="BE6" s="439" t="s">
        <v>254</v>
      </c>
      <c r="BF6" s="439" t="s">
        <v>258</v>
      </c>
      <c r="BG6" s="439" t="s">
        <v>260</v>
      </c>
      <c r="BH6" s="439" t="s">
        <v>338</v>
      </c>
      <c r="BI6" s="439" t="s">
        <v>366</v>
      </c>
      <c r="BJ6" s="439" t="s">
        <v>373</v>
      </c>
      <c r="BK6" s="439" t="s">
        <v>378</v>
      </c>
    </row>
    <row r="7" spans="2:63" s="223" customFormat="1" ht="9" customHeight="1" thickTop="1">
      <c r="B7" s="230"/>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231"/>
      <c r="AK7" s="101"/>
      <c r="AL7" s="101"/>
      <c r="AM7" s="101"/>
      <c r="AN7" s="101"/>
      <c r="AO7" s="231"/>
      <c r="AP7" s="101"/>
      <c r="AQ7" s="101"/>
      <c r="AR7" s="101"/>
      <c r="AS7" s="101"/>
      <c r="AT7" s="231"/>
      <c r="AU7" s="101"/>
      <c r="AV7" s="101"/>
      <c r="AW7" s="101"/>
      <c r="AX7" s="101"/>
      <c r="AY7" s="101"/>
      <c r="AZ7" s="101"/>
      <c r="BA7" s="101"/>
      <c r="BB7" s="101"/>
      <c r="BC7" s="101"/>
      <c r="BD7" s="101"/>
      <c r="BE7" s="440"/>
      <c r="BF7" s="478"/>
      <c r="BG7" s="478"/>
      <c r="BH7" s="478"/>
      <c r="BI7" s="478"/>
      <c r="BJ7" s="478"/>
      <c r="BK7" s="478"/>
    </row>
    <row r="8" spans="2:63" s="232" customFormat="1" ht="13.5">
      <c r="B8" s="233" t="s">
        <v>58</v>
      </c>
      <c r="C8" s="233"/>
      <c r="D8" s="233"/>
      <c r="E8" s="233"/>
      <c r="F8" s="233"/>
      <c r="G8" s="234">
        <v>8944</v>
      </c>
      <c r="H8" s="234">
        <v>11100</v>
      </c>
      <c r="I8" s="234">
        <v>12444</v>
      </c>
      <c r="J8" s="234">
        <v>9420</v>
      </c>
      <c r="K8" s="234">
        <v>6968</v>
      </c>
      <c r="L8" s="234">
        <v>6402</v>
      </c>
      <c r="M8" s="234">
        <v>6808</v>
      </c>
      <c r="N8" s="234">
        <v>6363</v>
      </c>
      <c r="O8" s="234">
        <v>7108</v>
      </c>
      <c r="P8" s="234">
        <v>8296</v>
      </c>
      <c r="Q8" s="234">
        <v>8190</v>
      </c>
      <c r="R8" s="234">
        <v>7800</v>
      </c>
      <c r="S8" s="234">
        <v>8364</v>
      </c>
      <c r="T8" s="234">
        <v>9010</v>
      </c>
      <c r="U8" s="234">
        <v>8967</v>
      </c>
      <c r="V8" s="234">
        <v>9066</v>
      </c>
      <c r="W8" s="234">
        <v>9199</v>
      </c>
      <c r="X8" s="234">
        <v>9975</v>
      </c>
      <c r="Y8" s="234">
        <v>9819</v>
      </c>
      <c r="Z8" s="234">
        <v>8988</v>
      </c>
      <c r="AA8" s="234">
        <v>9166</v>
      </c>
      <c r="AB8" s="234">
        <v>9882</v>
      </c>
      <c r="AC8" s="234">
        <v>10494</v>
      </c>
      <c r="AD8" s="234">
        <v>10321</v>
      </c>
      <c r="AE8" s="233"/>
      <c r="AF8" s="234">
        <v>10554</v>
      </c>
      <c r="AG8" s="234">
        <v>10443</v>
      </c>
      <c r="AH8" s="234">
        <v>10706</v>
      </c>
      <c r="AI8" s="234">
        <v>10844</v>
      </c>
      <c r="AJ8" s="234">
        <v>10447</v>
      </c>
      <c r="AK8" s="234">
        <v>10759</v>
      </c>
      <c r="AL8" s="234">
        <v>11925</v>
      </c>
      <c r="AM8" s="234">
        <v>10449</v>
      </c>
      <c r="AN8" s="234"/>
      <c r="AO8" s="234">
        <v>10085</v>
      </c>
      <c r="AP8" s="234">
        <v>10249</v>
      </c>
      <c r="AQ8" s="234">
        <v>8699</v>
      </c>
      <c r="AR8" s="234">
        <v>8619</v>
      </c>
      <c r="AS8" s="234"/>
      <c r="AT8" s="234">
        <v>8459</v>
      </c>
      <c r="AU8" s="234">
        <v>9166</v>
      </c>
      <c r="AV8" s="234">
        <v>9476</v>
      </c>
      <c r="AW8" s="234">
        <v>9817</v>
      </c>
      <c r="AX8" s="234">
        <v>10389</v>
      </c>
      <c r="AY8" s="234">
        <v>12035</v>
      </c>
      <c r="AZ8" s="234">
        <v>12836</v>
      </c>
      <c r="BA8" s="234">
        <v>10900</v>
      </c>
      <c r="BB8" s="234">
        <v>10026</v>
      </c>
      <c r="BC8" s="234">
        <v>10154</v>
      </c>
      <c r="BD8" s="234">
        <v>9931</v>
      </c>
      <c r="BE8" s="441">
        <v>9533</v>
      </c>
      <c r="BF8" s="238">
        <v>9228</v>
      </c>
      <c r="BG8" s="238">
        <f>'[2]8 - Demonstrativos Financeiros'!$BC$7</f>
        <v>8745</v>
      </c>
      <c r="BH8" s="238">
        <v>12222</v>
      </c>
      <c r="BI8" s="238">
        <f>'[1]8 - Demonstrativos Financeiros'!$BE$7</f>
        <v>13620</v>
      </c>
      <c r="BJ8" s="582">
        <v>16342.9843191</v>
      </c>
      <c r="BK8" s="582">
        <v>19130.151599260003</v>
      </c>
    </row>
    <row r="9" spans="2:63" s="223" customFormat="1" ht="13.5">
      <c r="B9" s="235" t="s">
        <v>59</v>
      </c>
      <c r="C9" s="236"/>
      <c r="D9" s="236"/>
      <c r="E9" s="236"/>
      <c r="F9" s="236"/>
      <c r="G9" s="237">
        <v>-6812</v>
      </c>
      <c r="H9" s="237">
        <v>-8120</v>
      </c>
      <c r="I9" s="237">
        <v>-8353</v>
      </c>
      <c r="J9" s="237">
        <v>-7734</v>
      </c>
      <c r="K9" s="237">
        <v>-6227</v>
      </c>
      <c r="L9" s="237">
        <v>-5644</v>
      </c>
      <c r="M9" s="237">
        <v>-5352</v>
      </c>
      <c r="N9" s="237">
        <v>-5087</v>
      </c>
      <c r="O9" s="237">
        <v>-5700</v>
      </c>
      <c r="P9" s="237">
        <v>-6482</v>
      </c>
      <c r="Q9" s="237">
        <v>-6840</v>
      </c>
      <c r="R9" s="237">
        <v>-6851</v>
      </c>
      <c r="S9" s="237">
        <v>-7199</v>
      </c>
      <c r="T9" s="237">
        <v>-7606</v>
      </c>
      <c r="U9" s="237">
        <v>-7628</v>
      </c>
      <c r="V9" s="237">
        <v>-7865</v>
      </c>
      <c r="W9" s="237">
        <v>-8093</v>
      </c>
      <c r="X9" s="237">
        <v>-8550</v>
      </c>
      <c r="Y9" s="237">
        <v>-8621</v>
      </c>
      <c r="Z9" s="237">
        <v>-7969</v>
      </c>
      <c r="AA9" s="237">
        <v>-8257</v>
      </c>
      <c r="AB9" s="237">
        <v>-8540</v>
      </c>
      <c r="AC9" s="237">
        <v>-8960</v>
      </c>
      <c r="AD9" s="237">
        <v>-8971</v>
      </c>
      <c r="AE9" s="236"/>
      <c r="AF9" s="237">
        <v>-9238</v>
      </c>
      <c r="AG9" s="237">
        <v>-9179</v>
      </c>
      <c r="AH9" s="237">
        <v>-9430</v>
      </c>
      <c r="AI9" s="237">
        <v>-9559</v>
      </c>
      <c r="AJ9" s="237">
        <v>-9335</v>
      </c>
      <c r="AK9" s="237">
        <v>-9578</v>
      </c>
      <c r="AL9" s="237">
        <v>-10714</v>
      </c>
      <c r="AM9" s="237">
        <v>-9663</v>
      </c>
      <c r="AN9" s="237"/>
      <c r="AO9" s="237">
        <v>-9272</v>
      </c>
      <c r="AP9" s="237">
        <v>-9166</v>
      </c>
      <c r="AQ9" s="237">
        <v>-7652</v>
      </c>
      <c r="AR9" s="237">
        <v>-8098</v>
      </c>
      <c r="AS9" s="237"/>
      <c r="AT9" s="237">
        <v>-7805</v>
      </c>
      <c r="AU9" s="237">
        <v>-8229</v>
      </c>
      <c r="AV9" s="237">
        <v>-8502</v>
      </c>
      <c r="AW9" s="237">
        <v>-8777</v>
      </c>
      <c r="AX9" s="237">
        <v>-9050</v>
      </c>
      <c r="AY9" s="237">
        <v>-10390</v>
      </c>
      <c r="AZ9" s="237">
        <v>-10974</v>
      </c>
      <c r="BA9" s="237">
        <v>-9596</v>
      </c>
      <c r="BB9" s="237">
        <v>-8757</v>
      </c>
      <c r="BC9" s="237">
        <v>-8881</v>
      </c>
      <c r="BD9" s="237">
        <v>-8946</v>
      </c>
      <c r="BE9" s="428">
        <v>-8857</v>
      </c>
      <c r="BF9" s="479">
        <v>-8272</v>
      </c>
      <c r="BG9" s="479">
        <f>'[2]8 - Demonstrativos Financeiros'!$BC$8</f>
        <v>-8027</v>
      </c>
      <c r="BH9" s="479">
        <v>-10525</v>
      </c>
      <c r="BI9" s="479">
        <f>'[1]8 - Demonstrativos Financeiros'!$BE$8</f>
        <v>-10960</v>
      </c>
      <c r="BJ9" s="583">
        <v>-12546.07408734528</v>
      </c>
      <c r="BK9" s="583">
        <v>-13715.913215318022</v>
      </c>
    </row>
    <row r="10" spans="2:63" s="232" customFormat="1" ht="13.5">
      <c r="B10" s="233" t="s">
        <v>60</v>
      </c>
      <c r="C10" s="233"/>
      <c r="D10" s="233"/>
      <c r="E10" s="233"/>
      <c r="F10" s="233"/>
      <c r="G10" s="234">
        <v>2132</v>
      </c>
      <c r="H10" s="234">
        <v>2980</v>
      </c>
      <c r="I10" s="234">
        <v>4091</v>
      </c>
      <c r="J10" s="234">
        <v>1686</v>
      </c>
      <c r="K10" s="234">
        <v>741</v>
      </c>
      <c r="L10" s="234">
        <v>758</v>
      </c>
      <c r="M10" s="234">
        <v>1456</v>
      </c>
      <c r="N10" s="234">
        <v>1276</v>
      </c>
      <c r="O10" s="234">
        <v>1407</v>
      </c>
      <c r="P10" s="234">
        <v>1814</v>
      </c>
      <c r="Q10" s="234">
        <v>1350</v>
      </c>
      <c r="R10" s="234">
        <v>949</v>
      </c>
      <c r="S10" s="234">
        <v>1165</v>
      </c>
      <c r="T10" s="234">
        <v>1404</v>
      </c>
      <c r="U10" s="234">
        <v>1339</v>
      </c>
      <c r="V10" s="234">
        <v>1201</v>
      </c>
      <c r="W10" s="234">
        <v>1106</v>
      </c>
      <c r="X10" s="234">
        <v>1425</v>
      </c>
      <c r="Y10" s="234">
        <v>1198</v>
      </c>
      <c r="Z10" s="234">
        <v>1018</v>
      </c>
      <c r="AA10" s="234">
        <v>908</v>
      </c>
      <c r="AB10" s="234">
        <v>1342</v>
      </c>
      <c r="AC10" s="234">
        <v>1534</v>
      </c>
      <c r="AD10" s="234">
        <v>1350</v>
      </c>
      <c r="AE10" s="233"/>
      <c r="AF10" s="234">
        <v>1316</v>
      </c>
      <c r="AG10" s="234">
        <v>1264</v>
      </c>
      <c r="AH10" s="234">
        <v>1276</v>
      </c>
      <c r="AI10" s="234">
        <v>1284</v>
      </c>
      <c r="AJ10" s="234">
        <v>1112</v>
      </c>
      <c r="AK10" s="234">
        <v>1181</v>
      </c>
      <c r="AL10" s="234">
        <v>1211</v>
      </c>
      <c r="AM10" s="234">
        <v>787</v>
      </c>
      <c r="AN10" s="234"/>
      <c r="AO10" s="234">
        <v>813</v>
      </c>
      <c r="AP10" s="234">
        <v>1083</v>
      </c>
      <c r="AQ10" s="238">
        <v>1046</v>
      </c>
      <c r="AR10" s="238">
        <v>522</v>
      </c>
      <c r="AS10" s="238"/>
      <c r="AT10" s="234">
        <f>AT8+AT9</f>
        <v>654</v>
      </c>
      <c r="AU10" s="238">
        <f>AU8+AU9</f>
        <v>937</v>
      </c>
      <c r="AV10" s="238">
        <f>AV8+AV9</f>
        <v>974</v>
      </c>
      <c r="AW10" s="238">
        <v>1040</v>
      </c>
      <c r="AX10" s="238">
        <v>1339</v>
      </c>
      <c r="AY10" s="238">
        <v>1645</v>
      </c>
      <c r="AZ10" s="238">
        <v>1862</v>
      </c>
      <c r="BA10" s="238">
        <v>1304</v>
      </c>
      <c r="BB10" s="238">
        <v>1269</v>
      </c>
      <c r="BC10" s="238">
        <v>1273</v>
      </c>
      <c r="BD10" s="238">
        <v>985</v>
      </c>
      <c r="BE10" s="441">
        <v>676</v>
      </c>
      <c r="BF10" s="238">
        <v>855</v>
      </c>
      <c r="BG10" s="238">
        <f>'[2]8 - Demonstrativos Financeiros'!$BC$9</f>
        <v>718</v>
      </c>
      <c r="BH10" s="238">
        <v>1697</v>
      </c>
      <c r="BI10" s="238">
        <f>'[1]8 - Demonstrativos Financeiros'!$BE$9</f>
        <v>2660</v>
      </c>
      <c r="BJ10" s="584">
        <v>3796.9102317547204</v>
      </c>
      <c r="BK10" s="584">
        <v>5414.2383839419817</v>
      </c>
    </row>
    <row r="11" spans="2:63" s="239" customFormat="1" ht="13.5">
      <c r="B11" s="240" t="s">
        <v>61</v>
      </c>
      <c r="C11" s="241"/>
      <c r="D11" s="241"/>
      <c r="E11" s="241"/>
      <c r="F11" s="241"/>
      <c r="G11" s="242">
        <v>0.23837209302325582</v>
      </c>
      <c r="H11" s="242">
        <v>0.26846846846846845</v>
      </c>
      <c r="I11" s="242">
        <v>0.32875281260045003</v>
      </c>
      <c r="J11" s="242">
        <v>0.17898089171974521</v>
      </c>
      <c r="K11" s="242">
        <v>0.11337543053960965</v>
      </c>
      <c r="L11" s="242">
        <v>0.12</v>
      </c>
      <c r="M11" s="242">
        <v>0.21</v>
      </c>
      <c r="N11" s="242">
        <v>0.2</v>
      </c>
      <c r="O11" s="242">
        <v>0.2</v>
      </c>
      <c r="P11" s="242">
        <v>0.22</v>
      </c>
      <c r="Q11" s="242">
        <f>Q10/Q8</f>
        <v>0.16483516483516483</v>
      </c>
      <c r="R11" s="242">
        <v>0.12</v>
      </c>
      <c r="S11" s="242">
        <v>0.14000000000000001</v>
      </c>
      <c r="T11" s="242">
        <v>0.16</v>
      </c>
      <c r="U11" s="242">
        <v>0.14899999999999999</v>
      </c>
      <c r="V11" s="242">
        <v>0.13</v>
      </c>
      <c r="W11" s="242">
        <v>0.12</v>
      </c>
      <c r="X11" s="242">
        <v>0.14000000000000001</v>
      </c>
      <c r="Y11" s="242">
        <v>0.12</v>
      </c>
      <c r="Z11" s="242">
        <v>0.11</v>
      </c>
      <c r="AA11" s="242">
        <f>AA10/AA8</f>
        <v>9.9061749945450583E-2</v>
      </c>
      <c r="AB11" s="242">
        <v>0.14000000000000001</v>
      </c>
      <c r="AC11" s="242">
        <f>AC10/AC8</f>
        <v>0.14617876882027825</v>
      </c>
      <c r="AD11" s="242">
        <f>AD10/AD8</f>
        <v>0.13080127894583859</v>
      </c>
      <c r="AE11" s="241"/>
      <c r="AF11" s="242">
        <f>AF10/AF8</f>
        <v>0.124692059882509</v>
      </c>
      <c r="AG11" s="242">
        <v>0.12</v>
      </c>
      <c r="AH11" s="242">
        <v>0.12</v>
      </c>
      <c r="AI11" s="242">
        <v>0.12</v>
      </c>
      <c r="AJ11" s="242">
        <v>0.11</v>
      </c>
      <c r="AK11" s="242">
        <v>0.11</v>
      </c>
      <c r="AL11" s="242">
        <v>0.1</v>
      </c>
      <c r="AM11" s="242">
        <v>0.08</v>
      </c>
      <c r="AN11" s="242"/>
      <c r="AO11" s="242">
        <v>0.08</v>
      </c>
      <c r="AP11" s="242">
        <v>0.11</v>
      </c>
      <c r="AQ11" s="242">
        <v>0.12</v>
      </c>
      <c r="AR11" s="242">
        <v>0.06</v>
      </c>
      <c r="AS11" s="242"/>
      <c r="AT11" s="242">
        <v>0.08</v>
      </c>
      <c r="AU11" s="242">
        <v>0.1</v>
      </c>
      <c r="AV11" s="242">
        <v>0.1</v>
      </c>
      <c r="AW11" s="242">
        <v>0.10593867780380972</v>
      </c>
      <c r="AX11" s="242">
        <v>0.129</v>
      </c>
      <c r="AY11" s="242">
        <v>0.14000000000000001</v>
      </c>
      <c r="AZ11" s="242">
        <v>0.1450607665939545</v>
      </c>
      <c r="BA11" s="242">
        <v>0.11963302752293578</v>
      </c>
      <c r="BB11" s="242">
        <v>0.12657091561938957</v>
      </c>
      <c r="BC11" s="402">
        <f>BC10/BC8</f>
        <v>0.12536931258617293</v>
      </c>
      <c r="BD11" s="417">
        <f>BD10/BD8</f>
        <v>9.9184372167958917E-2</v>
      </c>
      <c r="BE11" s="442">
        <f>BE10/BE8</f>
        <v>7.0911570334627083E-2</v>
      </c>
      <c r="BF11" s="480">
        <f>BF10/BF8</f>
        <v>9.265279583875162E-2</v>
      </c>
      <c r="BG11" s="480">
        <f>BG10/BG8</f>
        <v>8.2104059462550033E-2</v>
      </c>
      <c r="BH11" s="480">
        <v>0.13884797905416463</v>
      </c>
      <c r="BI11" s="480">
        <f>'[1]8 - Demonstrativos Financeiros'!$BE$10</f>
        <v>0.19530102790014683</v>
      </c>
      <c r="BJ11" s="417">
        <f>BJ10/BJ8</f>
        <v>0.23232661536101959</v>
      </c>
      <c r="BK11" s="417">
        <v>0.28302119592985436</v>
      </c>
    </row>
    <row r="12" spans="2:63" s="223" customFormat="1" ht="13.5">
      <c r="B12" s="227" t="s">
        <v>62</v>
      </c>
      <c r="C12" s="227"/>
      <c r="D12" s="227"/>
      <c r="E12" s="227"/>
      <c r="F12" s="227"/>
      <c r="G12" s="243">
        <v>-657</v>
      </c>
      <c r="H12" s="243">
        <v>-741</v>
      </c>
      <c r="I12" s="243">
        <v>-815</v>
      </c>
      <c r="J12" s="243">
        <v>-759</v>
      </c>
      <c r="K12" s="243">
        <v>-599</v>
      </c>
      <c r="L12" s="243">
        <v>-559</v>
      </c>
      <c r="M12" s="243">
        <v>-470</v>
      </c>
      <c r="N12" s="243">
        <v>-513</v>
      </c>
      <c r="O12" s="243">
        <v>-503</v>
      </c>
      <c r="P12" s="243">
        <v>-614</v>
      </c>
      <c r="Q12" s="243">
        <v>-612</v>
      </c>
      <c r="R12" s="243">
        <v>-629</v>
      </c>
      <c r="S12" s="243">
        <v>-579</v>
      </c>
      <c r="T12" s="243">
        <v>-589</v>
      </c>
      <c r="U12" s="243">
        <v>-591</v>
      </c>
      <c r="V12" s="243">
        <v>-642</v>
      </c>
      <c r="W12" s="243">
        <v>-599</v>
      </c>
      <c r="X12" s="243">
        <v>-635</v>
      </c>
      <c r="Y12" s="243">
        <v>-630</v>
      </c>
      <c r="Z12" s="243">
        <v>-607</v>
      </c>
      <c r="AA12" s="243">
        <v>-635</v>
      </c>
      <c r="AB12" s="243">
        <v>-636</v>
      </c>
      <c r="AC12" s="243">
        <v>-672</v>
      </c>
      <c r="AD12" s="243">
        <v>-669</v>
      </c>
      <c r="AE12" s="227"/>
      <c r="AF12" s="243">
        <v>-707</v>
      </c>
      <c r="AG12" s="243">
        <v>-678</v>
      </c>
      <c r="AH12" s="243">
        <v>-661</v>
      </c>
      <c r="AI12" s="243">
        <v>-681</v>
      </c>
      <c r="AJ12" s="243">
        <v>-660</v>
      </c>
      <c r="AK12" s="243">
        <v>-637</v>
      </c>
      <c r="AL12" s="243">
        <v>-630</v>
      </c>
      <c r="AM12" s="243">
        <v>-655</v>
      </c>
      <c r="AN12" s="243"/>
      <c r="AO12" s="243">
        <v>-644</v>
      </c>
      <c r="AP12" s="243">
        <v>-578</v>
      </c>
      <c r="AQ12" s="243">
        <v>-483</v>
      </c>
      <c r="AR12" s="243">
        <v>-535</v>
      </c>
      <c r="AS12" s="243"/>
      <c r="AT12" s="243">
        <v>-439</v>
      </c>
      <c r="AU12" s="243">
        <v>-420</v>
      </c>
      <c r="AV12" s="243">
        <v>-396</v>
      </c>
      <c r="AW12" s="243">
        <v>-398</v>
      </c>
      <c r="AX12" s="243">
        <v>-420</v>
      </c>
      <c r="AY12" s="243">
        <v>-431</v>
      </c>
      <c r="AZ12" s="243">
        <v>-418</v>
      </c>
      <c r="BA12" s="243">
        <v>-400</v>
      </c>
      <c r="BB12" s="243">
        <f>-368</f>
        <v>-368</v>
      </c>
      <c r="BC12" s="243">
        <v>-352</v>
      </c>
      <c r="BD12" s="243">
        <v>-365</v>
      </c>
      <c r="BE12" s="246">
        <v>-353</v>
      </c>
      <c r="BF12" s="481">
        <v>-370</v>
      </c>
      <c r="BG12" s="481">
        <f>'[2]8 - Demonstrativos Financeiros'!$BC$11</f>
        <v>-306</v>
      </c>
      <c r="BH12" s="481">
        <v>-370</v>
      </c>
      <c r="BI12" s="481">
        <f>'[1]8 - Demonstrativos Financeiros'!$BE$11</f>
        <v>-483</v>
      </c>
      <c r="BJ12" s="585">
        <v>-469.48459353425153</v>
      </c>
      <c r="BK12" s="585">
        <v>-476.06906446122878</v>
      </c>
    </row>
    <row r="13" spans="2:63" s="223" customFormat="1" ht="13.5" hidden="1">
      <c r="B13" s="227" t="s">
        <v>255</v>
      </c>
      <c r="C13" s="227"/>
      <c r="D13" s="227"/>
      <c r="E13" s="227"/>
      <c r="F13" s="227"/>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27"/>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424"/>
      <c r="BB13" s="424">
        <v>-6</v>
      </c>
      <c r="BC13" s="424">
        <v>-2</v>
      </c>
      <c r="BD13" s="424">
        <v>-8</v>
      </c>
      <c r="BE13" s="443">
        <v>-9</v>
      </c>
      <c r="BF13" s="482"/>
      <c r="BG13" s="482"/>
      <c r="BH13" s="482"/>
      <c r="BI13" s="482"/>
      <c r="BJ13" s="586"/>
      <c r="BK13" s="586"/>
    </row>
    <row r="14" spans="2:63" s="223" customFormat="1" ht="13.5">
      <c r="B14" s="235" t="s">
        <v>63</v>
      </c>
      <c r="C14" s="236"/>
      <c r="D14" s="236"/>
      <c r="E14" s="236"/>
      <c r="F14" s="236"/>
      <c r="G14" s="237">
        <v>26</v>
      </c>
      <c r="H14" s="237">
        <v>17</v>
      </c>
      <c r="I14" s="237">
        <v>37</v>
      </c>
      <c r="J14" s="237">
        <v>9</v>
      </c>
      <c r="K14" s="237">
        <v>47</v>
      </c>
      <c r="L14" s="237">
        <v>10</v>
      </c>
      <c r="M14" s="237">
        <v>-18</v>
      </c>
      <c r="N14" s="237">
        <v>50</v>
      </c>
      <c r="O14" s="237">
        <v>22</v>
      </c>
      <c r="P14" s="237">
        <v>1</v>
      </c>
      <c r="Q14" s="237">
        <v>49</v>
      </c>
      <c r="R14" s="237">
        <v>34</v>
      </c>
      <c r="S14" s="237">
        <v>35</v>
      </c>
      <c r="T14" s="237">
        <v>18</v>
      </c>
      <c r="U14" s="237">
        <v>24</v>
      </c>
      <c r="V14" s="237">
        <v>32</v>
      </c>
      <c r="W14" s="244">
        <v>32</v>
      </c>
      <c r="X14" s="244">
        <v>9</v>
      </c>
      <c r="Y14" s="244">
        <v>3</v>
      </c>
      <c r="Z14" s="244">
        <v>20</v>
      </c>
      <c r="AA14" s="244">
        <v>51</v>
      </c>
      <c r="AB14" s="244">
        <v>14</v>
      </c>
      <c r="AC14" s="244">
        <v>5</v>
      </c>
      <c r="AD14" s="244">
        <v>108</v>
      </c>
      <c r="AE14" s="236"/>
      <c r="AF14" s="244">
        <v>19</v>
      </c>
      <c r="AG14" s="244">
        <v>17</v>
      </c>
      <c r="AH14" s="244">
        <v>19</v>
      </c>
      <c r="AI14" s="244">
        <v>33</v>
      </c>
      <c r="AJ14" s="244">
        <v>27</v>
      </c>
      <c r="AK14" s="244">
        <v>6</v>
      </c>
      <c r="AL14" s="244">
        <v>8</v>
      </c>
      <c r="AM14" s="244">
        <v>56</v>
      </c>
      <c r="AN14" s="244"/>
      <c r="AO14" s="244">
        <v>40</v>
      </c>
      <c r="AP14" s="244">
        <v>28</v>
      </c>
      <c r="AQ14" s="244">
        <v>32</v>
      </c>
      <c r="AR14" s="244">
        <v>27</v>
      </c>
      <c r="AS14" s="244"/>
      <c r="AT14" s="244">
        <v>63</v>
      </c>
      <c r="AU14" s="244">
        <v>39</v>
      </c>
      <c r="AV14" s="244">
        <v>32</v>
      </c>
      <c r="AW14" s="244">
        <v>-43</v>
      </c>
      <c r="AX14" s="244">
        <f>48.85-18.25</f>
        <v>30.6</v>
      </c>
      <c r="AY14" s="244">
        <v>-9</v>
      </c>
      <c r="AZ14" s="244">
        <v>8</v>
      </c>
      <c r="BA14" s="244">
        <v>-64</v>
      </c>
      <c r="BB14" s="244">
        <v>75</v>
      </c>
      <c r="BC14" s="244">
        <v>45</v>
      </c>
      <c r="BD14" s="244">
        <v>79</v>
      </c>
      <c r="BE14" s="244">
        <f>251.105</f>
        <v>251.10499999999999</v>
      </c>
      <c r="BF14" s="479">
        <v>21</v>
      </c>
      <c r="BG14" s="479">
        <v>205</v>
      </c>
      <c r="BH14" s="479">
        <v>-18</v>
      </c>
      <c r="BI14" s="479">
        <f>'[1]8 - Demonstrativos Financeiros'!$BE$13</f>
        <v>24</v>
      </c>
      <c r="BJ14" s="587">
        <v>87</v>
      </c>
      <c r="BK14" s="587">
        <v>-5.311433719999977</v>
      </c>
    </row>
    <row r="15" spans="2:63" s="223" customFormat="1" ht="13.5" hidden="1">
      <c r="B15" s="227" t="s">
        <v>199</v>
      </c>
      <c r="C15" s="227"/>
      <c r="D15" s="227"/>
      <c r="E15" s="227"/>
      <c r="F15" s="227"/>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27"/>
      <c r="AF15" s="243"/>
      <c r="AG15" s="243"/>
      <c r="AH15" s="243"/>
      <c r="AI15" s="243"/>
      <c r="AJ15" s="243"/>
      <c r="AK15" s="243"/>
      <c r="AL15" s="243"/>
      <c r="AM15" s="243"/>
      <c r="AN15" s="243"/>
      <c r="AO15" s="243"/>
      <c r="AP15" s="243"/>
      <c r="AQ15" s="243"/>
      <c r="AR15" s="243"/>
      <c r="AS15" s="243"/>
      <c r="AT15" s="243">
        <v>930</v>
      </c>
      <c r="AU15" s="243">
        <v>0</v>
      </c>
      <c r="AV15" s="243">
        <v>0</v>
      </c>
      <c r="AW15" s="243">
        <v>0</v>
      </c>
      <c r="AX15" s="243">
        <v>0</v>
      </c>
      <c r="AY15" s="243">
        <v>0</v>
      </c>
      <c r="AZ15" s="243">
        <v>0</v>
      </c>
      <c r="BA15" s="243">
        <v>0</v>
      </c>
      <c r="BB15" s="243">
        <v>0</v>
      </c>
      <c r="BC15" s="246">
        <v>0</v>
      </c>
      <c r="BD15" s="418"/>
      <c r="BE15" s="418"/>
      <c r="BF15" s="483"/>
      <c r="BG15" s="483"/>
      <c r="BH15" s="483"/>
      <c r="BI15" s="483"/>
      <c r="BJ15" s="588"/>
      <c r="BK15" s="588"/>
    </row>
    <row r="16" spans="2:63" s="223" customFormat="1" ht="13.5" hidden="1">
      <c r="B16" s="235" t="s">
        <v>154</v>
      </c>
      <c r="C16" s="236"/>
      <c r="D16" s="236"/>
      <c r="E16" s="236"/>
      <c r="F16" s="236"/>
      <c r="G16" s="237">
        <v>0</v>
      </c>
      <c r="H16" s="237">
        <v>0</v>
      </c>
      <c r="I16" s="237">
        <v>0</v>
      </c>
      <c r="J16" s="237">
        <v>0</v>
      </c>
      <c r="K16" s="237">
        <v>0</v>
      </c>
      <c r="L16" s="237">
        <v>-1080</v>
      </c>
      <c r="M16" s="237">
        <v>-143</v>
      </c>
      <c r="N16" s="237">
        <v>0</v>
      </c>
      <c r="O16" s="237">
        <v>0</v>
      </c>
      <c r="P16" s="237">
        <v>0</v>
      </c>
      <c r="Q16" s="237">
        <v>0</v>
      </c>
      <c r="R16" s="237">
        <v>336</v>
      </c>
      <c r="S16" s="237">
        <v>0</v>
      </c>
      <c r="T16" s="237">
        <v>0</v>
      </c>
      <c r="U16" s="237">
        <v>0</v>
      </c>
      <c r="V16" s="237">
        <v>0</v>
      </c>
      <c r="W16" s="244">
        <v>0</v>
      </c>
      <c r="X16" s="244" t="s">
        <v>123</v>
      </c>
      <c r="Y16" s="244" t="s">
        <v>123</v>
      </c>
      <c r="Z16" s="244">
        <v>0</v>
      </c>
      <c r="AA16" s="244" t="s">
        <v>123</v>
      </c>
      <c r="AB16" s="244" t="s">
        <v>123</v>
      </c>
      <c r="AC16" s="244" t="s">
        <v>123</v>
      </c>
      <c r="AD16" s="244" t="s">
        <v>123</v>
      </c>
      <c r="AE16" s="236"/>
      <c r="AF16" s="244" t="s">
        <v>123</v>
      </c>
      <c r="AG16" s="244" t="s">
        <v>123</v>
      </c>
      <c r="AH16" s="244" t="s">
        <v>123</v>
      </c>
      <c r="AI16" s="244">
        <v>-339</v>
      </c>
      <c r="AJ16" s="244">
        <v>0</v>
      </c>
      <c r="AK16" s="244">
        <v>0</v>
      </c>
      <c r="AL16" s="244">
        <v>-1868</v>
      </c>
      <c r="AM16" s="244">
        <v>-3129</v>
      </c>
      <c r="AN16" s="244"/>
      <c r="AO16" s="244">
        <v>0</v>
      </c>
      <c r="AP16" s="244">
        <v>-105</v>
      </c>
      <c r="AQ16" s="244">
        <v>0</v>
      </c>
      <c r="AR16" s="244">
        <v>-2918</v>
      </c>
      <c r="AS16" s="244"/>
      <c r="AT16" s="244">
        <v>0</v>
      </c>
      <c r="AU16" s="244">
        <v>0</v>
      </c>
      <c r="AV16" s="244">
        <v>0</v>
      </c>
      <c r="AW16" s="244">
        <v>-1115</v>
      </c>
      <c r="AX16" s="244">
        <v>0</v>
      </c>
      <c r="AY16" s="244">
        <v>0</v>
      </c>
      <c r="AZ16" s="244" t="s">
        <v>123</v>
      </c>
      <c r="BA16" s="244">
        <v>0</v>
      </c>
      <c r="BB16" s="244">
        <v>0</v>
      </c>
      <c r="BC16" s="244">
        <v>0</v>
      </c>
      <c r="BD16" s="418"/>
      <c r="BE16" s="418"/>
      <c r="BF16" s="483"/>
      <c r="BG16" s="483"/>
      <c r="BH16" s="483"/>
      <c r="BI16" s="483"/>
      <c r="BJ16" s="588"/>
      <c r="BK16" s="588"/>
    </row>
    <row r="17" spans="2:63" s="223" customFormat="1" ht="13.5">
      <c r="B17" s="227" t="s">
        <v>155</v>
      </c>
      <c r="C17" s="227"/>
      <c r="D17" s="227"/>
      <c r="E17" s="227"/>
      <c r="F17" s="227"/>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27"/>
      <c r="AF17" s="243"/>
      <c r="AG17" s="243"/>
      <c r="AH17" s="243"/>
      <c r="AI17" s="243">
        <v>637</v>
      </c>
      <c r="AJ17" s="243">
        <v>0</v>
      </c>
      <c r="AK17" s="243">
        <v>0</v>
      </c>
      <c r="AL17" s="243" t="s">
        <v>123</v>
      </c>
      <c r="AM17" s="243" t="s">
        <v>123</v>
      </c>
      <c r="AN17" s="243"/>
      <c r="AO17" s="243">
        <v>0</v>
      </c>
      <c r="AP17" s="243">
        <v>0</v>
      </c>
      <c r="AQ17" s="243">
        <v>0</v>
      </c>
      <c r="AR17" s="243">
        <v>47</v>
      </c>
      <c r="AS17" s="243"/>
      <c r="AT17" s="243">
        <v>0</v>
      </c>
      <c r="AU17" s="243">
        <v>-73</v>
      </c>
      <c r="AV17" s="243">
        <v>0</v>
      </c>
      <c r="AW17" s="243">
        <v>-649</v>
      </c>
      <c r="AX17" s="243">
        <v>-3</v>
      </c>
      <c r="AY17" s="243">
        <v>-48</v>
      </c>
      <c r="AZ17" s="243">
        <v>-178</v>
      </c>
      <c r="BA17" s="243">
        <v>-186</v>
      </c>
      <c r="BB17" s="243">
        <v>0</v>
      </c>
      <c r="BC17" s="243">
        <v>0</v>
      </c>
      <c r="BD17" s="246">
        <v>0</v>
      </c>
      <c r="BE17" s="246">
        <v>0</v>
      </c>
      <c r="BF17" s="481" t="s">
        <v>123</v>
      </c>
      <c r="BG17" s="481" t="s">
        <v>123</v>
      </c>
      <c r="BH17" s="481" t="s">
        <v>123</v>
      </c>
      <c r="BI17" s="481" t="str">
        <f>'[1]8 - Demonstrativos Financeiros'!$BE$16</f>
        <v>-</v>
      </c>
      <c r="BJ17" s="589" t="s">
        <v>123</v>
      </c>
      <c r="BK17" s="589" t="s">
        <v>123</v>
      </c>
    </row>
    <row r="18" spans="2:63" s="223" customFormat="1" ht="13.5">
      <c r="B18" s="235" t="s">
        <v>64</v>
      </c>
      <c r="C18" s="236"/>
      <c r="D18" s="236"/>
      <c r="E18" s="236"/>
      <c r="F18" s="236"/>
      <c r="G18" s="237">
        <v>61</v>
      </c>
      <c r="H18" s="237">
        <v>82</v>
      </c>
      <c r="I18" s="237">
        <v>95</v>
      </c>
      <c r="J18" s="237">
        <v>-115</v>
      </c>
      <c r="K18" s="237">
        <v>-65</v>
      </c>
      <c r="L18" s="237">
        <v>-56</v>
      </c>
      <c r="M18" s="237">
        <v>5</v>
      </c>
      <c r="N18" s="237">
        <v>6</v>
      </c>
      <c r="O18" s="237">
        <v>15</v>
      </c>
      <c r="P18" s="237">
        <v>46</v>
      </c>
      <c r="Q18" s="237">
        <v>-6</v>
      </c>
      <c r="R18" s="237">
        <v>-15</v>
      </c>
      <c r="S18" s="237">
        <v>34</v>
      </c>
      <c r="T18" s="237">
        <v>45</v>
      </c>
      <c r="U18" s="237">
        <v>5</v>
      </c>
      <c r="V18" s="237">
        <v>-22</v>
      </c>
      <c r="W18" s="244">
        <v>31</v>
      </c>
      <c r="X18" s="244">
        <v>-14</v>
      </c>
      <c r="Y18" s="244">
        <v>-3</v>
      </c>
      <c r="Z18" s="244">
        <v>-6</v>
      </c>
      <c r="AA18" s="244">
        <v>17</v>
      </c>
      <c r="AB18" s="244">
        <v>-1</v>
      </c>
      <c r="AC18" s="244">
        <v>18</v>
      </c>
      <c r="AD18" s="244">
        <v>19</v>
      </c>
      <c r="AE18" s="236"/>
      <c r="AF18" s="244">
        <v>27</v>
      </c>
      <c r="AG18" s="244">
        <v>27</v>
      </c>
      <c r="AH18" s="244">
        <v>35</v>
      </c>
      <c r="AI18" s="244">
        <v>13</v>
      </c>
      <c r="AJ18" s="244">
        <v>6</v>
      </c>
      <c r="AK18" s="244">
        <v>7</v>
      </c>
      <c r="AL18" s="244">
        <v>6</v>
      </c>
      <c r="AM18" s="244">
        <v>-44</v>
      </c>
      <c r="AN18" s="244"/>
      <c r="AO18" s="244">
        <v>-8</v>
      </c>
      <c r="AP18" s="244">
        <v>0</v>
      </c>
      <c r="AQ18" s="244">
        <v>-2</v>
      </c>
      <c r="AR18" s="244">
        <v>-3</v>
      </c>
      <c r="AS18" s="244"/>
      <c r="AT18" s="244">
        <v>-1</v>
      </c>
      <c r="AU18" s="244">
        <v>-3</v>
      </c>
      <c r="AV18" s="244">
        <v>-29</v>
      </c>
      <c r="AW18" s="244">
        <v>-2</v>
      </c>
      <c r="AX18" s="244">
        <v>17.748999999999999</v>
      </c>
      <c r="AY18" s="244">
        <v>23</v>
      </c>
      <c r="AZ18" s="244">
        <v>-3</v>
      </c>
      <c r="BA18" s="244">
        <v>-29</v>
      </c>
      <c r="BB18" s="244">
        <v>14</v>
      </c>
      <c r="BC18" s="244">
        <v>-39</v>
      </c>
      <c r="BD18" s="244">
        <v>10</v>
      </c>
      <c r="BE18" s="244">
        <v>-2.2759999999999998</v>
      </c>
      <c r="BF18" s="479">
        <v>10</v>
      </c>
      <c r="BG18" s="479">
        <f>'[2]8 - Demonstrativos Financeiros'!$BC$17</f>
        <v>-4</v>
      </c>
      <c r="BH18" s="479">
        <v>71</v>
      </c>
      <c r="BI18" s="479">
        <f>'[1]8 - Demonstrativos Financeiros'!$BE$17</f>
        <v>75</v>
      </c>
      <c r="BJ18" s="587">
        <v>149.15912294</v>
      </c>
      <c r="BK18" s="587">
        <v>236.61588521999997</v>
      </c>
    </row>
    <row r="19" spans="2:63" s="232" customFormat="1" ht="13.5">
      <c r="B19" s="233" t="s">
        <v>65</v>
      </c>
      <c r="C19" s="233"/>
      <c r="D19" s="233"/>
      <c r="E19" s="233"/>
      <c r="F19" s="233"/>
      <c r="G19" s="234">
        <v>1562</v>
      </c>
      <c r="H19" s="234">
        <v>2338</v>
      </c>
      <c r="I19" s="234">
        <v>3408</v>
      </c>
      <c r="J19" s="234">
        <v>821</v>
      </c>
      <c r="K19" s="234">
        <v>125</v>
      </c>
      <c r="L19" s="234">
        <v>-927</v>
      </c>
      <c r="M19" s="234">
        <v>830</v>
      </c>
      <c r="N19" s="234">
        <v>819</v>
      </c>
      <c r="O19" s="234">
        <v>941</v>
      </c>
      <c r="P19" s="234">
        <v>1248</v>
      </c>
      <c r="Q19" s="234">
        <v>781</v>
      </c>
      <c r="R19" s="234">
        <v>675</v>
      </c>
      <c r="S19" s="234">
        <v>655</v>
      </c>
      <c r="T19" s="234">
        <v>878</v>
      </c>
      <c r="U19" s="234">
        <v>777</v>
      </c>
      <c r="V19" s="234">
        <v>569</v>
      </c>
      <c r="W19" s="234">
        <v>570</v>
      </c>
      <c r="X19" s="234">
        <v>785</v>
      </c>
      <c r="Y19" s="234">
        <v>568</v>
      </c>
      <c r="Z19" s="234">
        <v>425</v>
      </c>
      <c r="AA19" s="234">
        <v>341</v>
      </c>
      <c r="AB19" s="234">
        <v>719</v>
      </c>
      <c r="AC19" s="234">
        <v>886</v>
      </c>
      <c r="AD19" s="234">
        <v>808</v>
      </c>
      <c r="AE19" s="233"/>
      <c r="AF19" s="234">
        <v>654</v>
      </c>
      <c r="AG19" s="234">
        <v>630</v>
      </c>
      <c r="AH19" s="234">
        <v>669</v>
      </c>
      <c r="AI19" s="234">
        <v>946</v>
      </c>
      <c r="AJ19" s="234">
        <v>485</v>
      </c>
      <c r="AK19" s="234">
        <v>558</v>
      </c>
      <c r="AL19" s="234">
        <v>-1274</v>
      </c>
      <c r="AM19" s="234">
        <v>-2985</v>
      </c>
      <c r="AN19" s="234"/>
      <c r="AO19" s="234">
        <v>201</v>
      </c>
      <c r="AP19" s="234">
        <v>429</v>
      </c>
      <c r="AQ19" s="234">
        <v>593</v>
      </c>
      <c r="AR19" s="234">
        <v>-2859</v>
      </c>
      <c r="AS19" s="234"/>
      <c r="AT19" s="234">
        <v>1207</v>
      </c>
      <c r="AU19" s="234">
        <v>480</v>
      </c>
      <c r="AV19" s="234">
        <v>580</v>
      </c>
      <c r="AW19" s="234">
        <v>-1167</v>
      </c>
      <c r="AX19" s="234">
        <f>SUM(AX12:AX18)+AX10</f>
        <v>964.34900000000005</v>
      </c>
      <c r="AY19" s="234">
        <f>SUM(AY12:AY18)+AY10</f>
        <v>1180</v>
      </c>
      <c r="AZ19" s="234">
        <v>1271</v>
      </c>
      <c r="BA19" s="234">
        <v>632</v>
      </c>
      <c r="BB19" s="234">
        <v>990</v>
      </c>
      <c r="BC19" s="234">
        <v>925</v>
      </c>
      <c r="BD19" s="234">
        <v>701</v>
      </c>
      <c r="BE19" s="441">
        <v>568</v>
      </c>
      <c r="BF19" s="238">
        <v>473</v>
      </c>
      <c r="BG19" s="238">
        <f>'[2]8 - Demonstrativos Financeiros'!$BC$18</f>
        <v>776</v>
      </c>
      <c r="BH19" s="238">
        <v>1380</v>
      </c>
      <c r="BI19" s="238">
        <f>'[1]8 - Demonstrativos Financeiros'!$BE$18</f>
        <v>2565</v>
      </c>
      <c r="BJ19" s="582">
        <v>3558.0920629604693</v>
      </c>
      <c r="BK19" s="582">
        <v>5562.6899470207527</v>
      </c>
    </row>
    <row r="20" spans="2:63" s="223" customFormat="1" ht="13.5">
      <c r="B20" s="235" t="s">
        <v>66</v>
      </c>
      <c r="C20" s="236"/>
      <c r="D20" s="236"/>
      <c r="E20" s="236"/>
      <c r="F20" s="236"/>
      <c r="G20" s="237">
        <v>-164</v>
      </c>
      <c r="H20" s="237">
        <v>435</v>
      </c>
      <c r="I20" s="237">
        <v>-1553</v>
      </c>
      <c r="J20" s="237">
        <v>-952</v>
      </c>
      <c r="K20" s="237">
        <v>-178</v>
      </c>
      <c r="L20" s="237">
        <v>517</v>
      </c>
      <c r="M20" s="237">
        <v>-24</v>
      </c>
      <c r="N20" s="237">
        <v>-131</v>
      </c>
      <c r="O20" s="237">
        <v>-247</v>
      </c>
      <c r="P20" s="237">
        <v>-255</v>
      </c>
      <c r="Q20" s="237">
        <v>0</v>
      </c>
      <c r="R20" s="237">
        <v>-184</v>
      </c>
      <c r="S20" s="237">
        <v>-172</v>
      </c>
      <c r="T20" s="237">
        <v>-217</v>
      </c>
      <c r="U20" s="237">
        <v>-58</v>
      </c>
      <c r="V20" s="237">
        <v>-82</v>
      </c>
      <c r="W20" s="244">
        <v>-97</v>
      </c>
      <c r="X20" s="244">
        <v>-335</v>
      </c>
      <c r="Y20" s="244">
        <v>-134</v>
      </c>
      <c r="Z20" s="244">
        <v>-222</v>
      </c>
      <c r="AA20" s="244">
        <v>-192</v>
      </c>
      <c r="AB20" s="244">
        <v>-548</v>
      </c>
      <c r="AC20" s="244">
        <v>-206</v>
      </c>
      <c r="AD20" s="244">
        <v>-355</v>
      </c>
      <c r="AE20" s="236"/>
      <c r="AF20" s="244">
        <v>-101</v>
      </c>
      <c r="AG20" s="244">
        <v>-211</v>
      </c>
      <c r="AH20" s="244">
        <v>-575</v>
      </c>
      <c r="AI20" s="244">
        <v>-674</v>
      </c>
      <c r="AJ20" s="244">
        <v>-898</v>
      </c>
      <c r="AK20" s="244">
        <v>-207</v>
      </c>
      <c r="AL20" s="244">
        <v>-1381</v>
      </c>
      <c r="AM20" s="244">
        <v>-392</v>
      </c>
      <c r="AN20" s="244"/>
      <c r="AO20" s="244">
        <v>39</v>
      </c>
      <c r="AP20" s="244">
        <v>-23</v>
      </c>
      <c r="AQ20" s="244">
        <v>-497</v>
      </c>
      <c r="AR20" s="244">
        <v>-465</v>
      </c>
      <c r="AS20" s="244"/>
      <c r="AT20" s="244">
        <v>54</v>
      </c>
      <c r="AU20" s="244">
        <v>-505</v>
      </c>
      <c r="AV20" s="244">
        <v>-254</v>
      </c>
      <c r="AW20" s="244">
        <v>-438</v>
      </c>
      <c r="AX20" s="244">
        <v>-343</v>
      </c>
      <c r="AY20" s="244">
        <v>-714</v>
      </c>
      <c r="AZ20" s="244">
        <v>-441</v>
      </c>
      <c r="BA20" s="244">
        <v>-392</v>
      </c>
      <c r="BB20" s="244">
        <v>-375</v>
      </c>
      <c r="BC20" s="244">
        <v>-300</v>
      </c>
      <c r="BD20" s="244">
        <v>-562</v>
      </c>
      <c r="BE20" s="428">
        <v>-273</v>
      </c>
      <c r="BF20" s="479">
        <v>-231</v>
      </c>
      <c r="BG20" s="479">
        <f>'[2]8 - Demonstrativos Financeiros'!$BC$19</f>
        <v>-330</v>
      </c>
      <c r="BH20" s="479">
        <v>-303</v>
      </c>
      <c r="BI20" s="479">
        <f>'[1]8 - Demonstrativos Financeiros'!$BE$19</f>
        <v>-834</v>
      </c>
      <c r="BJ20" s="587">
        <v>-270.71628790999995</v>
      </c>
      <c r="BK20" s="587">
        <v>57.880180500000002</v>
      </c>
    </row>
    <row r="21" spans="2:63" s="232" customFormat="1" ht="13.5">
      <c r="B21" s="233" t="s">
        <v>67</v>
      </c>
      <c r="C21" s="233"/>
      <c r="D21" s="233"/>
      <c r="E21" s="233"/>
      <c r="F21" s="233"/>
      <c r="G21" s="234">
        <v>1398</v>
      </c>
      <c r="H21" s="234">
        <v>2773</v>
      </c>
      <c r="I21" s="234">
        <v>1855</v>
      </c>
      <c r="J21" s="234">
        <v>-131</v>
      </c>
      <c r="K21" s="234">
        <v>-53</v>
      </c>
      <c r="L21" s="234">
        <v>-410</v>
      </c>
      <c r="M21" s="234">
        <v>806</v>
      </c>
      <c r="N21" s="234">
        <v>688</v>
      </c>
      <c r="O21" s="234">
        <v>695</v>
      </c>
      <c r="P21" s="234">
        <v>992</v>
      </c>
      <c r="Q21" s="234">
        <v>781</v>
      </c>
      <c r="R21" s="234">
        <v>491</v>
      </c>
      <c r="S21" s="234">
        <v>483</v>
      </c>
      <c r="T21" s="234">
        <v>661</v>
      </c>
      <c r="U21" s="234">
        <v>719</v>
      </c>
      <c r="V21" s="234">
        <v>487</v>
      </c>
      <c r="W21" s="234">
        <v>473</v>
      </c>
      <c r="X21" s="234">
        <v>450</v>
      </c>
      <c r="Y21" s="234">
        <v>434</v>
      </c>
      <c r="Z21" s="234">
        <v>203</v>
      </c>
      <c r="AA21" s="234">
        <v>149</v>
      </c>
      <c r="AB21" s="234">
        <v>171</v>
      </c>
      <c r="AC21" s="234">
        <v>679</v>
      </c>
      <c r="AD21" s="234">
        <v>453</v>
      </c>
      <c r="AE21" s="233"/>
      <c r="AF21" s="234">
        <v>553</v>
      </c>
      <c r="AG21" s="234">
        <v>419</v>
      </c>
      <c r="AH21" s="234">
        <v>94</v>
      </c>
      <c r="AI21" s="234">
        <v>273</v>
      </c>
      <c r="AJ21" s="234">
        <v>-413</v>
      </c>
      <c r="AK21" s="234">
        <v>351</v>
      </c>
      <c r="AL21" s="234">
        <v>-2655</v>
      </c>
      <c r="AM21" s="234">
        <v>-3377</v>
      </c>
      <c r="AN21" s="234"/>
      <c r="AO21" s="234">
        <v>240</v>
      </c>
      <c r="AP21" s="234">
        <v>406</v>
      </c>
      <c r="AQ21" s="234">
        <v>96</v>
      </c>
      <c r="AR21" s="234">
        <v>-3325</v>
      </c>
      <c r="AS21" s="234"/>
      <c r="AT21" s="234">
        <v>1261</v>
      </c>
      <c r="AU21" s="234">
        <v>-25</v>
      </c>
      <c r="AV21" s="234">
        <v>326</v>
      </c>
      <c r="AW21" s="234">
        <v>-1605</v>
      </c>
      <c r="AX21" s="234">
        <f>AX19+AX20</f>
        <v>621.34900000000005</v>
      </c>
      <c r="AY21" s="234">
        <f>AY19+AY20</f>
        <v>466</v>
      </c>
      <c r="AZ21" s="234">
        <v>830</v>
      </c>
      <c r="BA21" s="234">
        <v>240</v>
      </c>
      <c r="BB21" s="234">
        <v>615</v>
      </c>
      <c r="BC21" s="234">
        <v>625</v>
      </c>
      <c r="BD21" s="234">
        <v>139</v>
      </c>
      <c r="BE21" s="441">
        <v>295</v>
      </c>
      <c r="BF21" s="238">
        <v>242</v>
      </c>
      <c r="BG21" s="238">
        <f>'[2]8 - Demonstrativos Financeiros'!$BC$20</f>
        <v>446</v>
      </c>
      <c r="BH21" s="238">
        <v>1076</v>
      </c>
      <c r="BI21" s="238">
        <f>'[1]8 - Demonstrativos Financeiros'!$BE$20</f>
        <v>1731</v>
      </c>
      <c r="BJ21" s="582">
        <v>3287.3757750504692</v>
      </c>
      <c r="BK21" s="582">
        <v>5620.570127520753</v>
      </c>
    </row>
    <row r="22" spans="2:63" s="223" customFormat="1" ht="13.5">
      <c r="B22" s="235" t="s">
        <v>68</v>
      </c>
      <c r="C22" s="236"/>
      <c r="D22" s="236"/>
      <c r="E22" s="236"/>
      <c r="F22" s="236"/>
      <c r="G22" s="237">
        <v>-308</v>
      </c>
      <c r="H22" s="237">
        <v>-649</v>
      </c>
      <c r="I22" s="237">
        <v>-434</v>
      </c>
      <c r="J22" s="237">
        <v>442</v>
      </c>
      <c r="K22" s="237">
        <v>88</v>
      </c>
      <c r="L22" s="237">
        <v>81</v>
      </c>
      <c r="M22" s="237">
        <v>-151</v>
      </c>
      <c r="N22" s="237">
        <v>-45</v>
      </c>
      <c r="O22" s="237">
        <v>-122</v>
      </c>
      <c r="P22" s="237">
        <v>-136</v>
      </c>
      <c r="Q22" s="237">
        <v>-172</v>
      </c>
      <c r="R22" s="237">
        <v>-71</v>
      </c>
      <c r="S22" s="237">
        <v>-74</v>
      </c>
      <c r="T22" s="237">
        <v>-158</v>
      </c>
      <c r="U22" s="237">
        <v>-6</v>
      </c>
      <c r="V22" s="237">
        <v>-15</v>
      </c>
      <c r="W22" s="244">
        <v>-76</v>
      </c>
      <c r="X22" s="244">
        <v>99</v>
      </c>
      <c r="Y22" s="244">
        <v>-26</v>
      </c>
      <c r="Z22" s="244">
        <v>-60</v>
      </c>
      <c r="AA22" s="244">
        <v>11</v>
      </c>
      <c r="AB22" s="244">
        <v>230</v>
      </c>
      <c r="AC22" s="244">
        <v>-37</v>
      </c>
      <c r="AD22" s="244">
        <v>39</v>
      </c>
      <c r="AE22" s="236"/>
      <c r="AF22" s="244">
        <v>-113</v>
      </c>
      <c r="AG22" s="244">
        <v>-25</v>
      </c>
      <c r="AH22" s="244">
        <v>168</v>
      </c>
      <c r="AI22" s="244">
        <v>120</v>
      </c>
      <c r="AJ22" s="244">
        <v>680</v>
      </c>
      <c r="AK22" s="244">
        <v>-87</v>
      </c>
      <c r="AL22" s="244">
        <v>697</v>
      </c>
      <c r="AM22" s="244">
        <v>207</v>
      </c>
      <c r="AN22" s="244"/>
      <c r="AO22" s="244">
        <v>-225</v>
      </c>
      <c r="AP22" s="244">
        <v>-327</v>
      </c>
      <c r="AQ22" s="244">
        <v>-1</v>
      </c>
      <c r="AR22" s="244">
        <v>249</v>
      </c>
      <c r="AS22" s="244"/>
      <c r="AT22" s="244">
        <v>-437</v>
      </c>
      <c r="AU22" s="244">
        <v>101</v>
      </c>
      <c r="AV22" s="244">
        <v>-181</v>
      </c>
      <c r="AW22" s="244">
        <v>221</v>
      </c>
      <c r="AX22" s="244">
        <v>-173</v>
      </c>
      <c r="AY22" s="244">
        <v>232</v>
      </c>
      <c r="AZ22" s="244">
        <v>-39</v>
      </c>
      <c r="BA22" s="244">
        <v>149</v>
      </c>
      <c r="BB22" s="244">
        <v>-162</v>
      </c>
      <c r="BC22" s="244">
        <v>-252</v>
      </c>
      <c r="BD22" s="244">
        <v>150</v>
      </c>
      <c r="BE22" s="428">
        <v>-193</v>
      </c>
      <c r="BF22" s="479">
        <v>-21</v>
      </c>
      <c r="BG22" s="479">
        <f>'[2]8 - Demonstrativos Financeiros'!$BC$21</f>
        <v>-131</v>
      </c>
      <c r="BH22" s="479">
        <v>-282</v>
      </c>
      <c r="BI22" s="479">
        <f>'[1]8 - Demonstrativos Financeiros'!$BE$21</f>
        <v>-674</v>
      </c>
      <c r="BJ22" s="587">
        <v>-816.63507089999996</v>
      </c>
      <c r="BK22" s="587">
        <v>-1686.09649848</v>
      </c>
    </row>
    <row r="23" spans="2:63" s="232" customFormat="1" ht="13.5">
      <c r="B23" s="233" t="s">
        <v>168</v>
      </c>
      <c r="C23" s="233"/>
      <c r="D23" s="233"/>
      <c r="E23" s="233"/>
      <c r="F23" s="233"/>
      <c r="G23" s="234">
        <v>1090</v>
      </c>
      <c r="H23" s="234">
        <v>2124</v>
      </c>
      <c r="I23" s="234">
        <v>1421</v>
      </c>
      <c r="J23" s="234">
        <v>311</v>
      </c>
      <c r="K23" s="234">
        <v>35</v>
      </c>
      <c r="L23" s="234">
        <v>-329</v>
      </c>
      <c r="M23" s="234">
        <v>654.70000000000005</v>
      </c>
      <c r="N23" s="234">
        <v>643</v>
      </c>
      <c r="O23" s="234">
        <v>573</v>
      </c>
      <c r="P23" s="234">
        <v>856</v>
      </c>
      <c r="Q23" s="234">
        <v>609</v>
      </c>
      <c r="R23" s="234">
        <v>420</v>
      </c>
      <c r="S23" s="234">
        <v>409</v>
      </c>
      <c r="T23" s="234">
        <v>503</v>
      </c>
      <c r="U23" s="234">
        <v>713</v>
      </c>
      <c r="V23" s="234">
        <v>472</v>
      </c>
      <c r="W23" s="234">
        <v>397</v>
      </c>
      <c r="X23" s="234">
        <v>549</v>
      </c>
      <c r="Y23" s="234">
        <v>408</v>
      </c>
      <c r="Z23" s="234">
        <v>143</v>
      </c>
      <c r="AA23" s="234">
        <v>160</v>
      </c>
      <c r="AB23" s="234">
        <v>401</v>
      </c>
      <c r="AC23" s="234">
        <v>642</v>
      </c>
      <c r="AD23" s="234">
        <v>492</v>
      </c>
      <c r="AE23" s="233"/>
      <c r="AF23" s="234">
        <v>440</v>
      </c>
      <c r="AG23" s="234">
        <v>394</v>
      </c>
      <c r="AH23" s="234">
        <v>262</v>
      </c>
      <c r="AI23" s="234">
        <v>393</v>
      </c>
      <c r="AJ23" s="234">
        <v>267</v>
      </c>
      <c r="AK23" s="234">
        <v>264</v>
      </c>
      <c r="AL23" s="234">
        <v>-1958</v>
      </c>
      <c r="AM23" s="234">
        <v>-3170</v>
      </c>
      <c r="AN23" s="234"/>
      <c r="AO23" s="234">
        <v>14</v>
      </c>
      <c r="AP23" s="234">
        <v>79</v>
      </c>
      <c r="AQ23" s="234">
        <v>95</v>
      </c>
      <c r="AR23" s="234">
        <v>-3076</v>
      </c>
      <c r="AS23" s="234"/>
      <c r="AT23" s="234">
        <v>824</v>
      </c>
      <c r="AU23" s="234">
        <v>76</v>
      </c>
      <c r="AV23" s="234">
        <v>145</v>
      </c>
      <c r="AW23" s="234">
        <v>-1384</v>
      </c>
      <c r="AX23" s="234">
        <f>AX21+AX22</f>
        <v>448.34900000000005</v>
      </c>
      <c r="AY23" s="234">
        <f>AY21+AY22</f>
        <v>698</v>
      </c>
      <c r="AZ23" s="234">
        <v>791</v>
      </c>
      <c r="BA23" s="234">
        <v>389</v>
      </c>
      <c r="BB23" s="234">
        <v>453</v>
      </c>
      <c r="BC23" s="234">
        <v>373</v>
      </c>
      <c r="BD23" s="234">
        <v>289</v>
      </c>
      <c r="BE23" s="441">
        <v>102</v>
      </c>
      <c r="BF23" s="238">
        <v>221</v>
      </c>
      <c r="BG23" s="238">
        <f>'[2]8 - Demonstrativos Financeiros'!$BC$22</f>
        <v>315</v>
      </c>
      <c r="BH23" s="238">
        <v>795</v>
      </c>
      <c r="BI23" s="238">
        <f>'[1]8 - Demonstrativos Financeiros'!$BE$22</f>
        <v>1057</v>
      </c>
      <c r="BJ23" s="582">
        <v>2470.7407041504694</v>
      </c>
      <c r="BK23" s="582">
        <v>3934.4736290407527</v>
      </c>
    </row>
    <row r="24" spans="2:63" s="223" customFormat="1" ht="13.5" customHeight="1">
      <c r="B24" s="235" t="s">
        <v>69</v>
      </c>
      <c r="C24" s="236"/>
      <c r="D24" s="236"/>
      <c r="E24" s="236"/>
      <c r="F24" s="236"/>
      <c r="G24" s="237">
        <v>874</v>
      </c>
      <c r="H24" s="237">
        <v>1864</v>
      </c>
      <c r="I24" s="237">
        <v>967</v>
      </c>
      <c r="J24" s="237">
        <v>236</v>
      </c>
      <c r="K24" s="237">
        <v>88</v>
      </c>
      <c r="L24" s="237">
        <v>-266</v>
      </c>
      <c r="M24" s="237">
        <v>553</v>
      </c>
      <c r="N24" s="237">
        <v>746</v>
      </c>
      <c r="O24" s="237">
        <v>504</v>
      </c>
      <c r="P24" s="237">
        <v>733</v>
      </c>
      <c r="Q24" s="237">
        <v>536</v>
      </c>
      <c r="R24" s="237">
        <v>369</v>
      </c>
      <c r="S24" s="237">
        <v>391</v>
      </c>
      <c r="T24" s="237">
        <v>469</v>
      </c>
      <c r="U24" s="237">
        <v>707</v>
      </c>
      <c r="V24" s="237">
        <v>439</v>
      </c>
      <c r="W24" s="244">
        <v>370</v>
      </c>
      <c r="X24" s="244">
        <v>536</v>
      </c>
      <c r="Y24" s="244">
        <v>389</v>
      </c>
      <c r="Z24" s="244">
        <v>131</v>
      </c>
      <c r="AA24" s="244">
        <v>148</v>
      </c>
      <c r="AB24" s="244">
        <v>390</v>
      </c>
      <c r="AC24" s="244">
        <v>595</v>
      </c>
      <c r="AD24" s="244">
        <v>450</v>
      </c>
      <c r="AE24" s="236"/>
      <c r="AF24" s="244">
        <v>397</v>
      </c>
      <c r="AG24" s="244">
        <v>357</v>
      </c>
      <c r="AH24" s="244">
        <v>252</v>
      </c>
      <c r="AI24" s="244">
        <v>397</v>
      </c>
      <c r="AJ24" s="244">
        <v>293</v>
      </c>
      <c r="AK24" s="244">
        <v>256</v>
      </c>
      <c r="AL24" s="244">
        <v>-1943</v>
      </c>
      <c r="AM24" s="244">
        <v>-3157</v>
      </c>
      <c r="AN24" s="244"/>
      <c r="AO24" s="244">
        <v>9</v>
      </c>
      <c r="AP24" s="244">
        <v>73</v>
      </c>
      <c r="AQ24" s="244">
        <v>92</v>
      </c>
      <c r="AR24" s="244">
        <v>3066</v>
      </c>
      <c r="AS24" s="244"/>
      <c r="AT24" s="244">
        <v>816</v>
      </c>
      <c r="AU24" s="244">
        <v>75</v>
      </c>
      <c r="AV24" s="244">
        <v>0</v>
      </c>
      <c r="AW24" s="244">
        <v>-1385</v>
      </c>
      <c r="AX24" s="244">
        <v>441.029</v>
      </c>
      <c r="AY24" s="244">
        <v>695</v>
      </c>
      <c r="AZ24" s="244">
        <v>785</v>
      </c>
      <c r="BA24" s="244">
        <v>383.471</v>
      </c>
      <c r="BB24" s="244">
        <v>449</v>
      </c>
      <c r="BC24" s="244">
        <v>370</v>
      </c>
      <c r="BD24" s="244">
        <v>285</v>
      </c>
      <c r="BE24" s="428">
        <v>100</v>
      </c>
      <c r="BF24" s="484">
        <v>217</v>
      </c>
      <c r="BG24" s="484">
        <v>315.27199999999999</v>
      </c>
      <c r="BH24" s="484">
        <v>785.54100000000005</v>
      </c>
      <c r="BI24" s="428">
        <v>0</v>
      </c>
      <c r="BJ24" s="587">
        <v>2451.3389999999999</v>
      </c>
      <c r="BK24" s="587">
        <v>3916.5509999999999</v>
      </c>
    </row>
    <row r="25" spans="2:63" s="223" customFormat="1" ht="13.5">
      <c r="B25" s="227" t="s">
        <v>45</v>
      </c>
      <c r="C25" s="227"/>
      <c r="D25" s="227"/>
      <c r="E25" s="227"/>
      <c r="F25" s="227"/>
      <c r="G25" s="243">
        <v>216</v>
      </c>
      <c r="H25" s="243">
        <v>260</v>
      </c>
      <c r="I25" s="243">
        <v>454</v>
      </c>
      <c r="J25" s="243">
        <v>75</v>
      </c>
      <c r="K25" s="243">
        <v>-53</v>
      </c>
      <c r="L25" s="243">
        <v>-63</v>
      </c>
      <c r="M25" s="243">
        <v>102</v>
      </c>
      <c r="N25" s="243">
        <v>-103</v>
      </c>
      <c r="O25" s="243">
        <v>69</v>
      </c>
      <c r="P25" s="243">
        <v>123</v>
      </c>
      <c r="Q25" s="243">
        <v>73</v>
      </c>
      <c r="R25" s="243">
        <v>51</v>
      </c>
      <c r="S25" s="243">
        <v>18</v>
      </c>
      <c r="T25" s="243">
        <v>34</v>
      </c>
      <c r="U25" s="243">
        <v>6</v>
      </c>
      <c r="V25" s="243">
        <v>33</v>
      </c>
      <c r="W25" s="243">
        <v>27</v>
      </c>
      <c r="X25" s="243">
        <v>13</v>
      </c>
      <c r="Y25" s="243">
        <v>19</v>
      </c>
      <c r="Z25" s="243">
        <v>12</v>
      </c>
      <c r="AA25" s="243">
        <v>12</v>
      </c>
      <c r="AB25" s="243">
        <v>11</v>
      </c>
      <c r="AC25" s="243">
        <v>47</v>
      </c>
      <c r="AD25" s="243">
        <v>42</v>
      </c>
      <c r="AE25" s="227"/>
      <c r="AF25" s="243">
        <v>43</v>
      </c>
      <c r="AG25" s="243">
        <v>37</v>
      </c>
      <c r="AH25" s="243">
        <v>10</v>
      </c>
      <c r="AI25" s="243">
        <v>-4</v>
      </c>
      <c r="AJ25" s="243">
        <v>-26</v>
      </c>
      <c r="AK25" s="243">
        <v>9</v>
      </c>
      <c r="AL25" s="243">
        <v>-15</v>
      </c>
      <c r="AM25" s="243">
        <v>-12</v>
      </c>
      <c r="AN25" s="243"/>
      <c r="AO25" s="243">
        <v>5</v>
      </c>
      <c r="AP25" s="243">
        <v>6</v>
      </c>
      <c r="AQ25" s="243">
        <v>3</v>
      </c>
      <c r="AR25" s="243">
        <v>10</v>
      </c>
      <c r="AS25" s="243"/>
      <c r="AT25" s="243">
        <v>8</v>
      </c>
      <c r="AU25" s="243">
        <v>1</v>
      </c>
      <c r="AV25" s="243">
        <v>0</v>
      </c>
      <c r="AW25" s="243">
        <v>1</v>
      </c>
      <c r="AX25" s="243">
        <v>7.38</v>
      </c>
      <c r="AY25" s="243">
        <v>3</v>
      </c>
      <c r="AZ25" s="243">
        <v>6</v>
      </c>
      <c r="BA25" s="243">
        <v>6</v>
      </c>
      <c r="BB25" s="243">
        <v>4</v>
      </c>
      <c r="BC25" s="243">
        <v>3</v>
      </c>
      <c r="BD25" s="243">
        <v>4</v>
      </c>
      <c r="BE25" s="427">
        <v>2</v>
      </c>
      <c r="BF25" s="485">
        <v>5</v>
      </c>
      <c r="BG25" s="485">
        <v>5.0999999999999997E-2</v>
      </c>
      <c r="BH25" s="485">
        <v>9.0440000000000005</v>
      </c>
      <c r="BI25" s="427">
        <v>0</v>
      </c>
      <c r="BJ25" s="585">
        <v>19.196999999999999</v>
      </c>
      <c r="BK25" s="585">
        <v>17.925999999999998</v>
      </c>
    </row>
    <row r="26" spans="2:63" s="223" customFormat="1" ht="13.5" hidden="1" customHeight="1">
      <c r="B26" s="235" t="s">
        <v>164</v>
      </c>
      <c r="C26" s="236"/>
      <c r="D26" s="236"/>
      <c r="E26" s="236"/>
      <c r="F26" s="236"/>
      <c r="G26" s="237"/>
      <c r="H26" s="237"/>
      <c r="I26" s="237"/>
      <c r="J26" s="237"/>
      <c r="K26" s="237" t="s">
        <v>123</v>
      </c>
      <c r="L26" s="237" t="s">
        <v>123</v>
      </c>
      <c r="M26" s="237" t="s">
        <v>123</v>
      </c>
      <c r="N26" s="237" t="s">
        <v>123</v>
      </c>
      <c r="O26" s="237" t="s">
        <v>123</v>
      </c>
      <c r="P26" s="237" t="s">
        <v>123</v>
      </c>
      <c r="Q26" s="237" t="s">
        <v>123</v>
      </c>
      <c r="R26" s="237" t="s">
        <v>123</v>
      </c>
      <c r="S26" s="237" t="s">
        <v>123</v>
      </c>
      <c r="T26" s="237" t="s">
        <v>123</v>
      </c>
      <c r="U26" s="237" t="s">
        <v>123</v>
      </c>
      <c r="V26" s="237" t="s">
        <v>123</v>
      </c>
      <c r="W26" s="244" t="s">
        <v>123</v>
      </c>
      <c r="X26" s="244" t="s">
        <v>123</v>
      </c>
      <c r="Y26" s="244" t="s">
        <v>123</v>
      </c>
      <c r="Z26" s="244" t="s">
        <v>123</v>
      </c>
      <c r="AA26" s="244" t="s">
        <v>123</v>
      </c>
      <c r="AB26" s="244" t="s">
        <v>123</v>
      </c>
      <c r="AC26" s="244" t="s">
        <v>123</v>
      </c>
      <c r="AD26" s="244" t="s">
        <v>123</v>
      </c>
      <c r="AE26" s="236"/>
      <c r="AF26" s="244" t="s">
        <v>123</v>
      </c>
      <c r="AG26" s="244" t="s">
        <v>123</v>
      </c>
      <c r="AH26" s="244" t="s">
        <v>123</v>
      </c>
      <c r="AI26" s="244" t="s">
        <v>123</v>
      </c>
      <c r="AJ26" s="244" t="s">
        <v>123</v>
      </c>
      <c r="AK26" s="244" t="s">
        <v>123</v>
      </c>
      <c r="AL26" s="244">
        <v>1868</v>
      </c>
      <c r="AM26" s="244">
        <v>3129</v>
      </c>
      <c r="AN26" s="244"/>
      <c r="AO26" s="244">
        <v>0</v>
      </c>
      <c r="AP26" s="244">
        <v>0</v>
      </c>
      <c r="AQ26" s="244">
        <v>0</v>
      </c>
      <c r="AR26" s="244">
        <v>2813</v>
      </c>
      <c r="AS26" s="244"/>
      <c r="AT26" s="244">
        <v>0</v>
      </c>
      <c r="AU26" s="244">
        <v>0</v>
      </c>
      <c r="AV26" s="244">
        <v>0</v>
      </c>
      <c r="AW26" s="244">
        <v>1115</v>
      </c>
      <c r="AX26" s="244">
        <v>0</v>
      </c>
      <c r="AY26" s="244">
        <v>0</v>
      </c>
      <c r="AZ26" s="244">
        <v>0</v>
      </c>
      <c r="BA26" s="244">
        <v>0</v>
      </c>
      <c r="BB26" s="244">
        <v>0</v>
      </c>
      <c r="BC26" s="244">
        <v>0</v>
      </c>
      <c r="BD26" s="418"/>
      <c r="BE26" s="426"/>
      <c r="BF26" s="483"/>
      <c r="BG26" s="483"/>
      <c r="BH26" s="483"/>
      <c r="BI26" s="483"/>
      <c r="BJ26" s="483"/>
      <c r="BK26" s="483"/>
    </row>
    <row r="27" spans="2:63" s="223" customFormat="1" ht="13.5" hidden="1">
      <c r="B27" s="227" t="s">
        <v>165</v>
      </c>
      <c r="C27" s="227"/>
      <c r="D27" s="227"/>
      <c r="E27" s="227"/>
      <c r="F27" s="227"/>
      <c r="G27" s="243"/>
      <c r="H27" s="243"/>
      <c r="I27" s="243"/>
      <c r="J27" s="243"/>
      <c r="K27" s="243" t="s">
        <v>123</v>
      </c>
      <c r="L27" s="243" t="s">
        <v>123</v>
      </c>
      <c r="M27" s="243" t="s">
        <v>123</v>
      </c>
      <c r="N27" s="243" t="s">
        <v>123</v>
      </c>
      <c r="O27" s="243" t="s">
        <v>123</v>
      </c>
      <c r="P27" s="243" t="s">
        <v>123</v>
      </c>
      <c r="Q27" s="243" t="s">
        <v>123</v>
      </c>
      <c r="R27" s="243" t="s">
        <v>123</v>
      </c>
      <c r="S27" s="243" t="s">
        <v>123</v>
      </c>
      <c r="T27" s="243" t="s">
        <v>123</v>
      </c>
      <c r="U27" s="243" t="s">
        <v>123</v>
      </c>
      <c r="V27" s="243" t="s">
        <v>123</v>
      </c>
      <c r="W27" s="243" t="s">
        <v>123</v>
      </c>
      <c r="X27" s="243" t="s">
        <v>123</v>
      </c>
      <c r="Y27" s="243" t="s">
        <v>123</v>
      </c>
      <c r="Z27" s="243" t="s">
        <v>123</v>
      </c>
      <c r="AA27" s="243" t="s">
        <v>123</v>
      </c>
      <c r="AB27" s="243" t="s">
        <v>123</v>
      </c>
      <c r="AC27" s="243" t="s">
        <v>123</v>
      </c>
      <c r="AD27" s="243" t="s">
        <v>123</v>
      </c>
      <c r="AE27" s="227"/>
      <c r="AF27" s="243" t="s">
        <v>123</v>
      </c>
      <c r="AG27" s="243" t="s">
        <v>123</v>
      </c>
      <c r="AH27" s="243" t="s">
        <v>123</v>
      </c>
      <c r="AI27" s="243" t="s">
        <v>123</v>
      </c>
      <c r="AJ27" s="243" t="s">
        <v>123</v>
      </c>
      <c r="AK27" s="243" t="s">
        <v>123</v>
      </c>
      <c r="AL27" s="243">
        <v>284</v>
      </c>
      <c r="AM27" s="243" t="s">
        <v>123</v>
      </c>
      <c r="AN27" s="243"/>
      <c r="AO27" s="243">
        <v>0</v>
      </c>
      <c r="AP27" s="243">
        <v>105</v>
      </c>
      <c r="AQ27" s="243">
        <v>0</v>
      </c>
      <c r="AR27" s="243">
        <v>0</v>
      </c>
      <c r="AS27" s="243"/>
      <c r="AT27" s="243">
        <v>0</v>
      </c>
      <c r="AU27" s="243">
        <v>0</v>
      </c>
      <c r="AV27" s="243">
        <v>0</v>
      </c>
      <c r="AW27" s="243">
        <v>0</v>
      </c>
      <c r="AX27" s="243">
        <v>0</v>
      </c>
      <c r="AY27" s="243">
        <v>0</v>
      </c>
      <c r="AZ27" s="243">
        <v>0</v>
      </c>
      <c r="BA27" s="243">
        <v>0</v>
      </c>
      <c r="BB27" s="243">
        <v>0</v>
      </c>
      <c r="BC27" s="243">
        <v>0</v>
      </c>
      <c r="BD27" s="419"/>
      <c r="BE27" s="426"/>
      <c r="BF27" s="483"/>
      <c r="BG27" s="483"/>
      <c r="BH27" s="483"/>
      <c r="BI27" s="483"/>
      <c r="BJ27" s="483"/>
      <c r="BK27" s="483"/>
    </row>
    <row r="28" spans="2:63" s="223" customFormat="1" ht="13.5" customHeight="1">
      <c r="B28" s="235" t="s">
        <v>197</v>
      </c>
      <c r="C28" s="236"/>
      <c r="D28" s="236"/>
      <c r="E28" s="236"/>
      <c r="F28" s="236"/>
      <c r="G28" s="237"/>
      <c r="H28" s="237"/>
      <c r="I28" s="237"/>
      <c r="J28" s="237"/>
      <c r="K28" s="237"/>
      <c r="L28" s="237"/>
      <c r="M28" s="237"/>
      <c r="N28" s="237"/>
      <c r="O28" s="237"/>
      <c r="P28" s="237"/>
      <c r="Q28" s="237"/>
      <c r="R28" s="237"/>
      <c r="S28" s="237"/>
      <c r="T28" s="237"/>
      <c r="U28" s="237"/>
      <c r="V28" s="237"/>
      <c r="W28" s="244"/>
      <c r="X28" s="244"/>
      <c r="Y28" s="244"/>
      <c r="Z28" s="244"/>
      <c r="AA28" s="244"/>
      <c r="AB28" s="244"/>
      <c r="AC28" s="244"/>
      <c r="AD28" s="244"/>
      <c r="AE28" s="236"/>
      <c r="AF28" s="244"/>
      <c r="AG28" s="244"/>
      <c r="AH28" s="244"/>
      <c r="AI28" s="244"/>
      <c r="AJ28" s="244"/>
      <c r="AK28" s="244"/>
      <c r="AL28" s="244"/>
      <c r="AM28" s="244"/>
      <c r="AN28" s="244"/>
      <c r="AO28" s="244"/>
      <c r="AP28" s="244"/>
      <c r="AQ28" s="244"/>
      <c r="AR28" s="244">
        <v>58</v>
      </c>
      <c r="AS28" s="244"/>
      <c r="AT28" s="244">
        <v>0</v>
      </c>
      <c r="AU28" s="244">
        <v>73</v>
      </c>
      <c r="AV28" s="244">
        <v>0</v>
      </c>
      <c r="AW28" s="244">
        <v>649</v>
      </c>
      <c r="AX28" s="244">
        <v>3</v>
      </c>
      <c r="AY28" s="244">
        <v>48</v>
      </c>
      <c r="AZ28" s="244">
        <v>177</v>
      </c>
      <c r="BA28" s="244">
        <v>186</v>
      </c>
      <c r="BB28" s="244">
        <v>0</v>
      </c>
      <c r="BC28" s="244">
        <v>0</v>
      </c>
      <c r="BD28" s="244">
        <v>0</v>
      </c>
      <c r="BE28" s="428">
        <v>0</v>
      </c>
      <c r="BF28" s="479">
        <v>0</v>
      </c>
      <c r="BG28" s="479">
        <f>'[2]8 - Demonstrativos Financeiros'!$BC$27</f>
        <v>0</v>
      </c>
      <c r="BH28" s="479">
        <v>0</v>
      </c>
      <c r="BI28" s="479">
        <f>'[1]8 - Demonstrativos Financeiros'!$BE$27</f>
        <v>0</v>
      </c>
      <c r="BJ28" s="479">
        <v>0</v>
      </c>
      <c r="BK28" s="479">
        <v>0</v>
      </c>
    </row>
    <row r="29" spans="2:63" s="223" customFormat="1" ht="13.5" customHeight="1">
      <c r="B29" s="245" t="s">
        <v>221</v>
      </c>
      <c r="C29" s="227"/>
      <c r="D29" s="227"/>
      <c r="E29" s="227"/>
      <c r="F29" s="227"/>
      <c r="G29" s="243"/>
      <c r="H29" s="243"/>
      <c r="I29" s="243"/>
      <c r="J29" s="243"/>
      <c r="K29" s="243"/>
      <c r="L29" s="243"/>
      <c r="M29" s="243"/>
      <c r="N29" s="243"/>
      <c r="O29" s="243"/>
      <c r="P29" s="243"/>
      <c r="Q29" s="243"/>
      <c r="R29" s="243"/>
      <c r="S29" s="243"/>
      <c r="T29" s="243"/>
      <c r="U29" s="243"/>
      <c r="V29" s="243"/>
      <c r="W29" s="246"/>
      <c r="X29" s="246"/>
      <c r="Y29" s="246"/>
      <c r="Z29" s="246"/>
      <c r="AA29" s="246"/>
      <c r="AB29" s="246"/>
      <c r="AC29" s="246"/>
      <c r="AD29" s="246"/>
      <c r="AE29" s="227"/>
      <c r="AF29" s="246"/>
      <c r="AG29" s="246"/>
      <c r="AH29" s="246"/>
      <c r="AI29" s="246"/>
      <c r="AJ29" s="246"/>
      <c r="AK29" s="246"/>
      <c r="AL29" s="246"/>
      <c r="AM29" s="246"/>
      <c r="AN29" s="246"/>
      <c r="AO29" s="246"/>
      <c r="AP29" s="246"/>
      <c r="AQ29" s="246"/>
      <c r="AR29" s="246"/>
      <c r="AS29" s="246"/>
      <c r="AT29" s="246"/>
      <c r="AU29" s="246"/>
      <c r="AV29" s="246"/>
      <c r="AW29" s="246"/>
      <c r="AX29" s="246"/>
      <c r="AY29" s="246"/>
      <c r="AZ29" s="246"/>
      <c r="BA29" s="246">
        <v>224</v>
      </c>
      <c r="BB29" s="246">
        <v>0</v>
      </c>
      <c r="BC29" s="246">
        <v>0</v>
      </c>
      <c r="BD29" s="246">
        <v>0</v>
      </c>
      <c r="BE29" s="427">
        <v>0</v>
      </c>
      <c r="BF29" s="481">
        <v>0</v>
      </c>
      <c r="BG29" s="481">
        <f>'[2]8 - Demonstrativos Financeiros'!$BC$28</f>
        <v>0</v>
      </c>
      <c r="BH29" s="481">
        <v>0</v>
      </c>
      <c r="BI29" s="481">
        <f>'[1]8 - Demonstrativos Financeiros'!$BE$30</f>
        <v>0</v>
      </c>
      <c r="BJ29" s="481">
        <v>0</v>
      </c>
      <c r="BK29" s="481">
        <v>0</v>
      </c>
    </row>
    <row r="30" spans="2:63" s="223" customFormat="1" ht="13.5" hidden="1">
      <c r="B30" s="236" t="s">
        <v>200</v>
      </c>
      <c r="C30" s="236"/>
      <c r="D30" s="236"/>
      <c r="E30" s="236"/>
      <c r="F30" s="236"/>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6"/>
      <c r="AF30" s="237"/>
      <c r="AG30" s="237"/>
      <c r="AH30" s="237"/>
      <c r="AI30" s="237"/>
      <c r="AJ30" s="237"/>
      <c r="AK30" s="237"/>
      <c r="AL30" s="237"/>
      <c r="AM30" s="237"/>
      <c r="AN30" s="237"/>
      <c r="AO30" s="237">
        <v>0</v>
      </c>
      <c r="AP30" s="237">
        <v>0</v>
      </c>
      <c r="AQ30" s="237">
        <v>0</v>
      </c>
      <c r="AR30" s="237">
        <v>0</v>
      </c>
      <c r="AS30" s="237"/>
      <c r="AT30" s="237">
        <v>-930</v>
      </c>
      <c r="AU30" s="237">
        <v>0</v>
      </c>
      <c r="AV30" s="237">
        <v>0</v>
      </c>
      <c r="AW30" s="237">
        <v>0</v>
      </c>
      <c r="AX30" s="237">
        <v>0</v>
      </c>
      <c r="AY30" s="237">
        <v>0</v>
      </c>
      <c r="AZ30" s="237">
        <v>0</v>
      </c>
      <c r="BA30" s="237">
        <v>0</v>
      </c>
      <c r="BB30" s="237">
        <v>0</v>
      </c>
      <c r="BC30" s="237">
        <v>0</v>
      </c>
      <c r="BD30" s="419"/>
      <c r="BE30" s="426"/>
      <c r="BF30" s="483"/>
      <c r="BG30" s="483"/>
      <c r="BH30" s="483"/>
      <c r="BI30" s="483"/>
      <c r="BJ30" s="483">
        <v>0</v>
      </c>
      <c r="BK30" s="483"/>
    </row>
    <row r="31" spans="2:63" s="223" customFormat="1" ht="13.5" hidden="1" customHeight="1">
      <c r="B31" s="245" t="s">
        <v>201</v>
      </c>
      <c r="C31" s="227"/>
      <c r="D31" s="227"/>
      <c r="E31" s="227"/>
      <c r="F31" s="227"/>
      <c r="G31" s="243"/>
      <c r="H31" s="243"/>
      <c r="I31" s="243"/>
      <c r="J31" s="243"/>
      <c r="K31" s="246"/>
      <c r="L31" s="246"/>
      <c r="M31" s="246"/>
      <c r="N31" s="246"/>
      <c r="O31" s="246"/>
      <c r="P31" s="246"/>
      <c r="Q31" s="246"/>
      <c r="R31" s="246"/>
      <c r="S31" s="246"/>
      <c r="T31" s="246"/>
      <c r="U31" s="246"/>
      <c r="V31" s="246"/>
      <c r="W31" s="246"/>
      <c r="X31" s="246"/>
      <c r="Y31" s="246"/>
      <c r="Z31" s="246"/>
      <c r="AA31" s="246"/>
      <c r="AB31" s="246"/>
      <c r="AC31" s="246"/>
      <c r="AD31" s="246"/>
      <c r="AE31" s="227"/>
      <c r="AF31" s="246"/>
      <c r="AG31" s="246"/>
      <c r="AH31" s="246"/>
      <c r="AI31" s="246"/>
      <c r="AJ31" s="246"/>
      <c r="AK31" s="246"/>
      <c r="AL31" s="246"/>
      <c r="AM31" s="246"/>
      <c r="AN31" s="246"/>
      <c r="AO31" s="246">
        <v>0</v>
      </c>
      <c r="AP31" s="246">
        <v>0</v>
      </c>
      <c r="AQ31" s="246">
        <v>0</v>
      </c>
      <c r="AR31" s="246">
        <v>0</v>
      </c>
      <c r="AS31" s="246"/>
      <c r="AT31" s="246">
        <v>-370</v>
      </c>
      <c r="AU31" s="246">
        <v>0</v>
      </c>
      <c r="AV31" s="246">
        <v>0</v>
      </c>
      <c r="AW31" s="246">
        <v>0</v>
      </c>
      <c r="AX31" s="246">
        <v>0</v>
      </c>
      <c r="AY31" s="246">
        <v>0</v>
      </c>
      <c r="AZ31" s="246">
        <v>0</v>
      </c>
      <c r="BA31" s="246">
        <v>0</v>
      </c>
      <c r="BB31" s="246">
        <v>0</v>
      </c>
      <c r="BC31" s="246">
        <v>0</v>
      </c>
      <c r="BD31" s="244">
        <v>238</v>
      </c>
      <c r="BE31" s="428">
        <f>131.11</f>
        <v>131.11000000000001</v>
      </c>
      <c r="BF31" s="479">
        <v>0</v>
      </c>
      <c r="BG31" s="479">
        <v>0</v>
      </c>
      <c r="BH31" s="479">
        <v>0</v>
      </c>
      <c r="BI31" s="479">
        <v>0</v>
      </c>
      <c r="BJ31" s="479">
        <v>0</v>
      </c>
      <c r="BK31" s="479">
        <v>0</v>
      </c>
    </row>
    <row r="32" spans="2:63" s="223" customFormat="1" ht="13.5" customHeight="1">
      <c r="B32" s="235" t="s">
        <v>256</v>
      </c>
      <c r="C32" s="236"/>
      <c r="D32" s="236"/>
      <c r="E32" s="236"/>
      <c r="F32" s="236"/>
      <c r="G32" s="237"/>
      <c r="H32" s="237"/>
      <c r="I32" s="237"/>
      <c r="J32" s="237"/>
      <c r="K32" s="237"/>
      <c r="L32" s="237"/>
      <c r="M32" s="237"/>
      <c r="N32" s="237"/>
      <c r="O32" s="237"/>
      <c r="P32" s="237"/>
      <c r="Q32" s="237"/>
      <c r="R32" s="237"/>
      <c r="S32" s="237"/>
      <c r="T32" s="237"/>
      <c r="U32" s="237"/>
      <c r="V32" s="237"/>
      <c r="W32" s="244"/>
      <c r="X32" s="244"/>
      <c r="Y32" s="244"/>
      <c r="Z32" s="244"/>
      <c r="AA32" s="244"/>
      <c r="AB32" s="244"/>
      <c r="AC32" s="244"/>
      <c r="AD32" s="244"/>
      <c r="AE32" s="236"/>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v>238</v>
      </c>
      <c r="BE32" s="244">
        <v>131</v>
      </c>
      <c r="BF32" s="479">
        <v>0</v>
      </c>
      <c r="BG32" s="479">
        <f>'[2]8 - Demonstrativos Financeiros'!$BC$30</f>
        <v>119</v>
      </c>
      <c r="BH32" s="479">
        <v>0</v>
      </c>
      <c r="BI32" s="479">
        <f>'[1]8 - Demonstrativos Financeiros'!$BE$3</f>
        <v>0</v>
      </c>
      <c r="BJ32" s="479">
        <v>0</v>
      </c>
      <c r="BK32" s="479">
        <v>0</v>
      </c>
    </row>
    <row r="33" spans="2:63" s="223" customFormat="1" ht="13.5" customHeight="1">
      <c r="B33" s="245" t="s">
        <v>251</v>
      </c>
      <c r="C33" s="227"/>
      <c r="D33" s="227"/>
      <c r="E33" s="227"/>
      <c r="F33" s="227"/>
      <c r="G33" s="243"/>
      <c r="H33" s="243"/>
      <c r="I33" s="243"/>
      <c r="J33" s="243"/>
      <c r="K33" s="243"/>
      <c r="L33" s="243"/>
      <c r="M33" s="243"/>
      <c r="N33" s="243"/>
      <c r="O33" s="243"/>
      <c r="P33" s="243"/>
      <c r="Q33" s="243"/>
      <c r="R33" s="243"/>
      <c r="S33" s="243"/>
      <c r="T33" s="243"/>
      <c r="U33" s="243"/>
      <c r="V33" s="243"/>
      <c r="W33" s="246"/>
      <c r="X33" s="246"/>
      <c r="Y33" s="246"/>
      <c r="Z33" s="246"/>
      <c r="AA33" s="246"/>
      <c r="AB33" s="246"/>
      <c r="AC33" s="246"/>
      <c r="AD33" s="246"/>
      <c r="AE33" s="227"/>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v>-57</v>
      </c>
      <c r="BE33" s="427">
        <v>-193</v>
      </c>
      <c r="BF33" s="481" t="s">
        <v>123</v>
      </c>
      <c r="BG33" s="481">
        <f>'[2]8 - Demonstrativos Financeiros'!$BC$31</f>
        <v>-308</v>
      </c>
      <c r="BH33" s="481">
        <v>0</v>
      </c>
      <c r="BI33" s="481">
        <f>'[1]8 - Demonstrativos Financeiros'!$BE$31</f>
        <v>0</v>
      </c>
      <c r="BJ33" s="481">
        <v>0</v>
      </c>
      <c r="BK33" s="481">
        <v>-856</v>
      </c>
    </row>
    <row r="34" spans="2:63" s="223" customFormat="1" ht="13.5" customHeight="1">
      <c r="B34" s="235" t="s">
        <v>252</v>
      </c>
      <c r="C34" s="236"/>
      <c r="D34" s="236"/>
      <c r="E34" s="236"/>
      <c r="F34" s="236"/>
      <c r="G34" s="237"/>
      <c r="H34" s="237"/>
      <c r="I34" s="237"/>
      <c r="J34" s="237"/>
      <c r="K34" s="237"/>
      <c r="L34" s="237"/>
      <c r="M34" s="237"/>
      <c r="N34" s="237"/>
      <c r="O34" s="237"/>
      <c r="P34" s="237"/>
      <c r="Q34" s="237"/>
      <c r="R34" s="237"/>
      <c r="S34" s="237"/>
      <c r="T34" s="237"/>
      <c r="U34" s="237"/>
      <c r="V34" s="237"/>
      <c r="W34" s="244"/>
      <c r="X34" s="244"/>
      <c r="Y34" s="244"/>
      <c r="Z34" s="244"/>
      <c r="AA34" s="244"/>
      <c r="AB34" s="244"/>
      <c r="AC34" s="244"/>
      <c r="AD34" s="244"/>
      <c r="AE34" s="236"/>
      <c r="AF34" s="244"/>
      <c r="AG34" s="244"/>
      <c r="AH34" s="244"/>
      <c r="AI34" s="244"/>
      <c r="AJ34" s="244"/>
      <c r="AK34" s="244"/>
      <c r="AL34" s="244"/>
      <c r="AM34" s="244"/>
      <c r="AN34" s="244"/>
      <c r="AO34" s="244"/>
      <c r="AP34" s="244"/>
      <c r="AQ34" s="244"/>
      <c r="AR34" s="244"/>
      <c r="AS34" s="244"/>
      <c r="AT34" s="244"/>
      <c r="AU34" s="244"/>
      <c r="AV34" s="244"/>
      <c r="AW34" s="244"/>
      <c r="AX34" s="244"/>
      <c r="AY34" s="244"/>
      <c r="AZ34" s="244"/>
      <c r="BA34" s="244"/>
      <c r="BB34" s="244"/>
      <c r="BC34" s="244"/>
      <c r="BD34" s="244">
        <f>(BD32+BD33)*-34%</f>
        <v>-61.540000000000006</v>
      </c>
      <c r="BE34" s="428">
        <v>21</v>
      </c>
      <c r="BF34" s="479">
        <v>0</v>
      </c>
      <c r="BG34" s="479">
        <f>'[2]8 - Demonstrativos Financeiros'!$BC$33</f>
        <v>64</v>
      </c>
      <c r="BH34" s="479">
        <v>0</v>
      </c>
      <c r="BI34" s="479">
        <f>'[1]8 - Demonstrativos Financeiros'!$BE$33</f>
        <v>144.84399999999999</v>
      </c>
      <c r="BJ34" s="479">
        <v>0</v>
      </c>
      <c r="BK34" s="479">
        <v>291.03699999999998</v>
      </c>
    </row>
    <row r="35" spans="2:63" s="223" customFormat="1" ht="13.5" customHeight="1">
      <c r="B35" s="245" t="s">
        <v>253</v>
      </c>
      <c r="C35" s="227"/>
      <c r="D35" s="227"/>
      <c r="E35" s="227"/>
      <c r="F35" s="227"/>
      <c r="G35" s="243"/>
      <c r="H35" s="243"/>
      <c r="I35" s="243"/>
      <c r="J35" s="243"/>
      <c r="K35" s="243"/>
      <c r="L35" s="243"/>
      <c r="M35" s="243"/>
      <c r="N35" s="243"/>
      <c r="O35" s="243"/>
      <c r="P35" s="243"/>
      <c r="Q35" s="243"/>
      <c r="R35" s="243"/>
      <c r="S35" s="243"/>
      <c r="T35" s="243"/>
      <c r="U35" s="243"/>
      <c r="V35" s="243"/>
      <c r="W35" s="246"/>
      <c r="X35" s="246"/>
      <c r="Y35" s="246"/>
      <c r="Z35" s="246"/>
      <c r="AA35" s="246"/>
      <c r="AB35" s="246"/>
      <c r="AC35" s="246"/>
      <c r="AD35" s="246"/>
      <c r="AE35" s="227"/>
      <c r="AF35" s="246"/>
      <c r="AG35" s="246"/>
      <c r="AH35" s="246"/>
      <c r="AI35" s="246"/>
      <c r="AJ35" s="246"/>
      <c r="AK35" s="246"/>
      <c r="AL35" s="246"/>
      <c r="AM35" s="246"/>
      <c r="AN35" s="246"/>
      <c r="AO35" s="246">
        <v>0</v>
      </c>
      <c r="AP35" s="246">
        <v>0</v>
      </c>
      <c r="AQ35" s="246">
        <v>0</v>
      </c>
      <c r="AR35" s="246">
        <v>0</v>
      </c>
      <c r="AS35" s="246"/>
      <c r="AT35" s="246">
        <v>442</v>
      </c>
      <c r="AU35" s="246">
        <v>0</v>
      </c>
      <c r="AV35" s="246">
        <v>0</v>
      </c>
      <c r="AW35" s="246">
        <v>-118</v>
      </c>
      <c r="AX35" s="246">
        <v>0</v>
      </c>
      <c r="AY35" s="246">
        <v>0</v>
      </c>
      <c r="AZ35" s="246">
        <v>30</v>
      </c>
      <c r="BA35" s="246">
        <v>-487</v>
      </c>
      <c r="BB35" s="246">
        <v>0</v>
      </c>
      <c r="BC35" s="246">
        <v>0</v>
      </c>
      <c r="BD35" s="246">
        <v>0</v>
      </c>
      <c r="BE35" s="427">
        <v>0</v>
      </c>
      <c r="BF35" s="481" t="s">
        <v>123</v>
      </c>
      <c r="BG35" s="481" t="str">
        <f>'[2]8 - Demonstrativos Financeiros'!$BC$34</f>
        <v>-</v>
      </c>
      <c r="BH35" s="481">
        <v>0</v>
      </c>
      <c r="BI35" s="481">
        <f>'[1]8 - Demonstrativos Financeiros'!$BE$3</f>
        <v>0</v>
      </c>
      <c r="BJ35" s="481">
        <v>0</v>
      </c>
      <c r="BK35" s="481">
        <v>0</v>
      </c>
    </row>
    <row r="36" spans="2:63" s="232" customFormat="1" ht="13.5" customHeight="1">
      <c r="B36" s="254" t="s">
        <v>167</v>
      </c>
      <c r="C36" s="263"/>
      <c r="D36" s="263"/>
      <c r="E36" s="263"/>
      <c r="F36" s="263"/>
      <c r="G36" s="422"/>
      <c r="H36" s="422"/>
      <c r="I36" s="422"/>
      <c r="J36" s="422"/>
      <c r="K36" s="422" t="s">
        <v>123</v>
      </c>
      <c r="L36" s="422" t="s">
        <v>123</v>
      </c>
      <c r="M36" s="422" t="s">
        <v>123</v>
      </c>
      <c r="N36" s="422" t="s">
        <v>123</v>
      </c>
      <c r="O36" s="422" t="s">
        <v>123</v>
      </c>
      <c r="P36" s="422" t="s">
        <v>123</v>
      </c>
      <c r="Q36" s="422" t="s">
        <v>123</v>
      </c>
      <c r="R36" s="422" t="s">
        <v>123</v>
      </c>
      <c r="S36" s="422" t="s">
        <v>123</v>
      </c>
      <c r="T36" s="422" t="s">
        <v>123</v>
      </c>
      <c r="U36" s="422" t="s">
        <v>123</v>
      </c>
      <c r="V36" s="422" t="s">
        <v>123</v>
      </c>
      <c r="W36" s="420" t="s">
        <v>123</v>
      </c>
      <c r="X36" s="420" t="s">
        <v>123</v>
      </c>
      <c r="Y36" s="420" t="s">
        <v>123</v>
      </c>
      <c r="Z36" s="420" t="s">
        <v>123</v>
      </c>
      <c r="AA36" s="420" t="s">
        <v>123</v>
      </c>
      <c r="AB36" s="420" t="s">
        <v>123</v>
      </c>
      <c r="AC36" s="420" t="s">
        <v>123</v>
      </c>
      <c r="AD36" s="420" t="s">
        <v>123</v>
      </c>
      <c r="AE36" s="263"/>
      <c r="AF36" s="420" t="s">
        <v>123</v>
      </c>
      <c r="AG36" s="420" t="s">
        <v>123</v>
      </c>
      <c r="AH36" s="420" t="s">
        <v>123</v>
      </c>
      <c r="AI36" s="420" t="s">
        <v>123</v>
      </c>
      <c r="AJ36" s="420" t="s">
        <v>123</v>
      </c>
      <c r="AK36" s="420" t="s">
        <v>123</v>
      </c>
      <c r="AL36" s="420">
        <v>193</v>
      </c>
      <c r="AM36" s="420">
        <v>-41</v>
      </c>
      <c r="AN36" s="420"/>
      <c r="AO36" s="420">
        <v>0</v>
      </c>
      <c r="AP36" s="420">
        <v>185</v>
      </c>
      <c r="AQ36" s="420">
        <v>0</v>
      </c>
      <c r="AR36" s="420">
        <v>203</v>
      </c>
      <c r="AS36" s="420"/>
      <c r="AT36" s="420">
        <v>-34</v>
      </c>
      <c r="AU36" s="420">
        <v>149</v>
      </c>
      <c r="AV36" s="420">
        <v>145</v>
      </c>
      <c r="AW36" s="420">
        <f>SUM(AW24:AW35)</f>
        <v>262</v>
      </c>
      <c r="AX36" s="420">
        <f>SUM(AX24:AX35)</f>
        <v>451.40899999999999</v>
      </c>
      <c r="AY36" s="420">
        <f>SUM(AY24:AY35)</f>
        <v>746</v>
      </c>
      <c r="AZ36" s="420">
        <v>998</v>
      </c>
      <c r="BA36" s="420">
        <v>312</v>
      </c>
      <c r="BB36" s="420">
        <v>453</v>
      </c>
      <c r="BC36" s="420">
        <v>373</v>
      </c>
      <c r="BD36" s="420">
        <v>408</v>
      </c>
      <c r="BE36" s="429">
        <v>61</v>
      </c>
      <c r="BF36" s="486">
        <v>221</v>
      </c>
      <c r="BG36" s="486">
        <f>'[2]8 - Demonstrativos Financeiros'!$BC$35</f>
        <v>191</v>
      </c>
      <c r="BH36" s="486">
        <v>795</v>
      </c>
      <c r="BI36" s="486">
        <f>'[1]8 - Demonstrativos Financeiros'!$BE$35</f>
        <v>1201.6400000000001</v>
      </c>
      <c r="BJ36" s="590">
        <v>2470.7407041504694</v>
      </c>
      <c r="BK36" s="590">
        <v>3370</v>
      </c>
    </row>
    <row r="37" spans="2:63" s="223" customFormat="1" ht="13.5">
      <c r="B37" s="421" t="s">
        <v>250</v>
      </c>
      <c r="C37" s="101"/>
      <c r="D37" s="101"/>
      <c r="E37" s="101"/>
      <c r="F37" s="101"/>
      <c r="G37" s="247"/>
      <c r="H37" s="247"/>
      <c r="I37" s="247"/>
      <c r="J37" s="247"/>
      <c r="K37" s="247"/>
      <c r="L37" s="247"/>
      <c r="M37" s="247"/>
      <c r="N37" s="247"/>
      <c r="O37" s="247"/>
      <c r="P37" s="247"/>
      <c r="Q37" s="247"/>
      <c r="R37" s="247"/>
      <c r="S37" s="247"/>
      <c r="T37" s="247"/>
      <c r="U37" s="247"/>
      <c r="V37" s="247"/>
      <c r="W37" s="248"/>
      <c r="X37" s="248"/>
      <c r="Y37" s="248"/>
      <c r="Z37" s="248"/>
      <c r="AA37" s="248"/>
      <c r="AB37" s="248"/>
      <c r="AC37" s="248"/>
      <c r="AD37" s="248"/>
      <c r="AE37" s="101"/>
      <c r="AF37" s="248"/>
      <c r="AG37" s="248"/>
      <c r="AH37" s="248"/>
      <c r="AI37" s="248"/>
      <c r="AJ37" s="249"/>
      <c r="AK37" s="248"/>
      <c r="AL37" s="248"/>
      <c r="AM37" s="248"/>
      <c r="AN37" s="248"/>
      <c r="AO37" s="249"/>
      <c r="AP37" s="248"/>
      <c r="AQ37" s="248"/>
      <c r="AR37" s="248"/>
      <c r="AS37" s="248"/>
      <c r="AT37" s="249"/>
      <c r="AU37" s="248"/>
      <c r="AV37" s="248"/>
      <c r="AW37" s="248"/>
      <c r="AX37" s="248"/>
      <c r="AY37" s="248"/>
      <c r="AZ37" s="248"/>
      <c r="BA37" s="248"/>
      <c r="BB37" s="248"/>
      <c r="BC37" s="248"/>
      <c r="BD37" s="248"/>
      <c r="BE37" s="248"/>
      <c r="BF37" s="487"/>
      <c r="BG37" s="487"/>
      <c r="BH37" s="487"/>
      <c r="BI37" s="487"/>
      <c r="BJ37" s="487"/>
      <c r="BK37" s="487"/>
    </row>
    <row r="38" spans="2:63" s="223" customFormat="1" ht="13.5">
      <c r="B38" s="431" t="s">
        <v>70</v>
      </c>
      <c r="C38" s="431"/>
      <c r="D38" s="430"/>
      <c r="E38" s="430"/>
      <c r="F38" s="430"/>
      <c r="G38" s="247">
        <v>423</v>
      </c>
      <c r="H38" s="247">
        <v>409</v>
      </c>
      <c r="I38" s="247">
        <v>434</v>
      </c>
      <c r="J38" s="247">
        <v>631</v>
      </c>
      <c r="K38" s="247">
        <v>474</v>
      </c>
      <c r="L38" s="247">
        <v>442</v>
      </c>
      <c r="M38" s="247">
        <v>402</v>
      </c>
      <c r="N38" s="247">
        <v>427</v>
      </c>
      <c r="O38" s="247">
        <v>459</v>
      </c>
      <c r="P38" s="247">
        <v>472</v>
      </c>
      <c r="Q38" s="247">
        <v>485</v>
      </c>
      <c r="R38" s="247">
        <v>476</v>
      </c>
      <c r="S38" s="247">
        <v>448</v>
      </c>
      <c r="T38" s="247">
        <v>431</v>
      </c>
      <c r="U38" s="247">
        <v>437</v>
      </c>
      <c r="V38" s="247">
        <v>456</v>
      </c>
      <c r="W38" s="247">
        <v>438</v>
      </c>
      <c r="X38" s="247">
        <v>459</v>
      </c>
      <c r="Y38" s="247">
        <v>465</v>
      </c>
      <c r="Z38" s="247">
        <v>465</v>
      </c>
      <c r="AA38" s="247">
        <v>464</v>
      </c>
      <c r="AB38" s="247">
        <v>477</v>
      </c>
      <c r="AC38" s="247">
        <v>528</v>
      </c>
      <c r="AD38" s="247">
        <v>561</v>
      </c>
      <c r="AE38" s="101"/>
      <c r="AF38" s="247">
        <v>542</v>
      </c>
      <c r="AG38" s="247">
        <v>541</v>
      </c>
      <c r="AH38" s="247">
        <v>555</v>
      </c>
      <c r="AI38" s="247">
        <v>590</v>
      </c>
      <c r="AJ38" s="250">
        <v>604</v>
      </c>
      <c r="AK38" s="247">
        <v>626</v>
      </c>
      <c r="AL38" s="247">
        <v>671</v>
      </c>
      <c r="AM38" s="247">
        <v>707</v>
      </c>
      <c r="AN38" s="247"/>
      <c r="AO38" s="250">
        <v>681</v>
      </c>
      <c r="AP38" s="247">
        <v>617</v>
      </c>
      <c r="AQ38" s="247">
        <v>567</v>
      </c>
      <c r="AR38" s="247">
        <v>671</v>
      </c>
      <c r="AS38" s="247"/>
      <c r="AT38" s="250">
        <v>528</v>
      </c>
      <c r="AU38" s="247">
        <v>526</v>
      </c>
      <c r="AV38" s="247">
        <v>514</v>
      </c>
      <c r="AW38" s="247">
        <v>524</v>
      </c>
      <c r="AX38" s="247">
        <v>453</v>
      </c>
      <c r="AY38" s="247">
        <v>453</v>
      </c>
      <c r="AZ38" s="247">
        <v>478</v>
      </c>
      <c r="BA38" s="430">
        <v>504</v>
      </c>
      <c r="BB38" s="430">
        <v>506</v>
      </c>
      <c r="BC38" s="430">
        <v>527</v>
      </c>
      <c r="BD38" s="430">
        <v>502</v>
      </c>
      <c r="BE38" s="444">
        <v>538</v>
      </c>
      <c r="BF38" s="430">
        <v>557</v>
      </c>
      <c r="BG38" s="430">
        <f>'[2]8 - Demonstrativos Financeiros'!$BC$38</f>
        <v>611</v>
      </c>
      <c r="BH38" s="430">
        <v>647</v>
      </c>
      <c r="BI38" s="430">
        <v>684</v>
      </c>
      <c r="BJ38" s="591">
        <v>648.82934737527842</v>
      </c>
      <c r="BK38" s="591">
        <v>630.49909063801965</v>
      </c>
    </row>
    <row r="39" spans="2:63" s="223" customFormat="1" ht="13.5">
      <c r="B39" s="235" t="s">
        <v>163</v>
      </c>
      <c r="C39" s="236"/>
      <c r="D39" s="236"/>
      <c r="E39" s="236"/>
      <c r="F39" s="236"/>
      <c r="G39" s="237">
        <v>1985</v>
      </c>
      <c r="H39" s="237">
        <v>2747</v>
      </c>
      <c r="I39" s="237">
        <v>3842</v>
      </c>
      <c r="J39" s="237">
        <v>1452</v>
      </c>
      <c r="K39" s="237">
        <v>599</v>
      </c>
      <c r="L39" s="237">
        <v>595</v>
      </c>
      <c r="M39" s="237">
        <v>1374.7</v>
      </c>
      <c r="N39" s="237">
        <v>1246</v>
      </c>
      <c r="O39" s="237">
        <v>1401</v>
      </c>
      <c r="P39" s="237">
        <v>1720</v>
      </c>
      <c r="Q39" s="237">
        <v>1265</v>
      </c>
      <c r="R39" s="237">
        <v>815</v>
      </c>
      <c r="S39" s="237">
        <v>1102</v>
      </c>
      <c r="T39" s="237">
        <v>1309</v>
      </c>
      <c r="U39" s="237">
        <v>1215</v>
      </c>
      <c r="V39" s="237">
        <v>1025</v>
      </c>
      <c r="W39" s="237">
        <v>1008</v>
      </c>
      <c r="X39" s="237">
        <v>1244</v>
      </c>
      <c r="Y39" s="237">
        <v>1033</v>
      </c>
      <c r="Z39" s="237">
        <v>891</v>
      </c>
      <c r="AA39" s="237">
        <v>805</v>
      </c>
      <c r="AB39" s="237">
        <v>1196</v>
      </c>
      <c r="AC39" s="237">
        <v>1413</v>
      </c>
      <c r="AD39" s="237">
        <v>1370</v>
      </c>
      <c r="AE39" s="236"/>
      <c r="AF39" s="237">
        <v>1221</v>
      </c>
      <c r="AG39" s="237">
        <v>1198</v>
      </c>
      <c r="AH39" s="237">
        <v>1241</v>
      </c>
      <c r="AI39" s="237">
        <v>1247</v>
      </c>
      <c r="AJ39" s="237">
        <v>1106</v>
      </c>
      <c r="AK39" s="237">
        <v>1192</v>
      </c>
      <c r="AL39" s="237">
        <v>1291</v>
      </c>
      <c r="AM39" s="237">
        <v>911</v>
      </c>
      <c r="AN39" s="237"/>
      <c r="AO39" s="237">
        <v>930</v>
      </c>
      <c r="AP39" s="237">
        <v>1201</v>
      </c>
      <c r="AQ39" s="237">
        <v>1200</v>
      </c>
      <c r="AR39" s="237">
        <v>716</v>
      </c>
      <c r="AS39" s="237"/>
      <c r="AT39" s="237">
        <v>853</v>
      </c>
      <c r="AU39" s="237">
        <v>1120</v>
      </c>
      <c r="AV39" s="237">
        <v>1164</v>
      </c>
      <c r="AW39" s="237">
        <v>1178</v>
      </c>
      <c r="AX39" s="237">
        <v>1484</v>
      </c>
      <c r="AY39" s="237">
        <v>1756</v>
      </c>
      <c r="AZ39" s="237">
        <v>2013</v>
      </c>
      <c r="BA39" s="237">
        <v>1404</v>
      </c>
      <c r="BB39" s="237">
        <v>1552</v>
      </c>
      <c r="BC39" s="237">
        <v>1574</v>
      </c>
      <c r="BD39" s="237">
        <v>1465</v>
      </c>
      <c r="BE39" s="244">
        <v>1136</v>
      </c>
      <c r="BF39" s="479">
        <v>1177</v>
      </c>
      <c r="BG39" s="479">
        <f>'[2]8 - Demonstrativos Financeiros'!$BC$39</f>
        <v>1318</v>
      </c>
      <c r="BH39" s="479">
        <v>2139</v>
      </c>
      <c r="BI39" s="479">
        <v>3056</v>
      </c>
      <c r="BJ39" s="479">
        <v>4318.3484635083123</v>
      </c>
      <c r="BK39" s="479">
        <v>5896.6851028459305</v>
      </c>
    </row>
    <row r="40" spans="2:63" s="267" customFormat="1" ht="13.5">
      <c r="B40" s="268" t="s">
        <v>196</v>
      </c>
      <c r="C40" s="268"/>
      <c r="D40" s="268"/>
      <c r="E40" s="268"/>
      <c r="F40" s="268"/>
      <c r="G40" s="268">
        <v>0.22193649373881932</v>
      </c>
      <c r="H40" s="268">
        <v>0.24747747747747748</v>
      </c>
      <c r="I40" s="268">
        <v>0.30874316939890711</v>
      </c>
      <c r="J40" s="268">
        <v>0.15414012738853503</v>
      </c>
      <c r="K40" s="268">
        <v>8.5964408725602751E-2</v>
      </c>
      <c r="L40" s="268">
        <v>9.2939706341768194E-2</v>
      </c>
      <c r="M40" s="268">
        <v>0.20192420681551118</v>
      </c>
      <c r="N40" s="268">
        <v>0.2</v>
      </c>
      <c r="O40" s="268">
        <v>0.2</v>
      </c>
      <c r="P40" s="268">
        <v>0.21</v>
      </c>
      <c r="Q40" s="268">
        <v>0.15</v>
      </c>
      <c r="R40" s="268">
        <v>0.1</v>
      </c>
      <c r="S40" s="268">
        <v>0.13</v>
      </c>
      <c r="T40" s="268">
        <v>0.15</v>
      </c>
      <c r="U40" s="268">
        <v>0.13500000000000001</v>
      </c>
      <c r="V40" s="268">
        <v>0.113</v>
      </c>
      <c r="W40" s="268">
        <v>0.11</v>
      </c>
      <c r="X40" s="268">
        <v>0.12</v>
      </c>
      <c r="Y40" s="268">
        <v>0.11</v>
      </c>
      <c r="Z40" s="268">
        <v>0.1</v>
      </c>
      <c r="AA40" s="268">
        <v>8.7999999999999995E-2</v>
      </c>
      <c r="AB40" s="268">
        <f>AB39/AB8</f>
        <v>0.12102813195709371</v>
      </c>
      <c r="AC40" s="268">
        <v>0.13</v>
      </c>
      <c r="AD40" s="268">
        <v>0.13</v>
      </c>
      <c r="AE40" s="268"/>
      <c r="AF40" s="268">
        <v>0.12</v>
      </c>
      <c r="AG40" s="268">
        <v>0.11</v>
      </c>
      <c r="AH40" s="268">
        <v>0.12</v>
      </c>
      <c r="AI40" s="269">
        <v>0.12</v>
      </c>
      <c r="AJ40" s="269">
        <v>0.11</v>
      </c>
      <c r="AK40" s="269">
        <v>0.11</v>
      </c>
      <c r="AL40" s="269">
        <v>0.11</v>
      </c>
      <c r="AM40" s="269">
        <v>0.09</v>
      </c>
      <c r="AN40" s="269"/>
      <c r="AO40" s="269">
        <v>0.09</v>
      </c>
      <c r="AP40" s="269">
        <v>0.11700000000000001</v>
      </c>
      <c r="AQ40" s="269">
        <v>0.13800000000000001</v>
      </c>
      <c r="AR40" s="269">
        <v>0.08</v>
      </c>
      <c r="AS40" s="269"/>
      <c r="AT40" s="269">
        <v>0.1</v>
      </c>
      <c r="AU40" s="269">
        <v>0.12</v>
      </c>
      <c r="AV40" s="269">
        <v>0.12</v>
      </c>
      <c r="AW40" s="269">
        <v>0.12</v>
      </c>
      <c r="AX40" s="269">
        <v>0.14000000000000001</v>
      </c>
      <c r="AY40" s="269">
        <v>0.15</v>
      </c>
      <c r="AZ40" s="269">
        <v>0.1568245559364288</v>
      </c>
      <c r="BA40" s="269">
        <v>0.12880733944954129</v>
      </c>
      <c r="BB40" s="269">
        <v>0.15479752643127867</v>
      </c>
      <c r="BC40" s="269">
        <v>0.15481583612369509</v>
      </c>
      <c r="BD40" s="269">
        <v>0.14699999999999999</v>
      </c>
      <c r="BE40" s="445">
        <v>0.11899999999999999</v>
      </c>
      <c r="BF40" s="269">
        <v>0.128</v>
      </c>
      <c r="BG40" s="269">
        <f>'[2]8 - Demonstrativos Financeiros'!$BC$40</f>
        <v>0.15</v>
      </c>
      <c r="BH40" s="269">
        <v>0.17499999999999999</v>
      </c>
      <c r="BI40" s="269">
        <v>0.22</v>
      </c>
      <c r="BJ40" s="269">
        <v>0.26423255258597234</v>
      </c>
      <c r="BK40" s="269">
        <v>0.30824037500434798</v>
      </c>
    </row>
    <row r="41" spans="2:63" s="239" customFormat="1" ht="13.5">
      <c r="B41" s="240"/>
      <c r="C41" s="241"/>
      <c r="D41" s="241"/>
      <c r="E41" s="241"/>
      <c r="F41" s="241"/>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1"/>
      <c r="AF41" s="242"/>
      <c r="AG41" s="242"/>
      <c r="AH41" s="242"/>
      <c r="AI41" s="242"/>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446"/>
      <c r="BF41" s="488"/>
      <c r="BG41" s="488"/>
      <c r="BH41" s="488"/>
      <c r="BI41" s="488"/>
      <c r="BJ41" s="488"/>
      <c r="BK41" s="488"/>
    </row>
    <row r="42" spans="2:63" s="223" customFormat="1" ht="18" customHeight="1" thickBot="1">
      <c r="B42" s="224" t="s">
        <v>5</v>
      </c>
      <c r="C42" s="225"/>
      <c r="D42" s="225"/>
      <c r="E42" s="225"/>
      <c r="F42" s="225"/>
      <c r="G42" s="226" t="s">
        <v>20</v>
      </c>
      <c r="H42" s="226" t="s">
        <v>21</v>
      </c>
      <c r="I42" s="226" t="s">
        <v>22</v>
      </c>
      <c r="J42" s="226" t="s">
        <v>6</v>
      </c>
      <c r="K42" s="226" t="s">
        <v>23</v>
      </c>
      <c r="L42" s="226" t="s">
        <v>24</v>
      </c>
      <c r="M42" s="226" t="s">
        <v>91</v>
      </c>
      <c r="N42" s="226" t="s">
        <v>102</v>
      </c>
      <c r="O42" s="226" t="s">
        <v>103</v>
      </c>
      <c r="P42" s="226" t="s">
        <v>105</v>
      </c>
      <c r="Q42" s="226" t="s">
        <v>106</v>
      </c>
      <c r="R42" s="226" t="s">
        <v>112</v>
      </c>
      <c r="S42" s="226" t="str">
        <f>S6</f>
        <v>1Q11</v>
      </c>
      <c r="T42" s="226" t="str">
        <f>T6</f>
        <v>2Q11</v>
      </c>
      <c r="U42" s="226" t="str">
        <f>U6</f>
        <v>3Q11</v>
      </c>
      <c r="V42" s="226" t="str">
        <f>V6</f>
        <v>4Q11</v>
      </c>
      <c r="W42" s="226" t="str">
        <f>W6</f>
        <v>1Q12</v>
      </c>
      <c r="X42" s="226" t="s">
        <v>124</v>
      </c>
      <c r="Y42" s="226" t="str">
        <f>Y6</f>
        <v>3Q12</v>
      </c>
      <c r="Z42" s="226" t="str">
        <f>Z6</f>
        <v>4Q12</v>
      </c>
      <c r="AA42" s="226" t="s">
        <v>131</v>
      </c>
      <c r="AB42" s="226" t="str">
        <f>AB6</f>
        <v>2Q13</v>
      </c>
      <c r="AC42" s="226" t="s">
        <v>137</v>
      </c>
      <c r="AD42" s="226" t="s">
        <v>138</v>
      </c>
      <c r="AE42" s="227"/>
      <c r="AF42" s="226" t="s">
        <v>139</v>
      </c>
      <c r="AG42" s="226" t="s">
        <v>142</v>
      </c>
      <c r="AH42" s="226" t="s">
        <v>148</v>
      </c>
      <c r="AI42" s="226" t="s">
        <v>151</v>
      </c>
      <c r="AJ42" s="228" t="s">
        <v>156</v>
      </c>
      <c r="AK42" s="226" t="s">
        <v>157</v>
      </c>
      <c r="AL42" s="229" t="s">
        <v>161</v>
      </c>
      <c r="AM42" s="229" t="s">
        <v>166</v>
      </c>
      <c r="AN42" s="229"/>
      <c r="AO42" s="228" t="s">
        <v>180</v>
      </c>
      <c r="AP42" s="229" t="s">
        <v>181</v>
      </c>
      <c r="AQ42" s="229" t="s">
        <v>192</v>
      </c>
      <c r="AR42" s="229" t="str">
        <f>AR6</f>
        <v>4Q16</v>
      </c>
      <c r="AS42" s="229"/>
      <c r="AT42" s="228" t="s">
        <v>198</v>
      </c>
      <c r="AU42" s="229" t="str">
        <f>AU6</f>
        <v>2Q17</v>
      </c>
      <c r="AV42" s="229" t="str">
        <f>AV6</f>
        <v>3Q17</v>
      </c>
      <c r="AW42" s="229" t="s">
        <v>204</v>
      </c>
      <c r="AX42" s="229" t="s">
        <v>205</v>
      </c>
      <c r="AY42" s="229" t="s">
        <v>206</v>
      </c>
      <c r="AZ42" s="229" t="s">
        <v>207</v>
      </c>
      <c r="BA42" s="229" t="s">
        <v>212</v>
      </c>
      <c r="BB42" s="229" t="s">
        <v>228</v>
      </c>
      <c r="BC42" s="229" t="s">
        <v>247</v>
      </c>
      <c r="BD42" s="229" t="s">
        <v>249</v>
      </c>
      <c r="BE42" s="439" t="s">
        <v>254</v>
      </c>
      <c r="BF42" s="439" t="s">
        <v>258</v>
      </c>
      <c r="BG42" s="439" t="s">
        <v>260</v>
      </c>
      <c r="BH42" s="439" t="s">
        <v>338</v>
      </c>
      <c r="BI42" s="439" t="s">
        <v>366</v>
      </c>
      <c r="BJ42" s="439" t="s">
        <v>373</v>
      </c>
      <c r="BK42" s="439" t="s">
        <v>378</v>
      </c>
    </row>
    <row r="43" spans="2:63" s="270" customFormat="1" ht="10" customHeight="1" thickTop="1">
      <c r="B43" s="271"/>
      <c r="C43" s="271"/>
      <c r="D43" s="271"/>
      <c r="E43" s="271"/>
      <c r="F43" s="271"/>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3"/>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447"/>
      <c r="BF43" s="272"/>
      <c r="BG43" s="272"/>
      <c r="BH43" s="272"/>
      <c r="BI43" s="272"/>
      <c r="BJ43" s="272"/>
      <c r="BK43" s="272"/>
    </row>
    <row r="44" spans="2:63" s="223" customFormat="1" ht="7.5" customHeight="1">
      <c r="B44" s="230"/>
      <c r="C44" s="230"/>
      <c r="D44" s="230"/>
      <c r="E44" s="230"/>
      <c r="F44" s="230"/>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101"/>
      <c r="AF44" s="251"/>
      <c r="AG44" s="251"/>
      <c r="AH44" s="251"/>
      <c r="AI44" s="251"/>
      <c r="AJ44" s="252"/>
      <c r="AK44" s="251"/>
      <c r="AL44" s="251"/>
      <c r="AM44" s="251"/>
      <c r="AN44" s="251"/>
      <c r="AO44" s="252"/>
      <c r="AP44" s="251"/>
      <c r="AQ44" s="251"/>
      <c r="AR44" s="251"/>
      <c r="AS44" s="251"/>
      <c r="AT44" s="252"/>
      <c r="AU44" s="251"/>
      <c r="AV44" s="251"/>
      <c r="AW44" s="251"/>
      <c r="AX44" s="251"/>
      <c r="AY44" s="251"/>
      <c r="AZ44" s="251"/>
      <c r="BA44" s="251"/>
      <c r="BB44" s="251"/>
      <c r="BC44" s="251"/>
      <c r="BD44" s="251"/>
      <c r="BE44" s="251"/>
      <c r="BF44" s="489"/>
      <c r="BG44" s="489"/>
      <c r="BH44" s="489"/>
      <c r="BI44" s="489"/>
      <c r="BJ44" s="489"/>
      <c r="BK44" s="489"/>
    </row>
    <row r="45" spans="2:63" s="223" customFormat="1" ht="13.5">
      <c r="B45" s="254" t="s">
        <v>71</v>
      </c>
      <c r="C45" s="236"/>
      <c r="D45" s="236"/>
      <c r="E45" s="236"/>
      <c r="F45" s="236"/>
      <c r="G45" s="255">
        <v>15158</v>
      </c>
      <c r="H45" s="255">
        <v>18283</v>
      </c>
      <c r="I45" s="255">
        <v>21990</v>
      </c>
      <c r="J45" s="255">
        <v>20776</v>
      </c>
      <c r="K45" s="256">
        <v>18603</v>
      </c>
      <c r="L45" s="256">
        <v>16429</v>
      </c>
      <c r="M45" s="256">
        <v>14952</v>
      </c>
      <c r="N45" s="256">
        <v>14165</v>
      </c>
      <c r="O45" s="256">
        <v>14999</v>
      </c>
      <c r="P45" s="256">
        <v>16020</v>
      </c>
      <c r="Q45" s="256">
        <v>13384</v>
      </c>
      <c r="R45" s="256">
        <v>12946</v>
      </c>
      <c r="S45" s="256">
        <v>13403</v>
      </c>
      <c r="T45" s="256">
        <v>15813</v>
      </c>
      <c r="U45" s="256">
        <v>17263</v>
      </c>
      <c r="V45" s="256">
        <v>17319</v>
      </c>
      <c r="W45" s="256">
        <v>16871</v>
      </c>
      <c r="X45" s="256">
        <v>18171</v>
      </c>
      <c r="Y45" s="256">
        <v>17546</v>
      </c>
      <c r="Z45" s="256">
        <v>16410</v>
      </c>
      <c r="AA45" s="256">
        <f>SUM(AA46:AA49)</f>
        <v>15909</v>
      </c>
      <c r="AB45" s="256">
        <v>16807</v>
      </c>
      <c r="AC45" s="256">
        <v>17399</v>
      </c>
      <c r="AD45" s="256">
        <v>18177</v>
      </c>
      <c r="AE45" s="236"/>
      <c r="AF45" s="256">
        <v>18202</v>
      </c>
      <c r="AG45" s="256">
        <v>18835</v>
      </c>
      <c r="AH45" s="256">
        <v>20283</v>
      </c>
      <c r="AI45" s="256">
        <v>20683</v>
      </c>
      <c r="AJ45" s="256">
        <v>22907</v>
      </c>
      <c r="AK45" s="256">
        <v>21897</v>
      </c>
      <c r="AL45" s="256">
        <v>24084</v>
      </c>
      <c r="AM45" s="256">
        <v>22178</v>
      </c>
      <c r="AN45" s="256"/>
      <c r="AO45" s="256">
        <v>19869</v>
      </c>
      <c r="AP45" s="256">
        <v>17297</v>
      </c>
      <c r="AQ45" s="257">
        <v>17839</v>
      </c>
      <c r="AR45" s="257">
        <v>17797</v>
      </c>
      <c r="AS45" s="257"/>
      <c r="AT45" s="256">
        <v>17761</v>
      </c>
      <c r="AU45" s="257">
        <v>17896</v>
      </c>
      <c r="AV45" s="257">
        <v>17476</v>
      </c>
      <c r="AW45" s="257">
        <v>17982.113000000001</v>
      </c>
      <c r="AX45" s="257">
        <v>19557</v>
      </c>
      <c r="AY45" s="257">
        <v>20654</v>
      </c>
      <c r="AZ45" s="257">
        <v>22170</v>
      </c>
      <c r="BA45" s="257">
        <v>17503</v>
      </c>
      <c r="BB45" s="257">
        <f>SUM(BB46:BB49)</f>
        <v>17570.083999999999</v>
      </c>
      <c r="BC45" s="257">
        <v>16896</v>
      </c>
      <c r="BD45" s="257">
        <f>SUM(BD46:BD49)</f>
        <v>17504</v>
      </c>
      <c r="BE45" s="448">
        <f>SUM(BE46:BE49)</f>
        <v>18235.713</v>
      </c>
      <c r="BF45" s="257">
        <v>20606</v>
      </c>
      <c r="BG45" s="257">
        <f>SUM(BG46:BG49)</f>
        <v>21763.184999999998</v>
      </c>
      <c r="BH45" s="257">
        <v>22132.453000000001</v>
      </c>
      <c r="BI45" s="257">
        <f>'[1]8 - Demonstrativos Financeiros'!$BE$45</f>
        <v>23409.453000000001</v>
      </c>
      <c r="BJ45" s="257">
        <f>SUM(BJ46:BJ49)</f>
        <v>26217.720999999998</v>
      </c>
      <c r="BK45" s="257">
        <v>28314.438999999998</v>
      </c>
    </row>
    <row r="46" spans="2:63" s="223" customFormat="1" ht="13.5">
      <c r="B46" s="227" t="s">
        <v>72</v>
      </c>
      <c r="C46" s="227"/>
      <c r="D46" s="227"/>
      <c r="E46" s="227"/>
      <c r="F46" s="227"/>
      <c r="G46" s="243">
        <v>4084</v>
      </c>
      <c r="H46" s="243">
        <v>5557</v>
      </c>
      <c r="I46" s="243">
        <v>5549</v>
      </c>
      <c r="J46" s="243">
        <v>5413</v>
      </c>
      <c r="K46" s="243">
        <v>5753</v>
      </c>
      <c r="L46" s="243">
        <v>6200</v>
      </c>
      <c r="M46" s="243">
        <v>5348</v>
      </c>
      <c r="N46" s="243">
        <v>4770</v>
      </c>
      <c r="O46" s="243">
        <v>4458</v>
      </c>
      <c r="P46" s="243">
        <v>4271</v>
      </c>
      <c r="Q46" s="243">
        <v>1637</v>
      </c>
      <c r="R46" s="243">
        <v>2176</v>
      </c>
      <c r="S46" s="243">
        <v>2420</v>
      </c>
      <c r="T46" s="243">
        <v>4095</v>
      </c>
      <c r="U46" s="243">
        <v>4366</v>
      </c>
      <c r="V46" s="243">
        <v>4578</v>
      </c>
      <c r="W46" s="243">
        <v>3435</v>
      </c>
      <c r="X46" s="243">
        <v>3165</v>
      </c>
      <c r="Y46" s="243">
        <v>2999</v>
      </c>
      <c r="Z46" s="243">
        <v>2497</v>
      </c>
      <c r="AA46" s="243">
        <v>1832</v>
      </c>
      <c r="AB46" s="243">
        <v>2972</v>
      </c>
      <c r="AC46" s="243">
        <v>3512</v>
      </c>
      <c r="AD46" s="243">
        <v>4222</v>
      </c>
      <c r="AE46" s="227"/>
      <c r="AF46" s="243">
        <v>3520</v>
      </c>
      <c r="AG46" s="243">
        <v>3963</v>
      </c>
      <c r="AH46" s="243">
        <v>4671</v>
      </c>
      <c r="AI46" s="243">
        <v>5849</v>
      </c>
      <c r="AJ46" s="243">
        <v>5847</v>
      </c>
      <c r="AK46" s="243">
        <v>5690</v>
      </c>
      <c r="AL46" s="243">
        <v>6739</v>
      </c>
      <c r="AM46" s="243">
        <v>6919</v>
      </c>
      <c r="AN46" s="243"/>
      <c r="AO46" s="243">
        <v>5525</v>
      </c>
      <c r="AP46" s="243">
        <v>4877</v>
      </c>
      <c r="AQ46" s="258">
        <v>5261</v>
      </c>
      <c r="AR46" s="258">
        <v>6088</v>
      </c>
      <c r="AS46" s="258"/>
      <c r="AT46" s="243">
        <v>5454</v>
      </c>
      <c r="AU46" s="258">
        <v>5430</v>
      </c>
      <c r="AV46" s="258">
        <v>5066</v>
      </c>
      <c r="AW46" s="258">
        <v>3376.8560000000002</v>
      </c>
      <c r="AX46" s="258">
        <f>2375.44+870.69</f>
        <v>3246.13</v>
      </c>
      <c r="AY46" s="258">
        <v>2941</v>
      </c>
      <c r="AZ46" s="258">
        <v>3475</v>
      </c>
      <c r="BA46" s="258">
        <v>3350</v>
      </c>
      <c r="BB46" s="258">
        <v>2532</v>
      </c>
      <c r="BC46" s="258">
        <v>2142</v>
      </c>
      <c r="BD46" s="258">
        <v>3432</v>
      </c>
      <c r="BE46" s="449">
        <f>6294.601</f>
        <v>6294.6009999999997</v>
      </c>
      <c r="BF46" s="490">
        <v>5979</v>
      </c>
      <c r="BG46" s="258">
        <v>6548.4949999999999</v>
      </c>
      <c r="BH46" s="258">
        <v>7199.5050000000001</v>
      </c>
      <c r="BI46" s="258">
        <f>'[1]8 - Demonstrativos Financeiros'!$BE$46</f>
        <v>7658.3469999999998</v>
      </c>
      <c r="BJ46" s="258">
        <v>7002.5020000000004</v>
      </c>
      <c r="BK46" s="258">
        <v>5637.8140000000003</v>
      </c>
    </row>
    <row r="47" spans="2:63" s="223" customFormat="1" ht="12" customHeight="1">
      <c r="B47" s="235" t="s">
        <v>73</v>
      </c>
      <c r="C47" s="236"/>
      <c r="D47" s="236"/>
      <c r="E47" s="236"/>
      <c r="F47" s="236"/>
      <c r="G47" s="237">
        <v>3678</v>
      </c>
      <c r="H47" s="237">
        <v>4525</v>
      </c>
      <c r="I47" s="237">
        <v>5279</v>
      </c>
      <c r="J47" s="237">
        <v>3684</v>
      </c>
      <c r="K47" s="237">
        <v>3434</v>
      </c>
      <c r="L47" s="237">
        <v>2969</v>
      </c>
      <c r="M47" s="237">
        <v>2979</v>
      </c>
      <c r="N47" s="237">
        <v>2586</v>
      </c>
      <c r="O47" s="237">
        <v>3339</v>
      </c>
      <c r="P47" s="237">
        <v>3569</v>
      </c>
      <c r="Q47" s="237">
        <v>3536</v>
      </c>
      <c r="R47" s="237">
        <v>3153</v>
      </c>
      <c r="S47" s="237">
        <v>3557</v>
      </c>
      <c r="T47" s="237">
        <v>3892</v>
      </c>
      <c r="U47" s="237">
        <v>4108</v>
      </c>
      <c r="V47" s="237">
        <v>3603</v>
      </c>
      <c r="W47" s="237">
        <v>4003</v>
      </c>
      <c r="X47" s="237">
        <v>4510</v>
      </c>
      <c r="Y47" s="237">
        <v>4276</v>
      </c>
      <c r="Z47" s="237">
        <v>3695</v>
      </c>
      <c r="AA47" s="237">
        <v>4450</v>
      </c>
      <c r="AB47" s="237">
        <v>4126</v>
      </c>
      <c r="AC47" s="237">
        <v>4441</v>
      </c>
      <c r="AD47" s="237">
        <v>4079</v>
      </c>
      <c r="AE47" s="236"/>
      <c r="AF47" s="237">
        <v>4492</v>
      </c>
      <c r="AG47" s="237">
        <v>4292</v>
      </c>
      <c r="AH47" s="237">
        <v>4364</v>
      </c>
      <c r="AI47" s="237">
        <v>4439</v>
      </c>
      <c r="AJ47" s="237">
        <v>5272</v>
      </c>
      <c r="AK47" s="237">
        <v>5000</v>
      </c>
      <c r="AL47" s="237">
        <v>5478</v>
      </c>
      <c r="AM47" s="237">
        <v>4587</v>
      </c>
      <c r="AN47" s="237"/>
      <c r="AO47" s="237">
        <v>4528</v>
      </c>
      <c r="AP47" s="237">
        <v>4043</v>
      </c>
      <c r="AQ47" s="259">
        <v>4091</v>
      </c>
      <c r="AR47" s="259">
        <v>3576</v>
      </c>
      <c r="AS47" s="259"/>
      <c r="AT47" s="237">
        <v>3862</v>
      </c>
      <c r="AU47" s="259">
        <v>3921</v>
      </c>
      <c r="AV47" s="259">
        <v>4234</v>
      </c>
      <c r="AW47" s="259">
        <v>2798.42</v>
      </c>
      <c r="AX47" s="259">
        <v>3596.58</v>
      </c>
      <c r="AY47" s="259">
        <v>4100</v>
      </c>
      <c r="AZ47" s="259">
        <v>4194</v>
      </c>
      <c r="BA47" s="259">
        <v>3202</v>
      </c>
      <c r="BB47" s="259">
        <v>3976.7550000000001</v>
      </c>
      <c r="BC47" s="259">
        <v>3732</v>
      </c>
      <c r="BD47" s="259">
        <v>3483</v>
      </c>
      <c r="BE47" s="450">
        <v>2672.37</v>
      </c>
      <c r="BF47" s="491">
        <v>3360</v>
      </c>
      <c r="BG47" s="259">
        <v>3612.0360000000001</v>
      </c>
      <c r="BH47" s="259">
        <v>4161.9709999999995</v>
      </c>
      <c r="BI47" s="259">
        <f>'[1]8 - Demonstrativos Financeiros'!$BE$47</f>
        <v>3737.27</v>
      </c>
      <c r="BJ47" s="259">
        <v>5137.4049999999997</v>
      </c>
      <c r="BK47" s="259">
        <v>5785.4430000000002</v>
      </c>
    </row>
    <row r="48" spans="2:63" s="223" customFormat="1" ht="13.5">
      <c r="B48" s="227" t="s">
        <v>74</v>
      </c>
      <c r="C48" s="227"/>
      <c r="D48" s="227"/>
      <c r="E48" s="227"/>
      <c r="F48" s="227"/>
      <c r="G48" s="243">
        <v>6484</v>
      </c>
      <c r="H48" s="243">
        <v>7490</v>
      </c>
      <c r="I48" s="243">
        <v>10182</v>
      </c>
      <c r="J48" s="243">
        <v>10398</v>
      </c>
      <c r="K48" s="243">
        <v>8228</v>
      </c>
      <c r="L48" s="243">
        <v>6213</v>
      </c>
      <c r="M48" s="243">
        <v>5699</v>
      </c>
      <c r="N48" s="243">
        <v>5752</v>
      </c>
      <c r="O48" s="243">
        <v>6220</v>
      </c>
      <c r="P48" s="243">
        <v>7181</v>
      </c>
      <c r="Q48" s="243">
        <v>7205</v>
      </c>
      <c r="R48" s="243">
        <v>6798</v>
      </c>
      <c r="S48" s="243">
        <v>6614</v>
      </c>
      <c r="T48" s="243">
        <v>7081</v>
      </c>
      <c r="U48" s="243">
        <v>7853</v>
      </c>
      <c r="V48" s="243">
        <v>8059</v>
      </c>
      <c r="W48" s="243">
        <v>8372</v>
      </c>
      <c r="X48" s="243">
        <v>9366</v>
      </c>
      <c r="Y48" s="243">
        <v>9125</v>
      </c>
      <c r="Z48" s="243">
        <v>9022</v>
      </c>
      <c r="AA48" s="243">
        <v>8537</v>
      </c>
      <c r="AB48" s="243">
        <v>8551</v>
      </c>
      <c r="AC48" s="243">
        <v>8197</v>
      </c>
      <c r="AD48" s="243">
        <v>8500</v>
      </c>
      <c r="AE48" s="227"/>
      <c r="AF48" s="243">
        <v>8689</v>
      </c>
      <c r="AG48" s="243">
        <v>9006</v>
      </c>
      <c r="AH48" s="243">
        <v>9312</v>
      </c>
      <c r="AI48" s="243">
        <v>8867</v>
      </c>
      <c r="AJ48" s="243">
        <v>10190</v>
      </c>
      <c r="AK48" s="243">
        <v>9532</v>
      </c>
      <c r="AL48" s="243">
        <v>10040</v>
      </c>
      <c r="AM48" s="243">
        <v>8781</v>
      </c>
      <c r="AN48" s="243"/>
      <c r="AO48" s="243">
        <v>8118</v>
      </c>
      <c r="AP48" s="243">
        <v>6764</v>
      </c>
      <c r="AQ48" s="258">
        <v>6911</v>
      </c>
      <c r="AR48" s="258">
        <v>6333</v>
      </c>
      <c r="AS48" s="258"/>
      <c r="AT48" s="243">
        <v>6836</v>
      </c>
      <c r="AU48" s="258">
        <v>6995</v>
      </c>
      <c r="AV48" s="258">
        <v>6812</v>
      </c>
      <c r="AW48" s="258">
        <v>6701.4040000000005</v>
      </c>
      <c r="AX48" s="258">
        <v>6980.4840000000004</v>
      </c>
      <c r="AY48" s="258">
        <v>8479</v>
      </c>
      <c r="AZ48" s="258">
        <v>9124</v>
      </c>
      <c r="BA48" s="258">
        <v>9168</v>
      </c>
      <c r="BB48" s="258">
        <v>9377.3289999999997</v>
      </c>
      <c r="BC48" s="258">
        <v>9532</v>
      </c>
      <c r="BD48" s="258">
        <v>9006</v>
      </c>
      <c r="BE48" s="449">
        <v>7659.7370000000001</v>
      </c>
      <c r="BF48" s="490">
        <v>9513</v>
      </c>
      <c r="BG48" s="258">
        <v>9515.4809999999998</v>
      </c>
      <c r="BH48" s="258">
        <v>8886.5660000000007</v>
      </c>
      <c r="BI48" s="258">
        <f>'[1]8 - Demonstrativos Financeiros'!$BE$48</f>
        <v>9169.4169999999995</v>
      </c>
      <c r="BJ48" s="258">
        <v>11956.742</v>
      </c>
      <c r="BK48" s="258">
        <v>13801.156000000001</v>
      </c>
    </row>
    <row r="49" spans="2:63" s="223" customFormat="1" ht="13.5">
      <c r="B49" s="235" t="s">
        <v>75</v>
      </c>
      <c r="C49" s="236"/>
      <c r="D49" s="236"/>
      <c r="E49" s="236"/>
      <c r="F49" s="236"/>
      <c r="G49" s="237">
        <v>912</v>
      </c>
      <c r="H49" s="237">
        <v>711</v>
      </c>
      <c r="I49" s="237">
        <v>980</v>
      </c>
      <c r="J49" s="237">
        <v>1281</v>
      </c>
      <c r="K49" s="237">
        <v>1188</v>
      </c>
      <c r="L49" s="237">
        <v>1047</v>
      </c>
      <c r="M49" s="237">
        <v>926</v>
      </c>
      <c r="N49" s="237">
        <v>1057</v>
      </c>
      <c r="O49" s="237">
        <v>982</v>
      </c>
      <c r="P49" s="237">
        <v>999</v>
      </c>
      <c r="Q49" s="237">
        <v>1006</v>
      </c>
      <c r="R49" s="237">
        <v>819</v>
      </c>
      <c r="S49" s="237">
        <v>812</v>
      </c>
      <c r="T49" s="237">
        <v>745</v>
      </c>
      <c r="U49" s="237">
        <v>936</v>
      </c>
      <c r="V49" s="237">
        <v>1079</v>
      </c>
      <c r="W49" s="237">
        <v>1061</v>
      </c>
      <c r="X49" s="237">
        <v>1130</v>
      </c>
      <c r="Y49" s="237">
        <v>1146</v>
      </c>
      <c r="Z49" s="237">
        <v>1196</v>
      </c>
      <c r="AA49" s="237">
        <v>1090</v>
      </c>
      <c r="AB49" s="237">
        <v>1158</v>
      </c>
      <c r="AC49" s="237">
        <v>1249</v>
      </c>
      <c r="AD49" s="237">
        <v>1376</v>
      </c>
      <c r="AE49" s="236"/>
      <c r="AF49" s="237">
        <v>1501</v>
      </c>
      <c r="AG49" s="237">
        <v>1574</v>
      </c>
      <c r="AH49" s="237">
        <v>1936</v>
      </c>
      <c r="AI49" s="237">
        <v>1528</v>
      </c>
      <c r="AJ49" s="237">
        <v>1598</v>
      </c>
      <c r="AK49" s="237">
        <v>1675</v>
      </c>
      <c r="AL49" s="237">
        <v>1827</v>
      </c>
      <c r="AM49" s="237">
        <v>1891</v>
      </c>
      <c r="AN49" s="237"/>
      <c r="AO49" s="237">
        <v>1698</v>
      </c>
      <c r="AP49" s="237">
        <v>1613</v>
      </c>
      <c r="AQ49" s="259">
        <f>AQ45-(AQ46+AQ47+AQ48)</f>
        <v>1576</v>
      </c>
      <c r="AR49" s="259">
        <v>1780</v>
      </c>
      <c r="AS49" s="259"/>
      <c r="AT49" s="237">
        <f>AT45-(AT46+AT47+AT48)</f>
        <v>1609</v>
      </c>
      <c r="AU49" s="259">
        <v>1550</v>
      </c>
      <c r="AV49" s="259">
        <v>1364</v>
      </c>
      <c r="AW49" s="259">
        <v>5105.433</v>
      </c>
      <c r="AX49" s="259">
        <f>AX45-AX46-AX47-AX48</f>
        <v>5733.8059999999987</v>
      </c>
      <c r="AY49" s="259">
        <f>AY45-AY46-AY47-AY48</f>
        <v>5134</v>
      </c>
      <c r="AZ49" s="259">
        <v>5377</v>
      </c>
      <c r="BA49" s="259">
        <v>1783</v>
      </c>
      <c r="BB49" s="259">
        <v>1684</v>
      </c>
      <c r="BC49" s="259">
        <v>1490</v>
      </c>
      <c r="BD49" s="259">
        <v>1583</v>
      </c>
      <c r="BE49" s="450">
        <f>1609.005</f>
        <v>1609.0050000000001</v>
      </c>
      <c r="BF49" s="491">
        <v>1754</v>
      </c>
      <c r="BG49" s="259">
        <v>2087.1729999999998</v>
      </c>
      <c r="BH49" s="259">
        <v>1884.4110000000001</v>
      </c>
      <c r="BI49" s="259">
        <f>'[1]8 - Demonstrativos Financeiros'!$BE$49</f>
        <v>2844.4189999999999</v>
      </c>
      <c r="BJ49" s="259">
        <v>2121.0720000000001</v>
      </c>
      <c r="BK49" s="259">
        <v>3090.0259999999998</v>
      </c>
    </row>
    <row r="50" spans="2:63" s="232" customFormat="1" ht="13.5">
      <c r="B50" s="233" t="s">
        <v>76</v>
      </c>
      <c r="C50" s="233"/>
      <c r="D50" s="233"/>
      <c r="E50" s="233"/>
      <c r="F50" s="233"/>
      <c r="G50" s="260">
        <v>26844</v>
      </c>
      <c r="H50" s="260">
        <v>29271</v>
      </c>
      <c r="I50" s="260">
        <v>32819</v>
      </c>
      <c r="J50" s="260">
        <v>38275</v>
      </c>
      <c r="K50" s="261">
        <v>37501</v>
      </c>
      <c r="L50" s="261">
        <v>32843</v>
      </c>
      <c r="M50" s="261">
        <v>30980</v>
      </c>
      <c r="N50" s="261">
        <v>30418</v>
      </c>
      <c r="O50" s="261">
        <v>30636</v>
      </c>
      <c r="P50" s="261">
        <v>30308</v>
      </c>
      <c r="Q50" s="261">
        <v>29424</v>
      </c>
      <c r="R50" s="261">
        <v>29945</v>
      </c>
      <c r="S50" s="261">
        <v>29529</v>
      </c>
      <c r="T50" s="261">
        <v>29223</v>
      </c>
      <c r="U50" s="261">
        <v>32164</v>
      </c>
      <c r="V50" s="261">
        <v>32663</v>
      </c>
      <c r="W50" s="261">
        <v>32757</v>
      </c>
      <c r="X50" s="261">
        <v>35175</v>
      </c>
      <c r="Y50" s="261">
        <v>36052</v>
      </c>
      <c r="Z50" s="261">
        <v>36683</v>
      </c>
      <c r="AA50" s="261">
        <v>35898</v>
      </c>
      <c r="AB50" s="261">
        <v>38249</v>
      </c>
      <c r="AC50" s="261">
        <v>38809</v>
      </c>
      <c r="AD50" s="261">
        <v>40296</v>
      </c>
      <c r="AE50" s="233"/>
      <c r="AF50" s="261">
        <v>39352</v>
      </c>
      <c r="AG50" s="261">
        <v>39059</v>
      </c>
      <c r="AH50" s="261">
        <v>41189</v>
      </c>
      <c r="AI50" s="261">
        <v>42359</v>
      </c>
      <c r="AJ50" s="261">
        <v>47936</v>
      </c>
      <c r="AK50" s="261">
        <v>46882</v>
      </c>
      <c r="AL50" s="261">
        <v>52406</v>
      </c>
      <c r="AM50" s="261">
        <v>47917</v>
      </c>
      <c r="AN50" s="261"/>
      <c r="AO50" s="261">
        <v>45136</v>
      </c>
      <c r="AP50" s="261">
        <v>40937</v>
      </c>
      <c r="AQ50" s="262">
        <v>40873</v>
      </c>
      <c r="AR50" s="262">
        <v>36838</v>
      </c>
      <c r="AS50" s="262"/>
      <c r="AT50" s="261">
        <v>35797</v>
      </c>
      <c r="AU50" s="262">
        <v>36279</v>
      </c>
      <c r="AV50" s="262">
        <v>35099</v>
      </c>
      <c r="AW50" s="262">
        <v>32319.647999999997</v>
      </c>
      <c r="AX50" s="262">
        <v>31418.84</v>
      </c>
      <c r="AY50" s="262">
        <v>33809</v>
      </c>
      <c r="AZ50" s="262">
        <v>33949</v>
      </c>
      <c r="BA50" s="262">
        <v>33778</v>
      </c>
      <c r="BB50" s="262">
        <f>SUM(BB51:BB56)</f>
        <v>34575</v>
      </c>
      <c r="BC50" s="262">
        <v>34229</v>
      </c>
      <c r="BD50" s="262">
        <f>SUM(BD51:BD56)</f>
        <v>35541.9</v>
      </c>
      <c r="BE50" s="451">
        <f>SUM(BE51:BE56)</f>
        <v>35767.277000000002</v>
      </c>
      <c r="BF50" s="262">
        <f>SUM(BF51:BF56)</f>
        <v>40042</v>
      </c>
      <c r="BG50" s="262">
        <f>SUM(BG51:BG56)</f>
        <v>40837.243999999999</v>
      </c>
      <c r="BH50" s="262">
        <v>41293.739000000009</v>
      </c>
      <c r="BI50" s="262">
        <f>'[1]8 - Demonstrativos Financeiros'!$BE$50</f>
        <v>39713.556000000004</v>
      </c>
      <c r="BJ50" s="262">
        <f>SUM(BJ51:BJ56)</f>
        <v>41802.522000000004</v>
      </c>
      <c r="BK50" s="262">
        <v>38577.608</v>
      </c>
    </row>
    <row r="51" spans="2:63" s="223" customFormat="1" ht="13.5">
      <c r="B51" s="235" t="s">
        <v>77</v>
      </c>
      <c r="C51" s="236"/>
      <c r="D51" s="236"/>
      <c r="E51" s="236"/>
      <c r="F51" s="236"/>
      <c r="G51" s="237">
        <v>947</v>
      </c>
      <c r="H51" s="237">
        <v>901</v>
      </c>
      <c r="I51" s="237">
        <v>1101</v>
      </c>
      <c r="J51" s="237">
        <v>1766</v>
      </c>
      <c r="K51" s="237">
        <v>1675</v>
      </c>
      <c r="L51" s="237">
        <v>1388</v>
      </c>
      <c r="M51" s="237">
        <v>1339</v>
      </c>
      <c r="N51" s="237">
        <v>1347</v>
      </c>
      <c r="O51" s="237">
        <v>1448</v>
      </c>
      <c r="P51" s="237">
        <v>1506</v>
      </c>
      <c r="Q51" s="237">
        <v>1449</v>
      </c>
      <c r="R51" s="237">
        <v>1579</v>
      </c>
      <c r="S51" s="237">
        <v>1416</v>
      </c>
      <c r="T51" s="237">
        <v>1315</v>
      </c>
      <c r="U51" s="237">
        <v>1436</v>
      </c>
      <c r="V51" s="237">
        <v>1548</v>
      </c>
      <c r="W51" s="237">
        <v>1636</v>
      </c>
      <c r="X51" s="237">
        <v>2099</v>
      </c>
      <c r="Y51" s="237">
        <v>2144</v>
      </c>
      <c r="Z51" s="237">
        <v>2210</v>
      </c>
      <c r="AA51" s="237">
        <v>1728</v>
      </c>
      <c r="AB51" s="237">
        <v>2095</v>
      </c>
      <c r="AC51" s="237">
        <v>2165</v>
      </c>
      <c r="AD51" s="237">
        <v>2315</v>
      </c>
      <c r="AE51" s="236"/>
      <c r="AF51" s="237">
        <v>1973</v>
      </c>
      <c r="AG51" s="237">
        <v>1912</v>
      </c>
      <c r="AH51" s="237">
        <v>2334</v>
      </c>
      <c r="AI51" s="237">
        <v>2567</v>
      </c>
      <c r="AJ51" s="237">
        <v>3552</v>
      </c>
      <c r="AK51" s="237">
        <v>3607</v>
      </c>
      <c r="AL51" s="237">
        <v>4548</v>
      </c>
      <c r="AM51" s="237">
        <v>4307</v>
      </c>
      <c r="AN51" s="237"/>
      <c r="AO51" s="237">
        <v>4055</v>
      </c>
      <c r="AP51" s="237">
        <v>3436</v>
      </c>
      <c r="AQ51" s="259">
        <v>3472</v>
      </c>
      <c r="AR51" s="259">
        <v>3407</v>
      </c>
      <c r="AS51" s="259"/>
      <c r="AT51" s="237">
        <v>2943</v>
      </c>
      <c r="AU51" s="259">
        <v>3047</v>
      </c>
      <c r="AV51" s="259">
        <v>2855</v>
      </c>
      <c r="AW51" s="259">
        <v>3054.393</v>
      </c>
      <c r="AX51" s="259">
        <v>3078.63</v>
      </c>
      <c r="AY51" s="259">
        <v>3511</v>
      </c>
      <c r="AZ51" s="259">
        <v>3611</v>
      </c>
      <c r="BA51" s="259">
        <v>3874</v>
      </c>
      <c r="BB51" s="259">
        <v>3788</v>
      </c>
      <c r="BC51" s="259">
        <v>3628</v>
      </c>
      <c r="BD51" s="259">
        <v>3842</v>
      </c>
      <c r="BE51" s="450">
        <v>4071.2190000000001</v>
      </c>
      <c r="BF51" s="491">
        <v>3695</v>
      </c>
      <c r="BG51" s="259">
        <v>3661.5810000000001</v>
      </c>
      <c r="BH51" s="259">
        <v>3568.3270000000002</v>
      </c>
      <c r="BI51" s="259">
        <f>'[1]8 - Demonstrativos Financeiros'!$BE$51</f>
        <v>3393.3539999999998</v>
      </c>
      <c r="BJ51" s="259">
        <v>3376.7049999999999</v>
      </c>
      <c r="BK51" s="259">
        <v>2761.5749999999998</v>
      </c>
    </row>
    <row r="52" spans="2:63" s="223" customFormat="1" ht="13.5">
      <c r="B52" s="227" t="s">
        <v>78</v>
      </c>
      <c r="C52" s="227"/>
      <c r="D52" s="227"/>
      <c r="E52" s="227"/>
      <c r="F52" s="227"/>
      <c r="G52" s="243">
        <v>904</v>
      </c>
      <c r="H52" s="243">
        <v>1279</v>
      </c>
      <c r="I52" s="243">
        <v>1654</v>
      </c>
      <c r="J52" s="243">
        <v>1797</v>
      </c>
      <c r="K52" s="243">
        <v>1712</v>
      </c>
      <c r="L52" s="243">
        <v>1361</v>
      </c>
      <c r="M52" s="243">
        <v>1258</v>
      </c>
      <c r="N52" s="243">
        <v>1219</v>
      </c>
      <c r="O52" s="243">
        <v>1254</v>
      </c>
      <c r="P52" s="243">
        <v>1290</v>
      </c>
      <c r="Q52" s="243">
        <v>1211</v>
      </c>
      <c r="R52" s="243">
        <v>1284</v>
      </c>
      <c r="S52" s="243">
        <v>1307</v>
      </c>
      <c r="T52" s="243">
        <v>1288</v>
      </c>
      <c r="U52" s="243">
        <v>1384</v>
      </c>
      <c r="V52" s="243">
        <v>1355</v>
      </c>
      <c r="W52" s="243">
        <v>1425</v>
      </c>
      <c r="X52" s="243">
        <v>1579</v>
      </c>
      <c r="Y52" s="243">
        <v>1436</v>
      </c>
      <c r="Z52" s="243">
        <v>1426</v>
      </c>
      <c r="AA52" s="243">
        <v>1344</v>
      </c>
      <c r="AB52" s="243">
        <v>1492</v>
      </c>
      <c r="AC52" s="243">
        <v>1497</v>
      </c>
      <c r="AD52" s="243">
        <v>1590</v>
      </c>
      <c r="AE52" s="227"/>
      <c r="AF52" s="243">
        <v>1554</v>
      </c>
      <c r="AG52" s="243">
        <v>1515</v>
      </c>
      <c r="AH52" s="243">
        <v>1331</v>
      </c>
      <c r="AI52" s="243">
        <v>1394</v>
      </c>
      <c r="AJ52" s="243">
        <v>1668</v>
      </c>
      <c r="AK52" s="243">
        <v>1561</v>
      </c>
      <c r="AL52" s="243">
        <v>1494</v>
      </c>
      <c r="AM52" s="243">
        <v>1393</v>
      </c>
      <c r="AN52" s="243"/>
      <c r="AO52" s="243">
        <v>1247</v>
      </c>
      <c r="AP52" s="243">
        <v>1108</v>
      </c>
      <c r="AQ52" s="258">
        <v>1031</v>
      </c>
      <c r="AR52" s="258">
        <v>799</v>
      </c>
      <c r="AS52" s="258"/>
      <c r="AT52" s="243">
        <v>975</v>
      </c>
      <c r="AU52" s="258">
        <v>1343</v>
      </c>
      <c r="AV52" s="258">
        <v>1212</v>
      </c>
      <c r="AW52" s="258">
        <v>1280.299</v>
      </c>
      <c r="AX52" s="258">
        <v>1331.44</v>
      </c>
      <c r="AY52" s="258">
        <v>1455</v>
      </c>
      <c r="AZ52" s="258">
        <v>1472</v>
      </c>
      <c r="BA52" s="258">
        <v>1368</v>
      </c>
      <c r="BB52" s="258">
        <v>1380</v>
      </c>
      <c r="BC52" s="258">
        <v>1695</v>
      </c>
      <c r="BD52" s="258">
        <v>1747</v>
      </c>
      <c r="BE52" s="449">
        <v>1812.3989999999999</v>
      </c>
      <c r="BF52" s="490">
        <v>2048</v>
      </c>
      <c r="BG52" s="258">
        <v>2156.7179999999998</v>
      </c>
      <c r="BH52" s="258">
        <v>2309.576</v>
      </c>
      <c r="BI52" s="258">
        <f>'[1]8 - Demonstrativos Financeiros'!$BE$52</f>
        <v>2271.6289999999999</v>
      </c>
      <c r="BJ52" s="258">
        <v>2572.0929999999998</v>
      </c>
      <c r="BK52" s="258">
        <v>2551.9229999999998</v>
      </c>
    </row>
    <row r="53" spans="2:63" s="223" customFormat="1" ht="13.5">
      <c r="B53" s="235" t="s">
        <v>79</v>
      </c>
      <c r="C53" s="236"/>
      <c r="D53" s="236"/>
      <c r="E53" s="236"/>
      <c r="F53" s="236"/>
      <c r="G53" s="237">
        <v>6211</v>
      </c>
      <c r="H53" s="237">
        <v>7450</v>
      </c>
      <c r="I53" s="237">
        <v>8931</v>
      </c>
      <c r="J53" s="237">
        <v>11294</v>
      </c>
      <c r="K53" s="237">
        <v>11165</v>
      </c>
      <c r="L53" s="237">
        <v>9366</v>
      </c>
      <c r="M53" s="237">
        <v>8522</v>
      </c>
      <c r="N53" s="237">
        <v>8424</v>
      </c>
      <c r="O53" s="237">
        <v>8536</v>
      </c>
      <c r="P53" s="237">
        <v>8604</v>
      </c>
      <c r="Q53" s="237">
        <v>8225</v>
      </c>
      <c r="R53" s="237">
        <v>8158</v>
      </c>
      <c r="S53" s="237">
        <v>8030</v>
      </c>
      <c r="T53" s="237">
        <v>7745</v>
      </c>
      <c r="U53" s="237">
        <v>9054</v>
      </c>
      <c r="V53" s="237">
        <v>9156</v>
      </c>
      <c r="W53" s="237">
        <v>8956</v>
      </c>
      <c r="X53" s="237">
        <v>9870</v>
      </c>
      <c r="Y53" s="237">
        <v>9952</v>
      </c>
      <c r="Z53" s="237">
        <v>10033</v>
      </c>
      <c r="AA53" s="237">
        <v>9838</v>
      </c>
      <c r="AB53" s="237">
        <v>10753</v>
      </c>
      <c r="AC53" s="237">
        <v>10844</v>
      </c>
      <c r="AD53" s="237">
        <v>11353</v>
      </c>
      <c r="AE53" s="236"/>
      <c r="AF53" s="237">
        <v>10970</v>
      </c>
      <c r="AG53" s="237">
        <v>10706</v>
      </c>
      <c r="AH53" s="237">
        <v>11776</v>
      </c>
      <c r="AI53" s="237">
        <v>12556</v>
      </c>
      <c r="AJ53" s="237">
        <v>14970</v>
      </c>
      <c r="AK53" s="237">
        <v>14407</v>
      </c>
      <c r="AL53" s="237">
        <v>17335</v>
      </c>
      <c r="AM53" s="237">
        <v>14653</v>
      </c>
      <c r="AN53" s="237"/>
      <c r="AO53" s="237">
        <v>13408</v>
      </c>
      <c r="AP53" s="237">
        <v>12165</v>
      </c>
      <c r="AQ53" s="259">
        <v>12287</v>
      </c>
      <c r="AR53" s="259">
        <v>9470</v>
      </c>
      <c r="AS53" s="259"/>
      <c r="AT53" s="237">
        <v>9199</v>
      </c>
      <c r="AU53" s="259">
        <v>9587</v>
      </c>
      <c r="AV53" s="259">
        <v>9203</v>
      </c>
      <c r="AW53" s="259">
        <v>7891.1419999999998</v>
      </c>
      <c r="AX53" s="259">
        <v>7924.2690000000002</v>
      </c>
      <c r="AY53" s="259">
        <v>9122</v>
      </c>
      <c r="AZ53" s="259">
        <v>9409</v>
      </c>
      <c r="BA53" s="259">
        <v>9112</v>
      </c>
      <c r="BB53" s="259">
        <v>9164</v>
      </c>
      <c r="BC53" s="259">
        <v>9021</v>
      </c>
      <c r="BD53" s="259">
        <v>9768.7999999999993</v>
      </c>
      <c r="BE53" s="450">
        <v>9469.3109999999997</v>
      </c>
      <c r="BF53" s="491">
        <v>12093</v>
      </c>
      <c r="BG53" s="259">
        <v>12723.896000000001</v>
      </c>
      <c r="BH53" s="259">
        <v>13098.563</v>
      </c>
      <c r="BI53" s="259">
        <f>'[1]8 - Demonstrativos Financeiros'!$BE$53</f>
        <v>12103.519</v>
      </c>
      <c r="BJ53" s="259">
        <v>13235.503000000001</v>
      </c>
      <c r="BK53" s="259">
        <v>11668.298000000001</v>
      </c>
    </row>
    <row r="54" spans="2:63" s="223" customFormat="1" ht="13.5">
      <c r="B54" s="227" t="s">
        <v>80</v>
      </c>
      <c r="C54" s="227"/>
      <c r="D54" s="227"/>
      <c r="E54" s="227"/>
      <c r="F54" s="227"/>
      <c r="G54" s="243">
        <v>1037</v>
      </c>
      <c r="H54" s="243">
        <v>1263</v>
      </c>
      <c r="I54" s="243">
        <v>1461</v>
      </c>
      <c r="J54" s="243">
        <v>1713</v>
      </c>
      <c r="K54" s="243">
        <v>1650</v>
      </c>
      <c r="L54" s="243">
        <v>1026</v>
      </c>
      <c r="M54" s="243">
        <v>1010</v>
      </c>
      <c r="N54" s="243">
        <v>993</v>
      </c>
      <c r="O54" s="243">
        <v>998</v>
      </c>
      <c r="P54" s="243">
        <v>970</v>
      </c>
      <c r="Q54" s="243">
        <v>966</v>
      </c>
      <c r="R54" s="243">
        <v>1177</v>
      </c>
      <c r="S54" s="243">
        <v>1166</v>
      </c>
      <c r="T54" s="243">
        <v>1116</v>
      </c>
      <c r="U54" s="243">
        <v>1279</v>
      </c>
      <c r="V54" s="243">
        <v>1274</v>
      </c>
      <c r="W54" s="243">
        <v>1255</v>
      </c>
      <c r="X54" s="243">
        <v>1350</v>
      </c>
      <c r="Y54" s="243">
        <v>1346</v>
      </c>
      <c r="Z54" s="243">
        <v>1364</v>
      </c>
      <c r="AA54" s="243">
        <v>1341</v>
      </c>
      <c r="AB54" s="243">
        <v>1431</v>
      </c>
      <c r="AC54" s="243">
        <v>1456</v>
      </c>
      <c r="AD54" s="243">
        <v>1498</v>
      </c>
      <c r="AE54" s="227"/>
      <c r="AF54" s="243">
        <v>1472</v>
      </c>
      <c r="AG54" s="243">
        <v>1428</v>
      </c>
      <c r="AH54" s="243">
        <v>1505</v>
      </c>
      <c r="AI54" s="243">
        <v>1547</v>
      </c>
      <c r="AJ54" s="243">
        <v>1716</v>
      </c>
      <c r="AK54" s="243">
        <v>1637</v>
      </c>
      <c r="AL54" s="243">
        <v>1913</v>
      </c>
      <c r="AM54" s="243">
        <v>1836</v>
      </c>
      <c r="AN54" s="243"/>
      <c r="AO54" s="243">
        <v>1664</v>
      </c>
      <c r="AP54" s="243">
        <v>1452</v>
      </c>
      <c r="AQ54" s="258">
        <v>1388</v>
      </c>
      <c r="AR54" s="258">
        <v>1320</v>
      </c>
      <c r="AS54" s="258"/>
      <c r="AT54" s="243">
        <v>1203</v>
      </c>
      <c r="AU54" s="258">
        <v>1174</v>
      </c>
      <c r="AV54" s="258">
        <v>1079</v>
      </c>
      <c r="AW54" s="258">
        <v>972.08900000000006</v>
      </c>
      <c r="AX54" s="258">
        <v>908.72</v>
      </c>
      <c r="AY54" s="258">
        <v>945</v>
      </c>
      <c r="AZ54" s="258">
        <v>910</v>
      </c>
      <c r="BA54" s="258">
        <v>836</v>
      </c>
      <c r="BB54" s="258">
        <v>749</v>
      </c>
      <c r="BC54" s="258">
        <v>728</v>
      </c>
      <c r="BD54" s="258">
        <v>724</v>
      </c>
      <c r="BE54" s="449">
        <v>673.26199999999994</v>
      </c>
      <c r="BF54" s="490">
        <v>774</v>
      </c>
      <c r="BG54" s="258">
        <v>743.01700000000005</v>
      </c>
      <c r="BH54" s="258">
        <v>692.25800000000004</v>
      </c>
      <c r="BI54" s="258">
        <f>'[1]8 - Demonstrativos Financeiros'!$BE$54</f>
        <v>622.57799999999997</v>
      </c>
      <c r="BJ54" s="258">
        <v>606.94399999999996</v>
      </c>
      <c r="BK54" s="258">
        <v>516.96299999999997</v>
      </c>
    </row>
    <row r="55" spans="2:63" s="223" customFormat="1" ht="13.5">
      <c r="B55" s="235" t="s">
        <v>81</v>
      </c>
      <c r="C55" s="236"/>
      <c r="D55" s="236"/>
      <c r="E55" s="236"/>
      <c r="F55" s="236"/>
      <c r="G55" s="237">
        <v>16065</v>
      </c>
      <c r="H55" s="237">
        <v>16332</v>
      </c>
      <c r="I55" s="237">
        <v>17784</v>
      </c>
      <c r="J55" s="237">
        <v>20055</v>
      </c>
      <c r="K55" s="237">
        <v>19616</v>
      </c>
      <c r="L55" s="237">
        <v>17926</v>
      </c>
      <c r="M55" s="237">
        <v>17114</v>
      </c>
      <c r="N55" s="237">
        <v>16731</v>
      </c>
      <c r="O55" s="237">
        <v>16612</v>
      </c>
      <c r="P55" s="237">
        <v>16239</v>
      </c>
      <c r="Q55" s="237">
        <v>15931</v>
      </c>
      <c r="R55" s="237">
        <v>16172</v>
      </c>
      <c r="S55" s="237">
        <v>16027</v>
      </c>
      <c r="T55" s="237">
        <v>15799</v>
      </c>
      <c r="U55" s="237">
        <v>16882</v>
      </c>
      <c r="V55" s="237">
        <v>17295</v>
      </c>
      <c r="W55" s="237">
        <v>17443</v>
      </c>
      <c r="X55" s="237">
        <v>18406</v>
      </c>
      <c r="Y55" s="237">
        <v>19289</v>
      </c>
      <c r="Z55" s="237">
        <v>19690</v>
      </c>
      <c r="AA55" s="237">
        <v>19623</v>
      </c>
      <c r="AB55" s="237">
        <v>20473</v>
      </c>
      <c r="AC55" s="237">
        <v>20807</v>
      </c>
      <c r="AD55" s="237">
        <v>21419</v>
      </c>
      <c r="AE55" s="236"/>
      <c r="AF55" s="237">
        <v>21242</v>
      </c>
      <c r="AG55" s="237">
        <v>21085</v>
      </c>
      <c r="AH55" s="237">
        <v>21694</v>
      </c>
      <c r="AI55" s="237">
        <v>22132</v>
      </c>
      <c r="AJ55" s="237">
        <v>23771</v>
      </c>
      <c r="AK55" s="237">
        <v>23444</v>
      </c>
      <c r="AL55" s="237">
        <v>24761</v>
      </c>
      <c r="AM55" s="237">
        <v>23256</v>
      </c>
      <c r="AN55" s="237"/>
      <c r="AO55" s="237">
        <v>22323</v>
      </c>
      <c r="AP55" s="237">
        <v>20165</v>
      </c>
      <c r="AQ55" s="259">
        <v>20075</v>
      </c>
      <c r="AR55" s="259">
        <v>19352</v>
      </c>
      <c r="AS55" s="259"/>
      <c r="AT55" s="237">
        <v>18916</v>
      </c>
      <c r="AU55" s="259">
        <v>18502</v>
      </c>
      <c r="AV55" s="259">
        <v>18098</v>
      </c>
      <c r="AW55" s="259">
        <v>16443.741999999998</v>
      </c>
      <c r="AX55" s="259">
        <v>15510.246999999999</v>
      </c>
      <c r="AY55" s="259">
        <v>16037</v>
      </c>
      <c r="AZ55" s="259">
        <v>15807</v>
      </c>
      <c r="BA55" s="259">
        <v>15546</v>
      </c>
      <c r="BB55" s="259">
        <v>15484</v>
      </c>
      <c r="BC55" s="259">
        <v>15530</v>
      </c>
      <c r="BD55" s="259">
        <v>15967.1</v>
      </c>
      <c r="BE55" s="450">
        <v>15901.493</v>
      </c>
      <c r="BF55" s="491">
        <v>17434</v>
      </c>
      <c r="BG55" s="259">
        <v>17624.939999999999</v>
      </c>
      <c r="BH55" s="259">
        <v>17694.452000000001</v>
      </c>
      <c r="BI55" s="259">
        <f>'[1]8 - Demonstrativos Financeiros'!$BE$55</f>
        <v>17252.915000000001</v>
      </c>
      <c r="BJ55" s="259">
        <v>17854.96</v>
      </c>
      <c r="BK55" s="259">
        <v>17103.345000000001</v>
      </c>
    </row>
    <row r="56" spans="2:63" s="223" customFormat="1" ht="13.5">
      <c r="B56" s="227" t="s">
        <v>75</v>
      </c>
      <c r="C56" s="227"/>
      <c r="D56" s="227"/>
      <c r="E56" s="227"/>
      <c r="F56" s="227"/>
      <c r="G56" s="243">
        <v>1680</v>
      </c>
      <c r="H56" s="243">
        <v>2046</v>
      </c>
      <c r="I56" s="243">
        <v>1888</v>
      </c>
      <c r="J56" s="243">
        <v>1650</v>
      </c>
      <c r="K56" s="243">
        <v>1683</v>
      </c>
      <c r="L56" s="243">
        <v>1776</v>
      </c>
      <c r="M56" s="243">
        <v>1737</v>
      </c>
      <c r="N56" s="243">
        <v>1704</v>
      </c>
      <c r="O56" s="243">
        <v>1788</v>
      </c>
      <c r="P56" s="243">
        <v>1699</v>
      </c>
      <c r="Q56" s="243">
        <v>1642</v>
      </c>
      <c r="R56" s="243">
        <v>1575</v>
      </c>
      <c r="S56" s="243">
        <v>1583</v>
      </c>
      <c r="T56" s="243">
        <v>1960</v>
      </c>
      <c r="U56" s="243">
        <v>2129</v>
      </c>
      <c r="V56" s="243">
        <v>2035</v>
      </c>
      <c r="W56" s="243">
        <v>2042</v>
      </c>
      <c r="X56" s="243">
        <v>1871</v>
      </c>
      <c r="Y56" s="243">
        <v>1885</v>
      </c>
      <c r="Z56" s="243">
        <v>1960</v>
      </c>
      <c r="AA56" s="243">
        <v>2024</v>
      </c>
      <c r="AB56" s="243">
        <v>2005</v>
      </c>
      <c r="AC56" s="243">
        <v>2040</v>
      </c>
      <c r="AD56" s="243">
        <v>2121</v>
      </c>
      <c r="AE56" s="227"/>
      <c r="AF56" s="243">
        <v>2141</v>
      </c>
      <c r="AG56" s="243">
        <v>2413</v>
      </c>
      <c r="AH56" s="243">
        <v>2549</v>
      </c>
      <c r="AI56" s="243">
        <v>2163</v>
      </c>
      <c r="AJ56" s="243">
        <v>2259</v>
      </c>
      <c r="AK56" s="243">
        <v>2226</v>
      </c>
      <c r="AL56" s="243">
        <v>2353</v>
      </c>
      <c r="AM56" s="243">
        <v>2472</v>
      </c>
      <c r="AN56" s="243"/>
      <c r="AO56" s="243">
        <v>2439</v>
      </c>
      <c r="AP56" s="243">
        <v>2611</v>
      </c>
      <c r="AQ56" s="258">
        <f>AQ50-(AQ51+AQ52+AQ53+AQ54+AQ55)</f>
        <v>2620</v>
      </c>
      <c r="AR56" s="258">
        <f>AR50-(AR51+AR52+AR53+AR54+AR55)</f>
        <v>2490</v>
      </c>
      <c r="AS56" s="258"/>
      <c r="AT56" s="243">
        <f>AT50-(AT51+AT52+AT53+AT54+AT55)</f>
        <v>2561</v>
      </c>
      <c r="AU56" s="258">
        <v>2626</v>
      </c>
      <c r="AV56" s="258">
        <v>2652</v>
      </c>
      <c r="AW56" s="258">
        <v>2677.9830000000002</v>
      </c>
      <c r="AX56" s="258">
        <f>AX50-AX51-AX52-AX54-AX53-AX55</f>
        <v>2665.5339999999997</v>
      </c>
      <c r="AY56" s="258">
        <f>AY50-AY51-AY52-AY54-AY53-AY55</f>
        <v>2739</v>
      </c>
      <c r="AZ56" s="258">
        <v>2740</v>
      </c>
      <c r="BA56" s="258">
        <v>3042</v>
      </c>
      <c r="BB56" s="258">
        <v>4010</v>
      </c>
      <c r="BC56" s="258">
        <v>3627</v>
      </c>
      <c r="BD56" s="258">
        <v>3493</v>
      </c>
      <c r="BE56" s="449">
        <f>3839.593</f>
        <v>3839.5929999999998</v>
      </c>
      <c r="BF56" s="490">
        <v>3998</v>
      </c>
      <c r="BG56" s="258">
        <v>3927.0920000000001</v>
      </c>
      <c r="BH56" s="258">
        <v>3930.5630000000001</v>
      </c>
      <c r="BI56" s="258">
        <f>'[1]8 - Demonstrativos Financeiros'!$BE$56</f>
        <v>4069.5610000000001</v>
      </c>
      <c r="BJ56" s="258">
        <v>4156.317</v>
      </c>
      <c r="BK56" s="258">
        <v>3975.5039999999999</v>
      </c>
    </row>
    <row r="57" spans="2:63" s="232" customFormat="1" ht="13.5">
      <c r="B57" s="254" t="s">
        <v>82</v>
      </c>
      <c r="C57" s="263"/>
      <c r="D57" s="263"/>
      <c r="E57" s="263"/>
      <c r="F57" s="263"/>
      <c r="G57" s="255">
        <v>42002</v>
      </c>
      <c r="H57" s="255">
        <v>47554</v>
      </c>
      <c r="I57" s="255">
        <v>54809</v>
      </c>
      <c r="J57" s="255">
        <v>59051</v>
      </c>
      <c r="K57" s="256">
        <v>56104</v>
      </c>
      <c r="L57" s="256">
        <v>49272</v>
      </c>
      <c r="M57" s="256">
        <v>45932</v>
      </c>
      <c r="N57" s="256">
        <v>44583</v>
      </c>
      <c r="O57" s="256">
        <v>45635</v>
      </c>
      <c r="P57" s="256">
        <v>46328</v>
      </c>
      <c r="Q57" s="256">
        <v>42808</v>
      </c>
      <c r="R57" s="256">
        <v>42891</v>
      </c>
      <c r="S57" s="256">
        <v>42932</v>
      </c>
      <c r="T57" s="256">
        <v>45036</v>
      </c>
      <c r="U57" s="256">
        <v>49427</v>
      </c>
      <c r="V57" s="256">
        <v>49982</v>
      </c>
      <c r="W57" s="256">
        <v>49628</v>
      </c>
      <c r="X57" s="256">
        <v>53346</v>
      </c>
      <c r="Y57" s="256">
        <v>53598</v>
      </c>
      <c r="Z57" s="256">
        <v>53093</v>
      </c>
      <c r="AA57" s="256">
        <f>AA50+AA45</f>
        <v>51807</v>
      </c>
      <c r="AB57" s="256">
        <v>55056</v>
      </c>
      <c r="AC57" s="256">
        <v>56208</v>
      </c>
      <c r="AD57" s="256">
        <v>58473</v>
      </c>
      <c r="AE57" s="263"/>
      <c r="AF57" s="256">
        <v>57554</v>
      </c>
      <c r="AG57" s="256">
        <v>57894</v>
      </c>
      <c r="AH57" s="256">
        <v>61472</v>
      </c>
      <c r="AI57" s="256">
        <v>63042</v>
      </c>
      <c r="AJ57" s="256">
        <v>70843</v>
      </c>
      <c r="AK57" s="256">
        <v>68779</v>
      </c>
      <c r="AL57" s="256">
        <v>76490</v>
      </c>
      <c r="AM57" s="256">
        <v>70095</v>
      </c>
      <c r="AN57" s="256"/>
      <c r="AO57" s="256">
        <v>65005</v>
      </c>
      <c r="AP57" s="256">
        <v>58234</v>
      </c>
      <c r="AQ57" s="257">
        <v>58712</v>
      </c>
      <c r="AR57" s="257">
        <v>54635</v>
      </c>
      <c r="AS57" s="257"/>
      <c r="AT57" s="256">
        <v>53558</v>
      </c>
      <c r="AU57" s="257">
        <v>54175</v>
      </c>
      <c r="AV57" s="257">
        <v>52575</v>
      </c>
      <c r="AW57" s="257">
        <v>50301.760999999999</v>
      </c>
      <c r="AX57" s="257">
        <f>AX45+AX50</f>
        <v>50975.839999999997</v>
      </c>
      <c r="AY57" s="257">
        <f>AY45+AY50</f>
        <v>54463</v>
      </c>
      <c r="AZ57" s="257">
        <v>56119</v>
      </c>
      <c r="BA57" s="257">
        <v>51281</v>
      </c>
      <c r="BB57" s="257">
        <f>BB50+BB45</f>
        <v>52145.084000000003</v>
      </c>
      <c r="BC57" s="257">
        <f>BC50+BC45</f>
        <v>51125</v>
      </c>
      <c r="BD57" s="257">
        <f>SUM(BD50+BD45)</f>
        <v>53045.9</v>
      </c>
      <c r="BE57" s="448">
        <f>SUM(BE50+BE45)</f>
        <v>54002.990000000005</v>
      </c>
      <c r="BF57" s="257">
        <f>SUM(BF50+BF45)</f>
        <v>60648</v>
      </c>
      <c r="BG57" s="257">
        <f>SUM(BG50,BG45)</f>
        <v>62600.428999999996</v>
      </c>
      <c r="BH57" s="257">
        <v>63426.19200000001</v>
      </c>
      <c r="BI57" s="257">
        <f>'[1]8 - Demonstrativos Financeiros'!$BE$57</f>
        <v>63123.009000000005</v>
      </c>
      <c r="BJ57" s="257">
        <f>SUM(BJ50,BJ45)</f>
        <v>68020.243000000002</v>
      </c>
      <c r="BK57" s="257">
        <v>66892.047000000006</v>
      </c>
    </row>
    <row r="58" spans="2:63" s="223" customFormat="1" ht="13.5">
      <c r="B58" s="230"/>
      <c r="C58" s="230"/>
      <c r="D58" s="231"/>
      <c r="E58" s="231"/>
      <c r="F58" s="231"/>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101"/>
      <c r="AF58" s="247"/>
      <c r="AG58" s="247"/>
      <c r="AH58" s="247"/>
      <c r="AI58" s="247"/>
      <c r="AJ58" s="250"/>
      <c r="AK58" s="247"/>
      <c r="AL58" s="247"/>
      <c r="AM58" s="247"/>
      <c r="AN58" s="247"/>
      <c r="AO58" s="250"/>
      <c r="AP58" s="247"/>
      <c r="AQ58" s="247"/>
      <c r="AR58" s="247"/>
      <c r="AS58" s="247"/>
      <c r="AT58" s="250"/>
      <c r="AU58" s="247"/>
      <c r="AV58" s="247"/>
      <c r="AW58" s="247"/>
      <c r="AX58" s="247"/>
      <c r="AY58" s="247"/>
      <c r="AZ58" s="247"/>
      <c r="BA58" s="247"/>
      <c r="BB58" s="247"/>
      <c r="BC58" s="247"/>
      <c r="BD58" s="247"/>
      <c r="BE58" s="248"/>
      <c r="BF58" s="487"/>
      <c r="BG58" s="487"/>
      <c r="BH58" s="487"/>
      <c r="BI58" s="487"/>
      <c r="BJ58" s="487"/>
      <c r="BK58" s="487"/>
    </row>
    <row r="59" spans="2:63" s="223" customFormat="1" ht="13.5">
      <c r="B59" s="253"/>
      <c r="C59" s="101"/>
      <c r="D59" s="101"/>
      <c r="E59" s="101"/>
      <c r="F59" s="101"/>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101"/>
      <c r="AF59" s="247"/>
      <c r="AG59" s="247"/>
      <c r="AH59" s="247"/>
      <c r="AI59" s="247"/>
      <c r="AJ59" s="250"/>
      <c r="AK59" s="247"/>
      <c r="AL59" s="247"/>
      <c r="AM59" s="247"/>
      <c r="AN59" s="247"/>
      <c r="AO59" s="250"/>
      <c r="AP59" s="247"/>
      <c r="AQ59" s="247"/>
      <c r="AR59" s="247"/>
      <c r="AS59" s="247"/>
      <c r="AT59" s="250"/>
      <c r="AU59" s="247"/>
      <c r="AV59" s="247"/>
      <c r="AW59" s="247"/>
      <c r="AX59" s="247"/>
      <c r="AY59" s="247"/>
      <c r="AZ59" s="247"/>
      <c r="BA59" s="247"/>
      <c r="BB59" s="247"/>
      <c r="BC59" s="247"/>
      <c r="BD59" s="247"/>
      <c r="BE59" s="248"/>
      <c r="BF59" s="487"/>
      <c r="BG59" s="487"/>
      <c r="BH59" s="487"/>
      <c r="BI59" s="487"/>
      <c r="BJ59" s="487"/>
      <c r="BK59" s="487"/>
    </row>
    <row r="60" spans="2:63" s="223" customFormat="1" ht="13.5">
      <c r="B60" s="233" t="s">
        <v>83</v>
      </c>
      <c r="C60" s="233"/>
      <c r="D60" s="233"/>
      <c r="E60" s="233"/>
      <c r="F60" s="233"/>
      <c r="G60" s="234">
        <v>6560</v>
      </c>
      <c r="H60" s="234">
        <v>8409</v>
      </c>
      <c r="I60" s="234">
        <v>9904</v>
      </c>
      <c r="J60" s="234">
        <v>8475</v>
      </c>
      <c r="K60" s="234">
        <v>6949</v>
      </c>
      <c r="L60" s="234">
        <v>6008</v>
      </c>
      <c r="M60" s="234">
        <v>5328</v>
      </c>
      <c r="N60" s="234">
        <v>4818</v>
      </c>
      <c r="O60" s="234">
        <v>5014</v>
      </c>
      <c r="P60" s="234">
        <v>5283</v>
      </c>
      <c r="Q60" s="234">
        <v>6111</v>
      </c>
      <c r="R60" s="234">
        <v>5022</v>
      </c>
      <c r="S60" s="234">
        <v>5612</v>
      </c>
      <c r="T60" s="234">
        <v>5705</v>
      </c>
      <c r="U60" s="234">
        <v>6452</v>
      </c>
      <c r="V60" s="234">
        <v>6777</v>
      </c>
      <c r="W60" s="234">
        <v>6666</v>
      </c>
      <c r="X60" s="234">
        <v>8251</v>
      </c>
      <c r="Y60" s="234">
        <v>8070</v>
      </c>
      <c r="Z60" s="234">
        <v>7823</v>
      </c>
      <c r="AA60" s="234">
        <f>SUM(AA61:AA63)</f>
        <v>7883</v>
      </c>
      <c r="AB60" s="234">
        <v>6731</v>
      </c>
      <c r="AC60" s="234">
        <v>6949</v>
      </c>
      <c r="AD60" s="234">
        <v>7211</v>
      </c>
      <c r="AE60" s="227"/>
      <c r="AF60" s="234">
        <v>6904</v>
      </c>
      <c r="AG60" s="234">
        <v>6675</v>
      </c>
      <c r="AH60" s="234">
        <v>7560</v>
      </c>
      <c r="AI60" s="234">
        <v>7773</v>
      </c>
      <c r="AJ60" s="234">
        <v>8060</v>
      </c>
      <c r="AK60" s="234">
        <v>8120</v>
      </c>
      <c r="AL60" s="234">
        <v>8427</v>
      </c>
      <c r="AM60" s="234">
        <v>7863</v>
      </c>
      <c r="AN60" s="234"/>
      <c r="AO60" s="234">
        <v>7437</v>
      </c>
      <c r="AP60" s="234">
        <v>6080</v>
      </c>
      <c r="AQ60" s="234">
        <v>6168</v>
      </c>
      <c r="AR60" s="234">
        <v>8621</v>
      </c>
      <c r="AS60" s="234"/>
      <c r="AT60" s="234">
        <v>8635</v>
      </c>
      <c r="AU60" s="234">
        <v>8608</v>
      </c>
      <c r="AV60" s="234">
        <v>9231</v>
      </c>
      <c r="AW60" s="234">
        <v>7714.12</v>
      </c>
      <c r="AX60" s="234">
        <v>8175</v>
      </c>
      <c r="AY60" s="234">
        <v>8741</v>
      </c>
      <c r="AZ60" s="234">
        <v>9151</v>
      </c>
      <c r="BA60" s="234">
        <v>8504</v>
      </c>
      <c r="BB60" s="234">
        <v>9296.7510000000002</v>
      </c>
      <c r="BC60" s="234">
        <v>7715</v>
      </c>
      <c r="BD60" s="234">
        <f>SUM(BD61:BD63)</f>
        <v>8219.7800000000007</v>
      </c>
      <c r="BE60" s="441">
        <f>SUM(BE61:BE63)</f>
        <v>7424.5370000000003</v>
      </c>
      <c r="BF60" s="238">
        <v>10138</v>
      </c>
      <c r="BG60" s="234">
        <f>SUM(BG61:BG63)</f>
        <v>10164.082</v>
      </c>
      <c r="BH60" s="234">
        <v>9171.3610000000008</v>
      </c>
      <c r="BI60" s="234">
        <f>'[1]8 - Demonstrativos Financeiros'!$BE$60</f>
        <v>11482.143</v>
      </c>
      <c r="BJ60" s="582">
        <f>SUM(BJ61:BJ63)</f>
        <v>11375.088</v>
      </c>
      <c r="BK60" s="582">
        <v>10975.779</v>
      </c>
    </row>
    <row r="61" spans="2:63" s="223" customFormat="1" ht="13.5">
      <c r="B61" s="235" t="s">
        <v>84</v>
      </c>
      <c r="C61" s="236"/>
      <c r="D61" s="236"/>
      <c r="E61" s="236"/>
      <c r="F61" s="236"/>
      <c r="G61" s="237">
        <v>2769</v>
      </c>
      <c r="H61" s="237">
        <v>3449</v>
      </c>
      <c r="I61" s="237">
        <v>4109</v>
      </c>
      <c r="J61" s="237">
        <v>2855</v>
      </c>
      <c r="K61" s="237">
        <v>2166</v>
      </c>
      <c r="L61" s="237">
        <v>1698</v>
      </c>
      <c r="M61" s="237">
        <v>1624</v>
      </c>
      <c r="N61" s="237">
        <v>1705</v>
      </c>
      <c r="O61" s="237">
        <v>2180</v>
      </c>
      <c r="P61" s="237">
        <v>2315</v>
      </c>
      <c r="Q61" s="237">
        <v>2008</v>
      </c>
      <c r="R61" s="237">
        <v>1783</v>
      </c>
      <c r="S61" s="237">
        <v>2388</v>
      </c>
      <c r="T61" s="237">
        <v>2817</v>
      </c>
      <c r="U61" s="237">
        <v>3171</v>
      </c>
      <c r="V61" s="237">
        <v>3212</v>
      </c>
      <c r="W61" s="237">
        <v>3229</v>
      </c>
      <c r="X61" s="237">
        <v>3527</v>
      </c>
      <c r="Y61" s="237">
        <v>3326</v>
      </c>
      <c r="Z61" s="237">
        <v>3060</v>
      </c>
      <c r="AA61" s="237">
        <v>3020</v>
      </c>
      <c r="AB61" s="237">
        <v>3303</v>
      </c>
      <c r="AC61" s="237">
        <v>3289</v>
      </c>
      <c r="AD61" s="237">
        <v>3271</v>
      </c>
      <c r="AE61" s="236"/>
      <c r="AF61" s="237">
        <v>3183</v>
      </c>
      <c r="AG61" s="237">
        <v>3448</v>
      </c>
      <c r="AH61" s="237">
        <v>3507</v>
      </c>
      <c r="AI61" s="237">
        <v>3236</v>
      </c>
      <c r="AJ61" s="237">
        <v>3745</v>
      </c>
      <c r="AK61" s="237">
        <v>3569</v>
      </c>
      <c r="AL61" s="237">
        <v>4129</v>
      </c>
      <c r="AM61" s="237">
        <v>3630</v>
      </c>
      <c r="AN61" s="237"/>
      <c r="AO61" s="237">
        <v>3343</v>
      </c>
      <c r="AP61" s="237">
        <v>2757</v>
      </c>
      <c r="AQ61" s="237">
        <v>2558</v>
      </c>
      <c r="AR61" s="237">
        <v>2744</v>
      </c>
      <c r="AS61" s="237"/>
      <c r="AT61" s="237">
        <v>3154</v>
      </c>
      <c r="AU61" s="237">
        <v>3062</v>
      </c>
      <c r="AV61" s="237">
        <v>3212</v>
      </c>
      <c r="AW61" s="237">
        <v>3179.9540000000002</v>
      </c>
      <c r="AX61" s="237">
        <v>3496.33</v>
      </c>
      <c r="AY61" s="237">
        <v>4204</v>
      </c>
      <c r="AZ61" s="237">
        <v>4150</v>
      </c>
      <c r="BA61" s="237">
        <v>4119</v>
      </c>
      <c r="BB61" s="237">
        <v>4066.7629999999999</v>
      </c>
      <c r="BC61" s="237">
        <v>3833</v>
      </c>
      <c r="BD61" s="237">
        <v>3890.0909999999999</v>
      </c>
      <c r="BE61" s="452">
        <v>3762.768</v>
      </c>
      <c r="BF61" s="492">
        <v>4313.8829999999998</v>
      </c>
      <c r="BG61" s="496">
        <v>3908.4760000000001</v>
      </c>
      <c r="BH61" s="496">
        <v>4552.7150000000001</v>
      </c>
      <c r="BI61" s="496">
        <f>'[1]8 - Demonstrativos Financeiros'!$BE$61</f>
        <v>5437.9530000000004</v>
      </c>
      <c r="BJ61" s="592">
        <v>6729.3540000000003</v>
      </c>
      <c r="BK61" s="592">
        <v>6895.2950000000001</v>
      </c>
    </row>
    <row r="62" spans="2:63" s="223" customFormat="1" ht="13.5">
      <c r="B62" s="227" t="s">
        <v>85</v>
      </c>
      <c r="C62" s="227"/>
      <c r="D62" s="227"/>
      <c r="E62" s="227"/>
      <c r="F62" s="227"/>
      <c r="G62" s="243">
        <v>2142</v>
      </c>
      <c r="H62" s="243">
        <v>3143</v>
      </c>
      <c r="I62" s="243">
        <v>3244</v>
      </c>
      <c r="J62" s="243">
        <v>3933</v>
      </c>
      <c r="K62" s="243">
        <v>3449</v>
      </c>
      <c r="L62" s="243">
        <v>2826</v>
      </c>
      <c r="M62" s="243">
        <v>2127</v>
      </c>
      <c r="N62" s="243">
        <v>1357</v>
      </c>
      <c r="O62" s="243">
        <v>1352</v>
      </c>
      <c r="P62" s="243">
        <v>1483</v>
      </c>
      <c r="Q62" s="243">
        <v>2345</v>
      </c>
      <c r="R62" s="243">
        <v>1693</v>
      </c>
      <c r="S62" s="243">
        <v>1729</v>
      </c>
      <c r="T62" s="243">
        <v>1289</v>
      </c>
      <c r="U62" s="243">
        <v>1611</v>
      </c>
      <c r="V62" s="243">
        <v>1715</v>
      </c>
      <c r="W62" s="243">
        <v>1884</v>
      </c>
      <c r="X62" s="243">
        <v>2971</v>
      </c>
      <c r="Y62" s="243">
        <v>2756</v>
      </c>
      <c r="Z62" s="243">
        <v>2324</v>
      </c>
      <c r="AA62" s="243">
        <v>3180</v>
      </c>
      <c r="AB62" s="243">
        <v>1770</v>
      </c>
      <c r="AC62" s="243">
        <v>1742</v>
      </c>
      <c r="AD62" s="243">
        <v>1811</v>
      </c>
      <c r="AE62" s="227"/>
      <c r="AF62" s="243">
        <v>1678</v>
      </c>
      <c r="AG62" s="243">
        <v>1299</v>
      </c>
      <c r="AH62" s="243">
        <v>1950</v>
      </c>
      <c r="AI62" s="243">
        <v>2038</v>
      </c>
      <c r="AJ62" s="243">
        <v>2366</v>
      </c>
      <c r="AK62" s="243">
        <v>2584</v>
      </c>
      <c r="AL62" s="243">
        <v>2132</v>
      </c>
      <c r="AM62" s="243">
        <v>2387</v>
      </c>
      <c r="AN62" s="243"/>
      <c r="AO62" s="243">
        <v>2464</v>
      </c>
      <c r="AP62" s="243">
        <v>1959</v>
      </c>
      <c r="AQ62" s="243">
        <v>2196</v>
      </c>
      <c r="AR62" s="243">
        <v>4458</v>
      </c>
      <c r="AS62" s="243"/>
      <c r="AT62" s="243">
        <v>4185</v>
      </c>
      <c r="AU62" s="243">
        <v>4186</v>
      </c>
      <c r="AV62" s="243">
        <v>4480</v>
      </c>
      <c r="AW62" s="243">
        <v>2004.3409999999999</v>
      </c>
      <c r="AX62" s="243">
        <v>2179.6770000000001</v>
      </c>
      <c r="AY62" s="243">
        <v>2317</v>
      </c>
      <c r="AZ62" s="243">
        <v>2177</v>
      </c>
      <c r="BA62" s="243">
        <v>1822</v>
      </c>
      <c r="BB62" s="243">
        <v>2911.8969999999999</v>
      </c>
      <c r="BC62" s="243">
        <v>1851</v>
      </c>
      <c r="BD62" s="243">
        <v>2193.3330000000001</v>
      </c>
      <c r="BE62" s="427">
        <v>1544.211</v>
      </c>
      <c r="BF62" s="481">
        <v>3609.587</v>
      </c>
      <c r="BG62" s="243">
        <v>3856.3470000000002</v>
      </c>
      <c r="BH62" s="243">
        <v>2146.6660000000002</v>
      </c>
      <c r="BI62" s="243">
        <f>'[1]8 - Demonstrativos Financeiros'!$BE$62</f>
        <v>1431.5059999999999</v>
      </c>
      <c r="BJ62" s="585">
        <v>452.077</v>
      </c>
      <c r="BK62" s="585">
        <v>261.101</v>
      </c>
    </row>
    <row r="63" spans="2:63" s="223" customFormat="1" ht="13.5">
      <c r="B63" s="235" t="s">
        <v>75</v>
      </c>
      <c r="C63" s="236"/>
      <c r="D63" s="236"/>
      <c r="E63" s="236"/>
      <c r="F63" s="236"/>
      <c r="G63" s="237">
        <v>1649</v>
      </c>
      <c r="H63" s="237">
        <v>1817</v>
      </c>
      <c r="I63" s="237">
        <v>2551</v>
      </c>
      <c r="J63" s="237">
        <v>1687</v>
      </c>
      <c r="K63" s="237">
        <v>1334</v>
      </c>
      <c r="L63" s="237">
        <v>1484</v>
      </c>
      <c r="M63" s="237">
        <v>1577</v>
      </c>
      <c r="N63" s="237">
        <v>1756</v>
      </c>
      <c r="O63" s="237">
        <v>1482</v>
      </c>
      <c r="P63" s="237">
        <v>1485</v>
      </c>
      <c r="Q63" s="237">
        <v>1758</v>
      </c>
      <c r="R63" s="237">
        <v>1546</v>
      </c>
      <c r="S63" s="237">
        <v>1495</v>
      </c>
      <c r="T63" s="237">
        <v>1599</v>
      </c>
      <c r="U63" s="237">
        <v>1670</v>
      </c>
      <c r="V63" s="237">
        <v>1850</v>
      </c>
      <c r="W63" s="237">
        <v>1553</v>
      </c>
      <c r="X63" s="237">
        <v>1753</v>
      </c>
      <c r="Y63" s="237">
        <v>1987</v>
      </c>
      <c r="Z63" s="237">
        <v>2439</v>
      </c>
      <c r="AA63" s="237">
        <v>1683</v>
      </c>
      <c r="AB63" s="237">
        <v>1658</v>
      </c>
      <c r="AC63" s="237">
        <v>1918</v>
      </c>
      <c r="AD63" s="237">
        <v>2129</v>
      </c>
      <c r="AE63" s="236"/>
      <c r="AF63" s="237">
        <v>2043</v>
      </c>
      <c r="AG63" s="237">
        <v>1928</v>
      </c>
      <c r="AH63" s="237">
        <v>2103</v>
      </c>
      <c r="AI63" s="237">
        <v>2499</v>
      </c>
      <c r="AJ63" s="237">
        <v>1949</v>
      </c>
      <c r="AK63" s="237">
        <v>1967</v>
      </c>
      <c r="AL63" s="237">
        <v>2165</v>
      </c>
      <c r="AM63" s="237">
        <v>1846</v>
      </c>
      <c r="AN63" s="237"/>
      <c r="AO63" s="237">
        <v>1630</v>
      </c>
      <c r="AP63" s="237">
        <v>1364</v>
      </c>
      <c r="AQ63" s="237">
        <v>1414</v>
      </c>
      <c r="AR63" s="237">
        <v>1419</v>
      </c>
      <c r="AS63" s="237"/>
      <c r="AT63" s="237">
        <f>AT60-(AT61+AT62)</f>
        <v>1296</v>
      </c>
      <c r="AU63" s="237">
        <f>AU60-(AU61+AU62)</f>
        <v>1360</v>
      </c>
      <c r="AV63" s="237">
        <f>AV60-(AV61+AV62)</f>
        <v>1539</v>
      </c>
      <c r="AW63" s="237">
        <v>2529.8249999999998</v>
      </c>
      <c r="AX63" s="237">
        <f>AX60-AX61-AX62</f>
        <v>2498.9929999999999</v>
      </c>
      <c r="AY63" s="237">
        <f>AY60-AY61-AY62</f>
        <v>2220</v>
      </c>
      <c r="AZ63" s="237">
        <v>2824</v>
      </c>
      <c r="BA63" s="237">
        <v>2563</v>
      </c>
      <c r="BB63" s="237">
        <v>2318</v>
      </c>
      <c r="BC63" s="237">
        <v>2031</v>
      </c>
      <c r="BD63" s="237">
        <v>2136.3560000000002</v>
      </c>
      <c r="BE63" s="428">
        <v>2117.558</v>
      </c>
      <c r="BF63" s="479">
        <v>2213</v>
      </c>
      <c r="BG63" s="237">
        <v>2399.259</v>
      </c>
      <c r="BH63" s="237">
        <v>2471.98</v>
      </c>
      <c r="BI63" s="237">
        <f>'[1]8 - Demonstrativos Financeiros'!$BE$63</f>
        <v>4612.6840000000002</v>
      </c>
      <c r="BJ63" s="583">
        <v>4193.6570000000002</v>
      </c>
      <c r="BK63" s="583">
        <v>3819.3829999999998</v>
      </c>
    </row>
    <row r="64" spans="2:63" s="232" customFormat="1" ht="13.5">
      <c r="B64" s="233" t="s">
        <v>86</v>
      </c>
      <c r="C64" s="233"/>
      <c r="D64" s="233"/>
      <c r="E64" s="233"/>
      <c r="F64" s="233"/>
      <c r="G64" s="234">
        <v>18345</v>
      </c>
      <c r="H64" s="234">
        <v>18074</v>
      </c>
      <c r="I64" s="234">
        <v>20663</v>
      </c>
      <c r="J64" s="234">
        <v>25532</v>
      </c>
      <c r="K64" s="234">
        <v>24642</v>
      </c>
      <c r="L64" s="234">
        <v>20940</v>
      </c>
      <c r="M64" s="234">
        <v>18558</v>
      </c>
      <c r="N64" s="234">
        <v>17760</v>
      </c>
      <c r="O64" s="234">
        <v>17967</v>
      </c>
      <c r="P64" s="234">
        <v>17817</v>
      </c>
      <c r="Q64" s="234">
        <v>16421</v>
      </c>
      <c r="R64" s="234">
        <v>17722</v>
      </c>
      <c r="S64" s="234">
        <v>16934</v>
      </c>
      <c r="T64" s="234">
        <v>14825</v>
      </c>
      <c r="U64" s="234">
        <v>16344</v>
      </c>
      <c r="V64" s="234">
        <v>16685</v>
      </c>
      <c r="W64" s="234">
        <v>16220</v>
      </c>
      <c r="X64" s="234">
        <v>16674</v>
      </c>
      <c r="Y64" s="234">
        <v>16643</v>
      </c>
      <c r="Z64" s="234">
        <v>16472</v>
      </c>
      <c r="AA64" s="234">
        <f>SUM(AA65:AA68)</f>
        <v>15449</v>
      </c>
      <c r="AB64" s="234">
        <v>17861</v>
      </c>
      <c r="AC64" s="234">
        <v>18123</v>
      </c>
      <c r="AD64" s="234">
        <v>18999</v>
      </c>
      <c r="AE64" s="227"/>
      <c r="AF64" s="234">
        <v>19007</v>
      </c>
      <c r="AG64" s="234">
        <v>19513</v>
      </c>
      <c r="AH64" s="234">
        <v>20704</v>
      </c>
      <c r="AI64" s="234">
        <v>22015</v>
      </c>
      <c r="AJ64" s="234">
        <v>26344</v>
      </c>
      <c r="AK64" s="234">
        <v>25197</v>
      </c>
      <c r="AL64" s="234">
        <v>32050</v>
      </c>
      <c r="AM64" s="234">
        <v>30261</v>
      </c>
      <c r="AN64" s="234"/>
      <c r="AO64" s="234">
        <v>27282</v>
      </c>
      <c r="AP64" s="234">
        <v>24393</v>
      </c>
      <c r="AQ64" s="234">
        <v>24703</v>
      </c>
      <c r="AR64" s="234">
        <v>21739</v>
      </c>
      <c r="AS64" s="234"/>
      <c r="AT64" s="234">
        <v>20007</v>
      </c>
      <c r="AU64" s="234">
        <v>20221</v>
      </c>
      <c r="AV64" s="234">
        <v>18441</v>
      </c>
      <c r="AW64" s="234">
        <v>18693.7</v>
      </c>
      <c r="AX64" s="234">
        <v>18666</v>
      </c>
      <c r="AY64" s="234">
        <v>20044</v>
      </c>
      <c r="AZ64" s="234">
        <v>20206</v>
      </c>
      <c r="BA64" s="234">
        <v>16838</v>
      </c>
      <c r="BB64" s="234">
        <f>SUM(BB65:BB68)</f>
        <v>16401.553</v>
      </c>
      <c r="BC64" s="234">
        <v>16842</v>
      </c>
      <c r="BD64" s="234">
        <f>SUM(BD65:BD68)</f>
        <v>17327.991999999998</v>
      </c>
      <c r="BE64" s="441">
        <f>SUM(BE65:BE68)</f>
        <v>19404.974000000002</v>
      </c>
      <c r="BF64" s="238">
        <f>SUM(BF65:BF68)</f>
        <v>21187.567999999999</v>
      </c>
      <c r="BG64" s="234">
        <f>SUM(BG65:BG68)</f>
        <v>22174.964</v>
      </c>
      <c r="BH64" s="234">
        <v>22761.530999999999</v>
      </c>
      <c r="BI64" s="234">
        <f>'[1]8 - Demonstrativos Financeiros'!$BE$64</f>
        <v>20555.655999999999</v>
      </c>
      <c r="BJ64" s="582">
        <f>SUM(BJ65:BJ68)</f>
        <v>21950.894</v>
      </c>
      <c r="BK64" s="582">
        <v>19775.893</v>
      </c>
    </row>
    <row r="65" spans="2:63" s="223" customFormat="1" ht="13.5">
      <c r="B65" s="235" t="s">
        <v>85</v>
      </c>
      <c r="C65" s="236"/>
      <c r="D65" s="236"/>
      <c r="E65" s="236"/>
      <c r="F65" s="236"/>
      <c r="G65" s="237">
        <v>13287</v>
      </c>
      <c r="H65" s="237">
        <v>13340</v>
      </c>
      <c r="I65" s="237">
        <v>15767</v>
      </c>
      <c r="J65" s="237">
        <v>19301</v>
      </c>
      <c r="K65" s="237">
        <v>18700</v>
      </c>
      <c r="L65" s="237">
        <v>16094</v>
      </c>
      <c r="M65" s="237">
        <v>13951</v>
      </c>
      <c r="N65" s="237">
        <v>13164</v>
      </c>
      <c r="O65" s="237">
        <v>13279</v>
      </c>
      <c r="P65" s="237">
        <v>13271</v>
      </c>
      <c r="Q65" s="237">
        <v>11824</v>
      </c>
      <c r="R65" s="237">
        <v>12977</v>
      </c>
      <c r="S65" s="237">
        <v>12506</v>
      </c>
      <c r="T65" s="237">
        <v>10619</v>
      </c>
      <c r="U65" s="237">
        <v>11913</v>
      </c>
      <c r="V65" s="237">
        <v>11182</v>
      </c>
      <c r="W65" s="237">
        <v>10874</v>
      </c>
      <c r="X65" s="237">
        <v>11297</v>
      </c>
      <c r="Y65" s="237">
        <v>11571</v>
      </c>
      <c r="Z65" s="237">
        <v>11726</v>
      </c>
      <c r="AA65" s="237">
        <v>11304</v>
      </c>
      <c r="AB65" s="237">
        <v>13454</v>
      </c>
      <c r="AC65" s="237">
        <v>13622</v>
      </c>
      <c r="AD65" s="237">
        <v>14481</v>
      </c>
      <c r="AE65" s="236"/>
      <c r="AF65" s="237">
        <v>14583</v>
      </c>
      <c r="AG65" s="237">
        <v>14981</v>
      </c>
      <c r="AH65" s="237">
        <v>16131</v>
      </c>
      <c r="AI65" s="237">
        <v>17149</v>
      </c>
      <c r="AJ65" s="237">
        <v>20588</v>
      </c>
      <c r="AK65" s="237">
        <v>19712</v>
      </c>
      <c r="AL65" s="237">
        <v>25200</v>
      </c>
      <c r="AM65" s="237">
        <v>23827</v>
      </c>
      <c r="AN65" s="237"/>
      <c r="AO65" s="237">
        <v>20993</v>
      </c>
      <c r="AP65" s="237">
        <v>18497</v>
      </c>
      <c r="AQ65" s="237">
        <v>18703</v>
      </c>
      <c r="AR65" s="237">
        <v>15960</v>
      </c>
      <c r="AS65" s="237"/>
      <c r="AT65" s="237">
        <v>15373</v>
      </c>
      <c r="AU65" s="237">
        <v>15646</v>
      </c>
      <c r="AV65" s="237">
        <v>14130</v>
      </c>
      <c r="AW65" s="237">
        <v>14457.315000000001</v>
      </c>
      <c r="AX65" s="237">
        <v>14495.824000000001</v>
      </c>
      <c r="AY65" s="237">
        <v>15759</v>
      </c>
      <c r="AZ65" s="237">
        <v>15977</v>
      </c>
      <c r="BA65" s="237">
        <v>11546</v>
      </c>
      <c r="BB65" s="237">
        <v>10529.771000000001</v>
      </c>
      <c r="BC65" s="237">
        <v>9883</v>
      </c>
      <c r="BD65" s="237">
        <v>10339.046</v>
      </c>
      <c r="BE65" s="428">
        <v>11594.611999999999</v>
      </c>
      <c r="BF65" s="479">
        <v>13476.769</v>
      </c>
      <c r="BG65" s="237">
        <v>14216.089</v>
      </c>
      <c r="BH65" s="237">
        <v>14473.251</v>
      </c>
      <c r="BI65" s="237">
        <f>'[1]8 - Demonstrativos Financeiros'!$BE$65</f>
        <v>16083.844999999999</v>
      </c>
      <c r="BJ65" s="583">
        <v>17313.159</v>
      </c>
      <c r="BK65" s="583">
        <v>15545.06</v>
      </c>
    </row>
    <row r="66" spans="2:63" s="223" customFormat="1" ht="13.5">
      <c r="B66" s="227" t="s">
        <v>77</v>
      </c>
      <c r="C66" s="227"/>
      <c r="D66" s="227"/>
      <c r="E66" s="227"/>
      <c r="F66" s="227"/>
      <c r="G66" s="243">
        <v>2311</v>
      </c>
      <c r="H66" s="243">
        <v>2613</v>
      </c>
      <c r="I66" s="243">
        <v>2591</v>
      </c>
      <c r="J66" s="243">
        <v>3060</v>
      </c>
      <c r="K66" s="243">
        <v>2986</v>
      </c>
      <c r="L66" s="243">
        <v>2374</v>
      </c>
      <c r="M66" s="243">
        <v>2210</v>
      </c>
      <c r="N66" s="243">
        <v>2274</v>
      </c>
      <c r="O66" s="243">
        <v>2270</v>
      </c>
      <c r="P66" s="243">
        <v>2226</v>
      </c>
      <c r="Q66" s="243">
        <v>2160</v>
      </c>
      <c r="R66" s="243">
        <v>2271</v>
      </c>
      <c r="S66" s="243">
        <v>1976</v>
      </c>
      <c r="T66" s="243">
        <v>1885</v>
      </c>
      <c r="U66" s="243">
        <v>1851</v>
      </c>
      <c r="V66" s="243">
        <v>1859</v>
      </c>
      <c r="W66" s="243">
        <v>1769</v>
      </c>
      <c r="X66" s="243">
        <v>1764</v>
      </c>
      <c r="Y66" s="243">
        <v>1750</v>
      </c>
      <c r="Z66" s="243">
        <v>1796</v>
      </c>
      <c r="AA66" s="243">
        <v>1242</v>
      </c>
      <c r="AB66" s="243">
        <v>1306</v>
      </c>
      <c r="AC66" s="243">
        <v>1284</v>
      </c>
      <c r="AD66" s="243">
        <v>1446</v>
      </c>
      <c r="AE66" s="227"/>
      <c r="AF66" s="243">
        <v>1104</v>
      </c>
      <c r="AG66" s="243">
        <v>1054</v>
      </c>
      <c r="AH66" s="243">
        <v>1157</v>
      </c>
      <c r="AI66" s="243">
        <v>945</v>
      </c>
      <c r="AJ66" s="243">
        <v>1243</v>
      </c>
      <c r="AK66" s="243">
        <v>1215</v>
      </c>
      <c r="AL66" s="243">
        <v>1304</v>
      </c>
      <c r="AM66" s="243">
        <v>914</v>
      </c>
      <c r="AN66" s="243"/>
      <c r="AO66" s="243">
        <v>830</v>
      </c>
      <c r="AP66" s="243">
        <v>725</v>
      </c>
      <c r="AQ66" s="243">
        <v>726</v>
      </c>
      <c r="AR66" s="243">
        <v>395</v>
      </c>
      <c r="AS66" s="243"/>
      <c r="AT66" s="243">
        <v>306</v>
      </c>
      <c r="AU66" s="243">
        <v>293</v>
      </c>
      <c r="AV66" s="243">
        <v>256</v>
      </c>
      <c r="AW66" s="243">
        <v>82.686000000000007</v>
      </c>
      <c r="AX66" s="243">
        <v>123.77200000000001</v>
      </c>
      <c r="AY66" s="243">
        <v>156</v>
      </c>
      <c r="AZ66" s="243">
        <v>266</v>
      </c>
      <c r="BA66" s="243">
        <v>118</v>
      </c>
      <c r="BB66" s="243">
        <v>59.100999999999999</v>
      </c>
      <c r="BC66" s="243">
        <v>61</v>
      </c>
      <c r="BD66" s="243">
        <v>71.62</v>
      </c>
      <c r="BE66" s="427">
        <v>517.41300000000001</v>
      </c>
      <c r="BF66" s="481">
        <v>70.361000000000004</v>
      </c>
      <c r="BG66" s="243">
        <v>69.641999999999996</v>
      </c>
      <c r="BH66" s="243">
        <v>46.683999999999997</v>
      </c>
      <c r="BI66" s="243">
        <f>'[1]8 - Demonstrativos Financeiros'!$BE$66</f>
        <v>61.561999999999998</v>
      </c>
      <c r="BJ66" s="585">
        <v>59.633000000000003</v>
      </c>
      <c r="BK66" s="585">
        <v>56</v>
      </c>
    </row>
    <row r="67" spans="2:63" s="223" customFormat="1" ht="13.5">
      <c r="B67" s="235" t="s">
        <v>87</v>
      </c>
      <c r="C67" s="236"/>
      <c r="D67" s="236"/>
      <c r="E67" s="236"/>
      <c r="F67" s="236"/>
      <c r="G67" s="237">
        <v>817</v>
      </c>
      <c r="H67" s="237">
        <v>662</v>
      </c>
      <c r="I67" s="237">
        <v>822</v>
      </c>
      <c r="J67" s="237">
        <v>1276</v>
      </c>
      <c r="K67" s="237">
        <v>1192</v>
      </c>
      <c r="L67" s="237">
        <v>920</v>
      </c>
      <c r="M67" s="237">
        <v>923</v>
      </c>
      <c r="N67" s="237">
        <v>961</v>
      </c>
      <c r="O67" s="237">
        <v>946</v>
      </c>
      <c r="P67" s="237">
        <v>829</v>
      </c>
      <c r="Q67" s="237">
        <v>779</v>
      </c>
      <c r="R67" s="237">
        <v>834</v>
      </c>
      <c r="S67" s="237">
        <v>793</v>
      </c>
      <c r="T67" s="237">
        <v>720</v>
      </c>
      <c r="U67" s="237">
        <v>828</v>
      </c>
      <c r="V67" s="237">
        <v>1090</v>
      </c>
      <c r="W67" s="237">
        <v>1035</v>
      </c>
      <c r="X67" s="237">
        <v>1007</v>
      </c>
      <c r="Y67" s="237">
        <v>1016</v>
      </c>
      <c r="Z67" s="237">
        <v>1188</v>
      </c>
      <c r="AA67" s="237">
        <v>1148</v>
      </c>
      <c r="AB67" s="237">
        <v>1169</v>
      </c>
      <c r="AC67" s="237">
        <v>1204</v>
      </c>
      <c r="AD67" s="237">
        <v>942</v>
      </c>
      <c r="AE67" s="236"/>
      <c r="AF67" s="237">
        <v>906</v>
      </c>
      <c r="AG67" s="237">
        <v>881</v>
      </c>
      <c r="AH67" s="237">
        <v>832</v>
      </c>
      <c r="AI67" s="237">
        <v>1273</v>
      </c>
      <c r="AJ67" s="237">
        <v>1517</v>
      </c>
      <c r="AK67" s="237">
        <v>1490</v>
      </c>
      <c r="AL67" s="237">
        <v>1740</v>
      </c>
      <c r="AM67" s="237">
        <v>1687</v>
      </c>
      <c r="AN67" s="237"/>
      <c r="AO67" s="237">
        <v>1582</v>
      </c>
      <c r="AP67" s="237">
        <v>1441</v>
      </c>
      <c r="AQ67" s="237">
        <v>1468</v>
      </c>
      <c r="AR67" s="237">
        <v>1504</v>
      </c>
      <c r="AS67" s="237"/>
      <c r="AT67" s="237">
        <v>1466</v>
      </c>
      <c r="AU67" s="237">
        <v>1452</v>
      </c>
      <c r="AV67" s="237">
        <v>1414</v>
      </c>
      <c r="AW67" s="237">
        <v>1424.6110000000001</v>
      </c>
      <c r="AX67" s="237">
        <v>1413.4259999999999</v>
      </c>
      <c r="AY67" s="237">
        <v>1577</v>
      </c>
      <c r="AZ67" s="237">
        <v>1567</v>
      </c>
      <c r="BA67" s="237">
        <v>1357</v>
      </c>
      <c r="BB67" s="237">
        <v>1348.681</v>
      </c>
      <c r="BC67" s="237">
        <v>1261</v>
      </c>
      <c r="BD67" s="237">
        <v>1368.7380000000001</v>
      </c>
      <c r="BE67" s="428">
        <v>1469.9490000000001</v>
      </c>
      <c r="BF67" s="479">
        <v>1790.4380000000001</v>
      </c>
      <c r="BG67" s="237">
        <v>1927.655</v>
      </c>
      <c r="BH67" s="237">
        <v>1993.136</v>
      </c>
      <c r="BI67" s="237">
        <f>'[1]8 - Demonstrativos Financeiros'!$BE$67</f>
        <v>1861.231</v>
      </c>
      <c r="BJ67" s="583">
        <v>2021.694</v>
      </c>
      <c r="BK67" s="583">
        <v>1715.9469999999999</v>
      </c>
    </row>
    <row r="68" spans="2:63" s="223" customFormat="1" ht="13.5">
      <c r="B68" s="227" t="s">
        <v>75</v>
      </c>
      <c r="C68" s="227"/>
      <c r="D68" s="227"/>
      <c r="E68" s="227"/>
      <c r="F68" s="227"/>
      <c r="G68" s="243">
        <v>1930</v>
      </c>
      <c r="H68" s="243">
        <v>1459</v>
      </c>
      <c r="I68" s="243">
        <v>1483</v>
      </c>
      <c r="J68" s="243">
        <v>1895</v>
      </c>
      <c r="K68" s="243">
        <v>1764</v>
      </c>
      <c r="L68" s="243">
        <v>1552</v>
      </c>
      <c r="M68" s="243">
        <v>1474</v>
      </c>
      <c r="N68" s="243">
        <v>1361</v>
      </c>
      <c r="O68" s="243">
        <v>1472</v>
      </c>
      <c r="P68" s="243">
        <v>1491</v>
      </c>
      <c r="Q68" s="243">
        <v>1658</v>
      </c>
      <c r="R68" s="243">
        <v>1640</v>
      </c>
      <c r="S68" s="243">
        <v>1659</v>
      </c>
      <c r="T68" s="243">
        <v>1601</v>
      </c>
      <c r="U68" s="243">
        <v>1752</v>
      </c>
      <c r="V68" s="243">
        <v>2554</v>
      </c>
      <c r="W68" s="243">
        <v>2542</v>
      </c>
      <c r="X68" s="243">
        <v>2606</v>
      </c>
      <c r="Y68" s="243">
        <v>2305</v>
      </c>
      <c r="Z68" s="243">
        <v>1762</v>
      </c>
      <c r="AA68" s="243">
        <v>1755</v>
      </c>
      <c r="AB68" s="243">
        <v>1932</v>
      </c>
      <c r="AC68" s="243">
        <v>2013</v>
      </c>
      <c r="AD68" s="243">
        <v>2130</v>
      </c>
      <c r="AE68" s="227"/>
      <c r="AF68" s="243">
        <v>2414</v>
      </c>
      <c r="AG68" s="243">
        <v>2597</v>
      </c>
      <c r="AH68" s="243">
        <v>2584</v>
      </c>
      <c r="AI68" s="243">
        <v>2648</v>
      </c>
      <c r="AJ68" s="243">
        <v>2996</v>
      </c>
      <c r="AK68" s="243">
        <v>2780</v>
      </c>
      <c r="AL68" s="243">
        <v>3806</v>
      </c>
      <c r="AM68" s="243">
        <v>3833</v>
      </c>
      <c r="AN68" s="243"/>
      <c r="AO68" s="243">
        <v>3877</v>
      </c>
      <c r="AP68" s="243">
        <v>3730</v>
      </c>
      <c r="AQ68" s="243">
        <v>3806</v>
      </c>
      <c r="AR68" s="243">
        <v>3880</v>
      </c>
      <c r="AS68" s="243"/>
      <c r="AT68" s="243">
        <f>AT64-(AT65+AT66+AT67)</f>
        <v>2862</v>
      </c>
      <c r="AU68" s="243">
        <v>2830</v>
      </c>
      <c r="AV68" s="243">
        <v>2641</v>
      </c>
      <c r="AW68" s="243">
        <v>2729.0880000000002</v>
      </c>
      <c r="AX68" s="243">
        <f>AX64-AX65-AX66-AX67</f>
        <v>2632.9779999999996</v>
      </c>
      <c r="AY68" s="243">
        <f>AY64-AY65-AY66-AY67</f>
        <v>2552</v>
      </c>
      <c r="AZ68" s="243">
        <v>2396</v>
      </c>
      <c r="BA68" s="243">
        <v>3817</v>
      </c>
      <c r="BB68" s="243">
        <v>4464</v>
      </c>
      <c r="BC68" s="243">
        <v>5637</v>
      </c>
      <c r="BD68" s="243">
        <v>5548.5879999999997</v>
      </c>
      <c r="BE68" s="427">
        <f>5823</f>
        <v>5823</v>
      </c>
      <c r="BF68" s="481">
        <f>5850</f>
        <v>5850</v>
      </c>
      <c r="BG68" s="243">
        <v>5961.5780000000004</v>
      </c>
      <c r="BH68" s="243">
        <v>6248.46</v>
      </c>
      <c r="BI68" s="243">
        <f>'[1]8 - Demonstrativos Financeiros'!$BE$68</f>
        <v>2549.018</v>
      </c>
      <c r="BJ68" s="585">
        <v>2556.4079999999999</v>
      </c>
      <c r="BK68" s="585">
        <v>2458.886</v>
      </c>
    </row>
    <row r="69" spans="2:63" s="232" customFormat="1" ht="13.5">
      <c r="B69" s="263" t="s">
        <v>88</v>
      </c>
      <c r="C69" s="263"/>
      <c r="D69" s="263"/>
      <c r="E69" s="263"/>
      <c r="F69" s="263"/>
      <c r="G69" s="255">
        <v>17097</v>
      </c>
      <c r="H69" s="255">
        <v>21071</v>
      </c>
      <c r="I69" s="255">
        <v>24242</v>
      </c>
      <c r="J69" s="255">
        <v>25044</v>
      </c>
      <c r="K69" s="256">
        <v>24513</v>
      </c>
      <c r="L69" s="256">
        <v>22324</v>
      </c>
      <c r="M69" s="256">
        <v>22046</v>
      </c>
      <c r="N69" s="256">
        <v>22005</v>
      </c>
      <c r="O69" s="256">
        <v>22654</v>
      </c>
      <c r="P69" s="256">
        <v>23228</v>
      </c>
      <c r="Q69" s="256">
        <v>20276</v>
      </c>
      <c r="R69" s="256">
        <v>20147</v>
      </c>
      <c r="S69" s="256">
        <v>20386</v>
      </c>
      <c r="T69" s="256">
        <v>24506</v>
      </c>
      <c r="U69" s="256">
        <v>26631</v>
      </c>
      <c r="V69" s="256">
        <v>26520</v>
      </c>
      <c r="W69" s="256">
        <v>26742</v>
      </c>
      <c r="X69" s="256">
        <v>28421</v>
      </c>
      <c r="Y69" s="256">
        <v>28886</v>
      </c>
      <c r="Z69" s="256">
        <v>28798</v>
      </c>
      <c r="AA69" s="256">
        <f>SUM(AA70:AA72)</f>
        <v>28475</v>
      </c>
      <c r="AB69" s="256">
        <v>30464</v>
      </c>
      <c r="AC69" s="256">
        <v>31136</v>
      </c>
      <c r="AD69" s="256">
        <v>32264</v>
      </c>
      <c r="AE69" s="263"/>
      <c r="AF69" s="256">
        <v>31643</v>
      </c>
      <c r="AG69" s="256">
        <v>31706</v>
      </c>
      <c r="AH69" s="256">
        <v>33208</v>
      </c>
      <c r="AI69" s="256">
        <v>33255</v>
      </c>
      <c r="AJ69" s="256">
        <v>36439</v>
      </c>
      <c r="AK69" s="256">
        <v>35462</v>
      </c>
      <c r="AL69" s="256">
        <v>36012</v>
      </c>
      <c r="AM69" s="256">
        <v>31970</v>
      </c>
      <c r="AN69" s="256"/>
      <c r="AO69" s="256">
        <v>30286</v>
      </c>
      <c r="AP69" s="256">
        <v>27761</v>
      </c>
      <c r="AQ69" s="256">
        <v>27841</v>
      </c>
      <c r="AR69" s="256">
        <v>24274</v>
      </c>
      <c r="AS69" s="256"/>
      <c r="AT69" s="256">
        <v>24916</v>
      </c>
      <c r="AU69" s="256">
        <v>25346</v>
      </c>
      <c r="AV69" s="256">
        <v>24903</v>
      </c>
      <c r="AW69" s="256">
        <v>23893.941000000003</v>
      </c>
      <c r="AX69" s="256">
        <v>24134.530999999999</v>
      </c>
      <c r="AY69" s="256">
        <v>25678</v>
      </c>
      <c r="AZ69" s="256">
        <v>26762</v>
      </c>
      <c r="BA69" s="256">
        <v>25939</v>
      </c>
      <c r="BB69" s="256">
        <v>26446.350999999999</v>
      </c>
      <c r="BC69" s="256">
        <v>26568</v>
      </c>
      <c r="BD69" s="256">
        <f>SUM(BD70:BD72)</f>
        <v>27498.32</v>
      </c>
      <c r="BE69" s="453">
        <f>SUM(BE70:BE72)</f>
        <v>27172.597000000002</v>
      </c>
      <c r="BF69" s="493">
        <f>SUM(BF70:BF72)</f>
        <v>29324.733000000004</v>
      </c>
      <c r="BG69" s="256">
        <f>SUM(BG70:BG72)</f>
        <v>30261.373000000003</v>
      </c>
      <c r="BH69" s="256">
        <v>31493.303</v>
      </c>
      <c r="BI69" s="256">
        <f>'[1]8 - Demonstrativos Financeiros'!$BE$69</f>
        <v>31085.21</v>
      </c>
      <c r="BJ69" s="593">
        <f>SUM(BJ70:BJ72)</f>
        <v>34694.260999999999</v>
      </c>
      <c r="BK69" s="593">
        <v>36140.375</v>
      </c>
    </row>
    <row r="70" spans="2:63" s="223" customFormat="1" ht="13.5">
      <c r="B70" s="227" t="s">
        <v>43</v>
      </c>
      <c r="C70" s="227"/>
      <c r="D70" s="227"/>
      <c r="E70" s="227"/>
      <c r="F70" s="227"/>
      <c r="G70" s="243">
        <v>7810</v>
      </c>
      <c r="H70" s="243">
        <v>14185</v>
      </c>
      <c r="I70" s="243">
        <v>14185</v>
      </c>
      <c r="J70" s="243">
        <v>14185</v>
      </c>
      <c r="K70" s="243">
        <v>14185</v>
      </c>
      <c r="L70" s="243">
        <v>14185</v>
      </c>
      <c r="M70" s="243">
        <v>14185</v>
      </c>
      <c r="N70" s="243">
        <v>14185</v>
      </c>
      <c r="O70" s="243">
        <v>14185</v>
      </c>
      <c r="P70" s="243">
        <v>14185</v>
      </c>
      <c r="Q70" s="243">
        <v>14185</v>
      </c>
      <c r="R70" s="243">
        <v>15651</v>
      </c>
      <c r="S70" s="243">
        <v>15651</v>
      </c>
      <c r="T70" s="243">
        <v>19249</v>
      </c>
      <c r="U70" s="243">
        <v>19249</v>
      </c>
      <c r="V70" s="243">
        <v>19249</v>
      </c>
      <c r="W70" s="243">
        <v>19249</v>
      </c>
      <c r="X70" s="243">
        <v>19249</v>
      </c>
      <c r="Y70" s="243">
        <v>19249</v>
      </c>
      <c r="Z70" s="243">
        <v>19249</v>
      </c>
      <c r="AA70" s="243">
        <v>19249</v>
      </c>
      <c r="AB70" s="243">
        <v>19249</v>
      </c>
      <c r="AC70" s="243">
        <v>19249</v>
      </c>
      <c r="AD70" s="243">
        <v>19249</v>
      </c>
      <c r="AE70" s="227"/>
      <c r="AF70" s="243">
        <v>19249</v>
      </c>
      <c r="AG70" s="243">
        <v>19249</v>
      </c>
      <c r="AH70" s="243">
        <v>19249</v>
      </c>
      <c r="AI70" s="243">
        <v>19249</v>
      </c>
      <c r="AJ70" s="243">
        <v>19249</v>
      </c>
      <c r="AK70" s="243">
        <v>19249</v>
      </c>
      <c r="AL70" s="243">
        <v>19249</v>
      </c>
      <c r="AM70" s="243">
        <v>19249</v>
      </c>
      <c r="AN70" s="243"/>
      <c r="AO70" s="243">
        <v>19249</v>
      </c>
      <c r="AP70" s="243">
        <v>19249</v>
      </c>
      <c r="AQ70" s="243">
        <v>19249</v>
      </c>
      <c r="AR70" s="243">
        <v>19249</v>
      </c>
      <c r="AS70" s="243"/>
      <c r="AT70" s="243">
        <v>19249</v>
      </c>
      <c r="AU70" s="243">
        <v>19249</v>
      </c>
      <c r="AV70" s="243">
        <v>19249</v>
      </c>
      <c r="AW70" s="243">
        <v>19249.181</v>
      </c>
      <c r="AX70" s="243">
        <v>19249.181</v>
      </c>
      <c r="AY70" s="243">
        <v>19249</v>
      </c>
      <c r="AZ70" s="243">
        <v>19249</v>
      </c>
      <c r="BA70" s="243">
        <v>19249</v>
      </c>
      <c r="BB70" s="243">
        <v>19249.181</v>
      </c>
      <c r="BC70" s="243">
        <v>19249</v>
      </c>
      <c r="BD70" s="243">
        <v>19249.181</v>
      </c>
      <c r="BE70" s="427">
        <f>19249.181</f>
        <v>19249.181</v>
      </c>
      <c r="BF70" s="481">
        <f>19249.181</f>
        <v>19249.181</v>
      </c>
      <c r="BG70" s="243">
        <f>19249.181</f>
        <v>19249.181</v>
      </c>
      <c r="BH70" s="243">
        <v>19249.181</v>
      </c>
      <c r="BI70" s="243">
        <f>'[1]8 - Demonstrativos Financeiros'!$BE$70</f>
        <v>19249.181</v>
      </c>
      <c r="BJ70" s="594">
        <v>19249.181</v>
      </c>
      <c r="BK70" s="594">
        <v>19249.181</v>
      </c>
    </row>
    <row r="71" spans="2:63" s="223" customFormat="1" ht="13.5">
      <c r="B71" s="236" t="s">
        <v>44</v>
      </c>
      <c r="C71" s="236"/>
      <c r="D71" s="236"/>
      <c r="E71" s="236"/>
      <c r="F71" s="236"/>
      <c r="G71" s="237">
        <v>5544</v>
      </c>
      <c r="H71" s="237">
        <v>2669</v>
      </c>
      <c r="I71" s="237">
        <v>5036</v>
      </c>
      <c r="J71" s="237">
        <v>5982</v>
      </c>
      <c r="K71" s="237">
        <v>5888</v>
      </c>
      <c r="L71" s="237">
        <v>3983</v>
      </c>
      <c r="M71" s="237">
        <v>3866</v>
      </c>
      <c r="N71" s="237">
        <v>4323</v>
      </c>
      <c r="O71" s="237">
        <v>4851</v>
      </c>
      <c r="P71" s="237">
        <v>5248</v>
      </c>
      <c r="Q71" s="237">
        <v>4871</v>
      </c>
      <c r="R71" s="237">
        <v>3819</v>
      </c>
      <c r="S71" s="237">
        <v>3613</v>
      </c>
      <c r="T71" s="237">
        <v>3794</v>
      </c>
      <c r="U71" s="237">
        <v>5861</v>
      </c>
      <c r="V71" s="237">
        <v>5749</v>
      </c>
      <c r="W71" s="237">
        <v>5972</v>
      </c>
      <c r="X71" s="237">
        <v>7661</v>
      </c>
      <c r="Y71" s="237">
        <v>8073</v>
      </c>
      <c r="Z71" s="237">
        <v>7997</v>
      </c>
      <c r="AA71" s="237">
        <v>7768</v>
      </c>
      <c r="AB71" s="237">
        <v>9298</v>
      </c>
      <c r="AC71" s="237">
        <v>9954</v>
      </c>
      <c r="AD71" s="237">
        <v>11090</v>
      </c>
      <c r="AE71" s="236"/>
      <c r="AF71" s="237">
        <v>10712</v>
      </c>
      <c r="AG71" s="237">
        <v>10747</v>
      </c>
      <c r="AH71" s="237">
        <v>12192</v>
      </c>
      <c r="AI71" s="237">
        <v>12952</v>
      </c>
      <c r="AJ71" s="237">
        <v>16064</v>
      </c>
      <c r="AK71" s="237">
        <v>15104</v>
      </c>
      <c r="AL71" s="237">
        <v>16459</v>
      </c>
      <c r="AM71" s="237">
        <v>12437</v>
      </c>
      <c r="AN71" s="237"/>
      <c r="AO71" s="237">
        <v>10765</v>
      </c>
      <c r="AP71" s="237">
        <v>8254</v>
      </c>
      <c r="AQ71" s="237">
        <v>8333</v>
      </c>
      <c r="AR71" s="237">
        <v>4779</v>
      </c>
      <c r="AS71" s="237"/>
      <c r="AT71" s="237">
        <v>5414</v>
      </c>
      <c r="AU71" s="237">
        <v>5834</v>
      </c>
      <c r="AV71" s="237">
        <v>5391</v>
      </c>
      <c r="AW71" s="237">
        <v>4396.0200000000004</v>
      </c>
      <c r="AX71" s="237">
        <f>AX69-AX70-AX72</f>
        <v>4630.1579999999985</v>
      </c>
      <c r="AY71" s="237">
        <f>AY69-AY70-AY72</f>
        <v>6138</v>
      </c>
      <c r="AZ71" s="237">
        <v>7300</v>
      </c>
      <c r="BA71" s="237">
        <v>6482</v>
      </c>
      <c r="BB71" s="237">
        <v>6986</v>
      </c>
      <c r="BC71" s="237">
        <f>BC69-BC70-BC72</f>
        <v>7116</v>
      </c>
      <c r="BD71" s="237">
        <v>8033.1980000000003</v>
      </c>
      <c r="BE71" s="428">
        <v>7706</v>
      </c>
      <c r="BF71" s="479">
        <v>9871.4050000000007</v>
      </c>
      <c r="BG71" s="237">
        <v>10802.441000000001</v>
      </c>
      <c r="BH71" s="237">
        <v>12021.414000000001</v>
      </c>
      <c r="BI71" s="237">
        <f>'[1]8 - Demonstrativos Financeiros'!$BE$71</f>
        <v>11611.09</v>
      </c>
      <c r="BJ71" s="583">
        <v>15194.092000000001</v>
      </c>
      <c r="BK71" s="583">
        <v>16664.401999999998</v>
      </c>
    </row>
    <row r="72" spans="2:63" s="223" customFormat="1" ht="13.5">
      <c r="B72" s="227" t="s">
        <v>45</v>
      </c>
      <c r="C72" s="227"/>
      <c r="D72" s="227"/>
      <c r="E72" s="227"/>
      <c r="F72" s="227"/>
      <c r="G72" s="243">
        <v>3743</v>
      </c>
      <c r="H72" s="243">
        <v>4217</v>
      </c>
      <c r="I72" s="243">
        <v>5021</v>
      </c>
      <c r="J72" s="243">
        <v>4877</v>
      </c>
      <c r="K72" s="243">
        <v>4440</v>
      </c>
      <c r="L72" s="243">
        <v>4156</v>
      </c>
      <c r="M72" s="243">
        <v>3995</v>
      </c>
      <c r="N72" s="243">
        <v>3497</v>
      </c>
      <c r="O72" s="243">
        <v>3618</v>
      </c>
      <c r="P72" s="243">
        <v>3795</v>
      </c>
      <c r="Q72" s="243">
        <v>1220</v>
      </c>
      <c r="R72" s="243">
        <v>677</v>
      </c>
      <c r="S72" s="243">
        <v>1122</v>
      </c>
      <c r="T72" s="243">
        <v>1463</v>
      </c>
      <c r="U72" s="243">
        <v>1521</v>
      </c>
      <c r="V72" s="243">
        <v>1522</v>
      </c>
      <c r="W72" s="243">
        <v>1521</v>
      </c>
      <c r="X72" s="243">
        <v>1511</v>
      </c>
      <c r="Y72" s="243">
        <v>1563</v>
      </c>
      <c r="Z72" s="243">
        <v>1552</v>
      </c>
      <c r="AA72" s="243">
        <v>1458</v>
      </c>
      <c r="AB72" s="243">
        <v>1917</v>
      </c>
      <c r="AC72" s="243">
        <v>1933</v>
      </c>
      <c r="AD72" s="243">
        <v>1925</v>
      </c>
      <c r="AE72" s="227"/>
      <c r="AF72" s="243">
        <v>1682</v>
      </c>
      <c r="AG72" s="243">
        <v>1710</v>
      </c>
      <c r="AH72" s="243">
        <v>1767</v>
      </c>
      <c r="AI72" s="243">
        <v>1054</v>
      </c>
      <c r="AJ72" s="243">
        <v>1126</v>
      </c>
      <c r="AK72" s="243">
        <v>1109</v>
      </c>
      <c r="AL72" s="243">
        <v>304</v>
      </c>
      <c r="AM72" s="243">
        <v>284</v>
      </c>
      <c r="AN72" s="243"/>
      <c r="AO72" s="243">
        <v>272</v>
      </c>
      <c r="AP72" s="243">
        <v>257</v>
      </c>
      <c r="AQ72" s="243">
        <v>259</v>
      </c>
      <c r="AR72" s="243">
        <v>246</v>
      </c>
      <c r="AS72" s="243"/>
      <c r="AT72" s="243">
        <v>253</v>
      </c>
      <c r="AU72" s="243">
        <v>263</v>
      </c>
      <c r="AV72" s="243">
        <v>263</v>
      </c>
      <c r="AW72" s="243">
        <v>248.74</v>
      </c>
      <c r="AX72" s="243">
        <v>255.19200000000001</v>
      </c>
      <c r="AY72" s="243">
        <v>291</v>
      </c>
      <c r="AZ72" s="243">
        <v>213</v>
      </c>
      <c r="BA72" s="243">
        <v>208</v>
      </c>
      <c r="BB72" s="243">
        <v>211</v>
      </c>
      <c r="BC72" s="243">
        <v>203</v>
      </c>
      <c r="BD72" s="243">
        <v>215.941</v>
      </c>
      <c r="BE72" s="427">
        <f>217.416</f>
        <v>217.416</v>
      </c>
      <c r="BF72" s="481">
        <v>204.14699999999999</v>
      </c>
      <c r="BG72" s="243">
        <v>209.751</v>
      </c>
      <c r="BH72" s="243">
        <v>222.708</v>
      </c>
      <c r="BI72" s="243">
        <f>'[1]8 - Demonstrativos Financeiros'!$BE$72</f>
        <v>224.93899999999999</v>
      </c>
      <c r="BJ72" s="585">
        <v>250.988</v>
      </c>
      <c r="BK72" s="585">
        <v>226.792</v>
      </c>
    </row>
    <row r="73" spans="2:63" s="232" customFormat="1" ht="13.5">
      <c r="B73" s="254" t="s">
        <v>339</v>
      </c>
      <c r="C73" s="263"/>
      <c r="D73" s="263"/>
      <c r="E73" s="263"/>
      <c r="F73" s="263"/>
      <c r="G73" s="255">
        <v>42002</v>
      </c>
      <c r="H73" s="255">
        <v>47554</v>
      </c>
      <c r="I73" s="255">
        <v>54809</v>
      </c>
      <c r="J73" s="255">
        <v>59051</v>
      </c>
      <c r="K73" s="256">
        <v>56104</v>
      </c>
      <c r="L73" s="256">
        <v>49272</v>
      </c>
      <c r="M73" s="256">
        <v>45932</v>
      </c>
      <c r="N73" s="256">
        <v>44583</v>
      </c>
      <c r="O73" s="256">
        <v>45635</v>
      </c>
      <c r="P73" s="256">
        <v>46328</v>
      </c>
      <c r="Q73" s="256">
        <v>42808</v>
      </c>
      <c r="R73" s="256">
        <v>42891</v>
      </c>
      <c r="S73" s="256">
        <v>42932</v>
      </c>
      <c r="T73" s="256">
        <v>45036</v>
      </c>
      <c r="U73" s="256">
        <v>49427</v>
      </c>
      <c r="V73" s="256">
        <v>49982</v>
      </c>
      <c r="W73" s="256">
        <v>49628</v>
      </c>
      <c r="X73" s="256">
        <v>53346</v>
      </c>
      <c r="Y73" s="256">
        <v>53598</v>
      </c>
      <c r="Z73" s="256">
        <v>53093</v>
      </c>
      <c r="AA73" s="256">
        <v>51807</v>
      </c>
      <c r="AB73" s="256">
        <v>55056</v>
      </c>
      <c r="AC73" s="256">
        <v>56208</v>
      </c>
      <c r="AD73" s="256">
        <v>58474</v>
      </c>
      <c r="AE73" s="263"/>
      <c r="AF73" s="256">
        <v>57554</v>
      </c>
      <c r="AG73" s="256">
        <v>57894</v>
      </c>
      <c r="AH73" s="256">
        <v>61472</v>
      </c>
      <c r="AI73" s="256">
        <v>63042</v>
      </c>
      <c r="AJ73" s="256">
        <v>70843</v>
      </c>
      <c r="AK73" s="256">
        <v>68779</v>
      </c>
      <c r="AL73" s="256">
        <v>76490</v>
      </c>
      <c r="AM73" s="256">
        <v>70095</v>
      </c>
      <c r="AN73" s="256"/>
      <c r="AO73" s="256">
        <v>65005</v>
      </c>
      <c r="AP73" s="256">
        <v>58234</v>
      </c>
      <c r="AQ73" s="256">
        <v>58712</v>
      </c>
      <c r="AR73" s="256">
        <v>54635</v>
      </c>
      <c r="AS73" s="256"/>
      <c r="AT73" s="256">
        <v>53558</v>
      </c>
      <c r="AU73" s="257">
        <v>54175</v>
      </c>
      <c r="AV73" s="257">
        <v>52575</v>
      </c>
      <c r="AW73" s="257">
        <v>50301.761000000006</v>
      </c>
      <c r="AX73" s="257">
        <f>AX69+AX64+AX60</f>
        <v>50975.531000000003</v>
      </c>
      <c r="AY73" s="257">
        <f>AY69+AY64+AY60</f>
        <v>54463</v>
      </c>
      <c r="AZ73" s="257">
        <v>56119</v>
      </c>
      <c r="BA73" s="257">
        <v>51281</v>
      </c>
      <c r="BB73" s="257">
        <f>BB69+BB64+BB60</f>
        <v>52144.654999999999</v>
      </c>
      <c r="BC73" s="257">
        <f>SUM(BC69+BC64+BC60)</f>
        <v>51125</v>
      </c>
      <c r="BD73" s="257">
        <f>BD69+BD64+BD60</f>
        <v>53046.091999999997</v>
      </c>
      <c r="BE73" s="448">
        <f>BE69+BE64+BE60</f>
        <v>54002.108000000007</v>
      </c>
      <c r="BF73" s="257">
        <f>BF69+BF64+BF60</f>
        <v>60650.301000000007</v>
      </c>
      <c r="BG73" s="257">
        <f>BG69+BG64+BG60</f>
        <v>62600.419000000002</v>
      </c>
      <c r="BH73" s="257">
        <v>63426.195000000007</v>
      </c>
      <c r="BI73" s="257">
        <f>'[1]8 - Demonstrativos Financeiros'!$BE$73</f>
        <v>63123.008999999991</v>
      </c>
      <c r="BJ73" s="257">
        <f>BJ69+BJ64+BJ60</f>
        <v>68020.243000000002</v>
      </c>
      <c r="BK73" s="257">
        <v>66892.047000000006</v>
      </c>
    </row>
    <row r="74" spans="2:63" s="232" customFormat="1" ht="13.5">
      <c r="B74" s="253"/>
      <c r="C74" s="230"/>
      <c r="D74" s="230"/>
      <c r="E74" s="230"/>
      <c r="F74" s="230"/>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30"/>
      <c r="AF74" s="264"/>
      <c r="AG74" s="264"/>
      <c r="AH74" s="264"/>
      <c r="AI74" s="264"/>
      <c r="AJ74" s="264"/>
      <c r="AK74" s="264"/>
      <c r="AL74" s="264"/>
      <c r="AM74" s="264"/>
      <c r="AN74" s="264"/>
      <c r="AO74" s="264"/>
      <c r="AP74" s="264"/>
      <c r="AQ74" s="264"/>
      <c r="AR74" s="264"/>
      <c r="AS74" s="264"/>
      <c r="AT74" s="264"/>
      <c r="AU74" s="230"/>
      <c r="AV74" s="230"/>
      <c r="AW74" s="230"/>
      <c r="AX74" s="230"/>
      <c r="AY74" s="230"/>
      <c r="AZ74" s="230"/>
      <c r="BA74" s="230"/>
      <c r="BB74" s="230"/>
      <c r="BC74" s="230"/>
      <c r="BD74" s="230"/>
      <c r="BE74" s="251"/>
      <c r="BF74" s="489"/>
      <c r="BG74" s="489"/>
      <c r="BH74" s="489"/>
      <c r="BI74" s="489"/>
      <c r="BJ74" s="489"/>
      <c r="BK74" s="489"/>
    </row>
    <row r="75" spans="2:63" s="223" customFormat="1" ht="13.5">
      <c r="B75" s="265" t="s">
        <v>97</v>
      </c>
      <c r="C75" s="227"/>
      <c r="D75" s="227"/>
      <c r="E75" s="227"/>
      <c r="F75" s="227"/>
      <c r="G75" s="227"/>
      <c r="H75" s="227"/>
      <c r="I75" s="258"/>
      <c r="J75" s="258"/>
      <c r="K75" s="258"/>
      <c r="L75" s="258"/>
      <c r="M75" s="258"/>
      <c r="N75" s="258"/>
      <c r="O75" s="258"/>
      <c r="P75" s="258"/>
      <c r="Q75" s="258"/>
      <c r="R75" s="258"/>
      <c r="S75" s="258"/>
      <c r="T75" s="258"/>
      <c r="U75" s="258"/>
      <c r="V75" s="258"/>
      <c r="W75" s="258"/>
      <c r="X75" s="258"/>
      <c r="Y75" s="258"/>
      <c r="Z75" s="258"/>
      <c r="AA75" s="258"/>
      <c r="AB75" s="258"/>
      <c r="AC75" s="258"/>
      <c r="AD75" s="258"/>
      <c r="AE75" s="227"/>
      <c r="AF75" s="258"/>
      <c r="AG75" s="258"/>
      <c r="AH75" s="258"/>
      <c r="AI75" s="258"/>
      <c r="AJ75" s="258"/>
      <c r="AK75" s="258"/>
      <c r="AL75" s="258"/>
      <c r="AM75" s="258"/>
      <c r="AN75" s="258"/>
      <c r="AO75" s="258"/>
      <c r="AP75" s="258"/>
      <c r="AQ75" s="258"/>
      <c r="AR75" s="258"/>
      <c r="AS75" s="258"/>
      <c r="AT75" s="258"/>
      <c r="AU75" s="227"/>
      <c r="AV75" s="227"/>
      <c r="AW75" s="227"/>
      <c r="AX75" s="227"/>
      <c r="AY75" s="227"/>
      <c r="AZ75" s="227"/>
      <c r="BA75" s="227"/>
      <c r="BB75" s="227"/>
      <c r="BC75" s="227"/>
      <c r="BD75" s="227"/>
      <c r="BE75" s="454"/>
      <c r="BF75" s="494"/>
      <c r="BG75" s="494"/>
      <c r="BH75" s="494"/>
      <c r="BI75" s="494"/>
      <c r="BJ75" s="227"/>
      <c r="BK75" s="227"/>
    </row>
    <row r="76" spans="2:63" s="223" customFormat="1" ht="13.5">
      <c r="B76" s="236" t="s">
        <v>98</v>
      </c>
      <c r="C76" s="236"/>
      <c r="D76" s="236"/>
      <c r="E76" s="236"/>
      <c r="F76" s="236"/>
      <c r="G76" s="266">
        <v>1.7379</v>
      </c>
      <c r="H76" s="266">
        <v>1.6559999999999999</v>
      </c>
      <c r="I76" s="266">
        <v>1.6674</v>
      </c>
      <c r="J76" s="266">
        <v>2.2766000000000002</v>
      </c>
      <c r="K76" s="266">
        <v>2.3113000000000001</v>
      </c>
      <c r="L76" s="266">
        <v>2.0728</v>
      </c>
      <c r="M76" s="266">
        <v>1.87</v>
      </c>
      <c r="N76" s="266">
        <v>1.74</v>
      </c>
      <c r="O76" s="266">
        <v>1.8</v>
      </c>
      <c r="P76" s="266">
        <v>1.79</v>
      </c>
      <c r="Q76" s="266">
        <v>1.75</v>
      </c>
      <c r="R76" s="266">
        <v>1.7</v>
      </c>
      <c r="S76" s="266">
        <v>1.6673</v>
      </c>
      <c r="T76" s="266">
        <v>1.5956999999999999</v>
      </c>
      <c r="U76" s="266">
        <v>1.6356999999999999</v>
      </c>
      <c r="V76" s="266">
        <v>1.8011999999999999</v>
      </c>
      <c r="W76" s="266">
        <v>1.77</v>
      </c>
      <c r="X76" s="266">
        <v>1.96</v>
      </c>
      <c r="Y76" s="266">
        <v>2.02</v>
      </c>
      <c r="Z76" s="266">
        <v>2.06</v>
      </c>
      <c r="AA76" s="266">
        <v>1.98</v>
      </c>
      <c r="AB76" s="266">
        <v>2.0699999999999998</v>
      </c>
      <c r="AC76" s="266">
        <v>2.29</v>
      </c>
      <c r="AD76" s="266">
        <v>2.27</v>
      </c>
      <c r="AE76" s="236"/>
      <c r="AF76" s="266">
        <v>2.37</v>
      </c>
      <c r="AG76" s="266">
        <v>2.23</v>
      </c>
      <c r="AH76" s="266">
        <v>2.27</v>
      </c>
      <c r="AI76" s="266">
        <v>2.54</v>
      </c>
      <c r="AJ76" s="266">
        <v>2.87</v>
      </c>
      <c r="AK76" s="266">
        <v>3.07</v>
      </c>
      <c r="AL76" s="266">
        <v>3.54</v>
      </c>
      <c r="AM76" s="266">
        <v>3.84</v>
      </c>
      <c r="AN76" s="266"/>
      <c r="AO76" s="266">
        <v>3.9</v>
      </c>
      <c r="AP76" s="266">
        <v>3.51</v>
      </c>
      <c r="AQ76" s="266">
        <v>3.25</v>
      </c>
      <c r="AR76" s="266">
        <v>3.26</v>
      </c>
      <c r="AS76" s="266"/>
      <c r="AT76" s="266">
        <v>3.15</v>
      </c>
      <c r="AU76" s="266">
        <v>3.29</v>
      </c>
      <c r="AV76" s="266">
        <v>3.13</v>
      </c>
      <c r="AW76" s="266">
        <v>3.2465999999999999</v>
      </c>
      <c r="AX76" s="266">
        <v>3.24</v>
      </c>
      <c r="AY76" s="266">
        <v>3.61</v>
      </c>
      <c r="AZ76" s="266">
        <v>3.9504999999999999</v>
      </c>
      <c r="BA76" s="266">
        <v>3.8083999999999998</v>
      </c>
      <c r="BB76" s="266">
        <v>3.7684000000000002</v>
      </c>
      <c r="BC76" s="266">
        <v>3.92</v>
      </c>
      <c r="BD76" s="266">
        <v>3.97</v>
      </c>
      <c r="BE76" s="455">
        <f>4.1158</f>
        <v>4.1158000000000001</v>
      </c>
      <c r="BF76" s="495">
        <v>4.47</v>
      </c>
      <c r="BG76" s="266">
        <v>5.3853999999999997</v>
      </c>
      <c r="BH76" s="266">
        <v>5.3772000000000002</v>
      </c>
      <c r="BI76" s="266">
        <f>'[1]8 - Demonstrativos Financeiros'!$BE$76</f>
        <v>5.3921000000000001</v>
      </c>
      <c r="BJ76" s="595">
        <v>5.4832999999999998</v>
      </c>
      <c r="BK76" s="595">
        <v>5.2907000000000002</v>
      </c>
    </row>
    <row r="77" spans="2:63" s="223" customFormat="1" ht="13.5">
      <c r="B77" s="227" t="s">
        <v>101</v>
      </c>
      <c r="C77" s="227"/>
      <c r="D77" s="227"/>
      <c r="E77" s="227"/>
      <c r="F77" s="227"/>
      <c r="G77" s="274">
        <v>1.7491000000000001</v>
      </c>
      <c r="H77" s="274">
        <v>1.5919000000000001</v>
      </c>
      <c r="I77" s="274">
        <v>1.9142999999999999</v>
      </c>
      <c r="J77" s="274">
        <v>2.3370000000000002</v>
      </c>
      <c r="K77" s="274">
        <v>2.3151999999999999</v>
      </c>
      <c r="L77" s="274">
        <v>1.9516</v>
      </c>
      <c r="M77" s="274">
        <v>1.78</v>
      </c>
      <c r="N77" s="274">
        <v>1.74</v>
      </c>
      <c r="O77" s="274">
        <v>1.78</v>
      </c>
      <c r="P77" s="274">
        <v>1.8</v>
      </c>
      <c r="Q77" s="274">
        <v>1.69</v>
      </c>
      <c r="R77" s="274">
        <v>1.67</v>
      </c>
      <c r="S77" s="274">
        <v>1.6287</v>
      </c>
      <c r="T77" s="274">
        <v>1.5610999999999999</v>
      </c>
      <c r="U77" s="274">
        <v>1.8544</v>
      </c>
      <c r="V77" s="274">
        <v>1.8757999999999999</v>
      </c>
      <c r="W77" s="274">
        <v>1.82</v>
      </c>
      <c r="X77" s="274">
        <v>2.02</v>
      </c>
      <c r="Y77" s="275">
        <v>2.0299999999999998</v>
      </c>
      <c r="Z77" s="275">
        <v>2.04</v>
      </c>
      <c r="AA77" s="275">
        <v>2.0099999999999998</v>
      </c>
      <c r="AB77" s="275">
        <v>2.2200000000000002</v>
      </c>
      <c r="AC77" s="275">
        <v>2.23</v>
      </c>
      <c r="AD77" s="275">
        <v>2.34</v>
      </c>
      <c r="AE77" s="227"/>
      <c r="AF77" s="275">
        <v>2.2599999999999998</v>
      </c>
      <c r="AG77" s="275">
        <v>2.2000000000000002</v>
      </c>
      <c r="AH77" s="275">
        <v>2.4500000000000002</v>
      </c>
      <c r="AI77" s="275">
        <v>2.66</v>
      </c>
      <c r="AJ77" s="275">
        <v>3.21</v>
      </c>
      <c r="AK77" s="275">
        <v>3.1</v>
      </c>
      <c r="AL77" s="275">
        <v>3.97</v>
      </c>
      <c r="AM77" s="275">
        <v>3.9</v>
      </c>
      <c r="AN77" s="275"/>
      <c r="AO77" s="275">
        <v>3.56</v>
      </c>
      <c r="AP77" s="275">
        <v>3.21</v>
      </c>
      <c r="AQ77" s="275">
        <v>3.25</v>
      </c>
      <c r="AR77" s="275">
        <v>3.35</v>
      </c>
      <c r="AS77" s="275"/>
      <c r="AT77" s="275">
        <v>3.17</v>
      </c>
      <c r="AU77" s="275">
        <v>3.31</v>
      </c>
      <c r="AV77" s="275">
        <v>3.16</v>
      </c>
      <c r="AW77" s="275">
        <v>3.3079999999999998</v>
      </c>
      <c r="AX77" s="275">
        <v>3.32</v>
      </c>
      <c r="AY77" s="275">
        <v>3.86</v>
      </c>
      <c r="AZ77" s="275">
        <v>4.0038999999999998</v>
      </c>
      <c r="BA77" s="275">
        <v>3.8748</v>
      </c>
      <c r="BB77" s="275">
        <v>3.8967000000000001</v>
      </c>
      <c r="BC77" s="275">
        <v>3.83</v>
      </c>
      <c r="BD77" s="275">
        <v>4.16</v>
      </c>
      <c r="BE77" s="456">
        <f>4.0307</f>
        <v>4.0307000000000004</v>
      </c>
      <c r="BF77" s="457">
        <v>5.2</v>
      </c>
      <c r="BG77" s="275">
        <v>5.476</v>
      </c>
      <c r="BH77" s="275">
        <v>5.6406999999999998</v>
      </c>
      <c r="BI77" s="275">
        <f>'[1]8 - Demonstrativos Financeiros'!$BE$77</f>
        <v>5.1966999999999999</v>
      </c>
      <c r="BJ77" s="596">
        <v>5.6973000000000003</v>
      </c>
      <c r="BK77" s="596">
        <v>5.0022000000000002</v>
      </c>
    </row>
    <row r="78" spans="2:63" ht="14">
      <c r="B78" s="195"/>
      <c r="C78" s="195"/>
      <c r="D78" s="195"/>
      <c r="E78" s="195"/>
      <c r="F78" s="195"/>
      <c r="G78" s="195"/>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221"/>
      <c r="AQ78" s="222"/>
      <c r="AU78" s="222"/>
    </row>
    <row r="79" spans="2:63" ht="14">
      <c r="B79" s="195"/>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row>
    <row r="80" spans="2:63" ht="14">
      <c r="B80" s="220"/>
      <c r="C80" s="195"/>
      <c r="D80" s="195"/>
      <c r="E80" s="195"/>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row>
    <row r="81" spans="2:42" ht="14">
      <c r="B81" s="195"/>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row>
  </sheetData>
  <mergeCells count="1">
    <mergeCell ref="B5:C5"/>
  </mergeCells>
  <phoneticPr fontId="0" type="noConversion"/>
  <pageMargins left="3.937007874015748E-2" right="3.937007874015748E-2" top="3.937007874015748E-2" bottom="3.937007874015748E-2" header="0" footer="0"/>
  <pageSetup paperSize="9" scale="67" fitToHeight="2" orientation="landscape" r:id="rId1"/>
  <headerFooter alignWithMargins="0"/>
  <ignoredErrors>
    <ignoredError sqref="AA45 AA69 BB64" formulaRange="1"/>
    <ignoredError sqref="BC73"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1" ma:contentTypeDescription="Create a new document." ma:contentTypeScope="" ma:versionID="24cbf9e6eb0cf3fd8e4feab043ae4841">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481252d4097837c0abe2a5451c6fea47"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5BDD8F-C70B-4443-8A88-2D5FAE0801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6E64D3-2D17-43A0-B514-8BA7D8DB9040}">
  <ds:schemaRefs>
    <ds:schemaRef ds:uri="http://schemas.microsoft.com/sharepoint/v3/contenttype/forms"/>
  </ds:schemaRefs>
</ds:datastoreItem>
</file>

<file path=customXml/itemProps3.xml><?xml version="1.0" encoding="utf-8"?>
<ds:datastoreItem xmlns:ds="http://schemas.openxmlformats.org/officeDocument/2006/customXml" ds:itemID="{317B6FF4-6D4C-4108-B788-E4D0F8D60290}">
  <ds:schemaRefs>
    <ds:schemaRef ds:uri="http://schemas.microsoft.com/office/infopath/2007/PartnerControls"/>
    <ds:schemaRef ds:uri="http://schemas.microsoft.com/office/2006/documentManagement/types"/>
    <ds:schemaRef ds:uri="469b63f4-e6ef-424f-b706-b25c0c131cb7"/>
    <ds:schemaRef ds:uri="http://schemas.openxmlformats.org/package/2006/metadata/core-properties"/>
    <ds:schemaRef ds:uri="http://purl.org/dc/dcmitype/"/>
    <ds:schemaRef ds:uri="http://purl.org/dc/terms/"/>
    <ds:schemaRef ds:uri="http://purl.org/dc/elements/1.1/"/>
    <ds:schemaRef ds:uri="http://schemas.microsoft.com/office/2006/metadata/properties"/>
    <ds:schemaRef ds:uri="141c7e3d-b2cd-4123-a999-1e3aa6f55d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12</vt:i4>
      </vt:variant>
    </vt:vector>
  </HeadingPairs>
  <TitlesOfParts>
    <vt:vector size="26" baseType="lpstr">
      <vt:lpstr>Cover</vt:lpstr>
      <vt:lpstr>1 - Assumptions</vt:lpstr>
      <vt:lpstr>2 - Steel Production Process</vt:lpstr>
      <vt:lpstr>3 - Production Capacity</vt:lpstr>
      <vt:lpstr>4 - Production </vt:lpstr>
      <vt:lpstr>5 - Shipments </vt:lpstr>
      <vt:lpstr>6 - Investments</vt:lpstr>
      <vt:lpstr>7 - Indebtedness </vt:lpstr>
      <vt:lpstr>8 - Financial Statements</vt:lpstr>
      <vt:lpstr>9 - B. Division Results </vt:lpstr>
      <vt:lpstr>10 - Costs </vt:lpstr>
      <vt:lpstr>11 - Pro forma Results </vt:lpstr>
      <vt:lpstr>12 - Lab Capacity</vt:lpstr>
      <vt:lpstr>12 - Frequent Questions</vt:lpstr>
      <vt:lpstr>'1 - Assumptions'!Area_de_impressao</vt:lpstr>
      <vt:lpstr>'10 - Costs '!Area_de_impressao</vt:lpstr>
      <vt:lpstr>'12 - Frequent Questions'!Area_de_impressao</vt:lpstr>
      <vt:lpstr>'2 - Steel Production Process'!Area_de_impressao</vt:lpstr>
      <vt:lpstr>'3 - Production Capacity'!Area_de_impressao</vt:lpstr>
      <vt:lpstr>'4 - Production '!Area_de_impressao</vt:lpstr>
      <vt:lpstr>'5 - Shipments '!Area_de_impressao</vt:lpstr>
      <vt:lpstr>'6 - Investments'!Area_de_impressao</vt:lpstr>
      <vt:lpstr>'7 - Indebtedness '!Area_de_impressao</vt:lpstr>
      <vt:lpstr>'8 - Financial Statements'!Area_de_impressao</vt:lpstr>
      <vt:lpstr>'9 - B. Division Results '!Area_de_impressao</vt:lpstr>
      <vt:lpstr>Cover!Area_de_impressao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Sergio Tonidandel Junior</cp:lastModifiedBy>
  <cp:lastPrinted>2016-04-25T13:12:16Z</cp:lastPrinted>
  <dcterms:created xsi:type="dcterms:W3CDTF">1997-01-10T22:22:50Z</dcterms:created>
  <dcterms:modified xsi:type="dcterms:W3CDTF">2021-08-03T14:01:24Z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ies>
</file>