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omments1.xml" ContentType="application/vnd.openxmlformats-officedocument.spreadsheetml.comments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omments2.xml" ContentType="application/vnd.openxmlformats-officedocument.spreadsheetml.comments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omments3.xml" ContentType="application/vnd.openxmlformats-officedocument.spreadsheetml.comments+xml"/>
  <Override PartName="/xl/drawings/drawing18.xml" ContentType="application/vnd.openxmlformats-officedocument.drawing+xml"/>
  <Override PartName="/xl/comments4.xml" ContentType="application/vnd.openxmlformats-officedocument.spreadsheetml.comments+xml"/>
  <Override PartName="/xl/drawings/drawing19.xml" ContentType="application/vnd.openxmlformats-officedocument.drawing+xml"/>
  <Override PartName="/xl/comments5.xml" ContentType="application/vnd.openxmlformats-officedocument.spreadsheetml.comments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/>
  <mc:AlternateContent xmlns:mc="http://schemas.openxmlformats.org/markup-compatibility/2006">
    <mc:Choice Requires="x15">
      <x15ac:absPath xmlns:x15ac="http://schemas.microsoft.com/office/spreadsheetml/2010/11/ac" url="I:\RI\ANÁLISES\"/>
    </mc:Choice>
  </mc:AlternateContent>
  <xr:revisionPtr revIDLastSave="0" documentId="13_ncr:1_{50A2D983-5C7A-45BF-A075-28AE27C45F91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Capa" sheetId="1" r:id="rId1"/>
    <sheet name="Disclaimer" sheetId="2" r:id="rId2"/>
    <sheet name="Sumário" sheetId="3" r:id="rId3"/>
    <sheet name="Sobre a Tegma" sheetId="4" r:id="rId4"/>
    <sheet name="Res Auto" sheetId="5" r:id="rId5"/>
    <sheet name="Vol. veículos transportados" sheetId="6" r:id="rId6"/>
    <sheet name="Distância média" sheetId="7" r:id="rId7"/>
    <sheet name="Ticket médio" sheetId="8" r:id="rId8"/>
    <sheet name="Custos e despesas - DLV" sheetId="9" r:id="rId9"/>
    <sheet name="Resumo financeiro - DLV" sheetId="10" r:id="rId10"/>
    <sheet name="Res Log. Int." sheetId="11" r:id="rId11"/>
    <sheet name="Custos e Despesas - DLI" sheetId="12" r:id="rId12"/>
    <sheet name="Resumo financeiro - DLI" sheetId="13" r:id="rId13"/>
    <sheet name="Res Consolidados" sheetId="14" r:id="rId14"/>
    <sheet name="Resultado financeiro" sheetId="15" r:id="rId15"/>
    <sheet name="Equivalência patrimonial" sheetId="16" r:id="rId16"/>
    <sheet name="IR e CSLL" sheetId="22" r:id="rId17"/>
    <sheet name="Balanço Patrimonial" sheetId="17" r:id="rId18"/>
    <sheet name="CAPEX" sheetId="18" r:id="rId19"/>
    <sheet name="Free cash flow to firm" sheetId="19" r:id="rId20"/>
    <sheet name="Dividendos e JSCP" sheetId="20" r:id="rId21"/>
    <sheet name="Contatos" sheetId="21" r:id="rId22"/>
  </sheets>
  <externalReferences>
    <externalReference r:id="rId23"/>
    <externalReference r:id="rId24"/>
    <externalReference r:id="rId25"/>
    <externalReference r:id="rId26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7" i="20" l="1"/>
  <c r="G7" i="20"/>
  <c r="F7" i="20"/>
  <c r="D7" i="20"/>
  <c r="E7" i="20" s="1"/>
  <c r="C7" i="20"/>
  <c r="K15" i="19"/>
  <c r="J15" i="19"/>
  <c r="I15" i="19"/>
  <c r="K14" i="19"/>
  <c r="J14" i="19"/>
  <c r="I14" i="19"/>
  <c r="H14" i="19"/>
  <c r="L14" i="19"/>
  <c r="K13" i="19"/>
  <c r="J13" i="19"/>
  <c r="I13" i="19"/>
  <c r="H13" i="19"/>
  <c r="L13" i="19"/>
  <c r="L11" i="18"/>
  <c r="K11" i="18"/>
  <c r="J11" i="18"/>
  <c r="I11" i="18"/>
  <c r="L10" i="18"/>
  <c r="L9" i="18"/>
  <c r="L8" i="18"/>
  <c r="L12" i="18" s="1"/>
  <c r="T8" i="17"/>
  <c r="S8" i="17"/>
  <c r="R8" i="17"/>
  <c r="L21" i="17"/>
  <c r="L20" i="17"/>
  <c r="L22" i="17" s="1"/>
  <c r="L12" i="17"/>
  <c r="L11" i="17"/>
  <c r="L17" i="22"/>
  <c r="L16" i="22"/>
  <c r="L14" i="22"/>
  <c r="L11" i="22"/>
  <c r="L13" i="22" s="1"/>
  <c r="L10" i="22"/>
  <c r="L7" i="22"/>
  <c r="L9" i="22" s="1"/>
  <c r="I22" i="16"/>
  <c r="I21" i="16"/>
  <c r="L15" i="15"/>
  <c r="L16" i="15"/>
  <c r="L14" i="15"/>
  <c r="L13" i="15"/>
  <c r="L12" i="15"/>
  <c r="L16" i="14"/>
  <c r="L13" i="14"/>
  <c r="L11" i="14"/>
  <c r="L15" i="13"/>
  <c r="L13" i="13"/>
  <c r="L18" i="10"/>
  <c r="L15" i="10"/>
  <c r="L13" i="10"/>
  <c r="L19" i="8"/>
  <c r="K20" i="6"/>
  <c r="K19" i="6"/>
  <c r="K18" i="6"/>
  <c r="K17" i="6"/>
  <c r="K16" i="6"/>
  <c r="K15" i="6" s="1"/>
  <c r="K21" i="6" l="1"/>
  <c r="I20" i="16" l="1"/>
  <c r="L8" i="13"/>
  <c r="L22" i="10"/>
  <c r="L22" i="13" l="1"/>
  <c r="L9" i="13"/>
  <c r="L7" i="13" s="1"/>
  <c r="L21" i="14" l="1"/>
  <c r="L18" i="13"/>
  <c r="L9" i="10"/>
  <c r="L8" i="10" s="1"/>
  <c r="L10" i="13" l="1"/>
  <c r="L10" i="10"/>
  <c r="L7" i="14" l="1"/>
  <c r="L8" i="14"/>
  <c r="L12" i="13"/>
  <c r="L11" i="13"/>
  <c r="L11" i="10"/>
  <c r="L12" i="10"/>
  <c r="L16" i="10" s="1"/>
  <c r="L13" i="18" l="1"/>
  <c r="L10" i="14"/>
  <c r="L9" i="14"/>
  <c r="L14" i="13"/>
  <c r="L16" i="13"/>
  <c r="L17" i="13"/>
  <c r="L19" i="13" s="1"/>
  <c r="L21" i="13" s="1"/>
  <c r="L23" i="13" s="1"/>
  <c r="L24" i="13" s="1"/>
  <c r="L17" i="10"/>
  <c r="L19" i="10" s="1"/>
  <c r="L21" i="10" s="1"/>
  <c r="L23" i="10" s="1"/>
  <c r="L24" i="10" s="1"/>
  <c r="L14" i="10"/>
  <c r="L23" i="17" l="1"/>
  <c r="L14" i="14"/>
  <c r="L15" i="14"/>
  <c r="L17" i="14" s="1"/>
  <c r="L19" i="14" s="1"/>
  <c r="L12" i="14"/>
  <c r="L20" i="14" l="1"/>
  <c r="L22" i="14"/>
  <c r="L23" i="14" l="1"/>
  <c r="L12" i="19"/>
  <c r="L16" i="19" s="1"/>
  <c r="I15" i="22" l="1"/>
  <c r="H15" i="22"/>
  <c r="J16" i="22"/>
  <c r="I16" i="22"/>
  <c r="H16" i="22"/>
  <c r="H15" i="6"/>
  <c r="J15" i="6"/>
  <c r="I15" i="6"/>
  <c r="G15" i="6"/>
  <c r="J15" i="22" l="1"/>
  <c r="H15" i="15"/>
  <c r="K14" i="10"/>
  <c r="J14" i="10"/>
  <c r="I14" i="10"/>
  <c r="H14" i="10"/>
  <c r="K16" i="22" l="1"/>
  <c r="K15" i="22" l="1"/>
  <c r="K15" i="15" l="1"/>
  <c r="I15" i="15" l="1"/>
  <c r="J15" i="15" l="1"/>
  <c r="I9" i="22" l="1"/>
  <c r="I10" i="22" s="1"/>
  <c r="J9" i="22" l="1"/>
  <c r="J10" i="22" s="1"/>
  <c r="H9" i="22"/>
  <c r="H10" i="22" s="1"/>
  <c r="H14" i="22"/>
  <c r="I14" i="22"/>
  <c r="J14" i="22"/>
  <c r="J18" i="14" l="1"/>
  <c r="J8" i="10"/>
  <c r="I8" i="10"/>
  <c r="I10" i="10" s="1"/>
  <c r="I11" i="10" s="1"/>
  <c r="H8" i="10"/>
  <c r="H10" i="10" s="1"/>
  <c r="H11" i="10" s="1"/>
  <c r="J21" i="14" l="1"/>
  <c r="J16" i="14"/>
  <c r="K18" i="14"/>
  <c r="H16" i="14"/>
  <c r="H21" i="14"/>
  <c r="I21" i="14"/>
  <c r="H16" i="10"/>
  <c r="J16" i="10"/>
  <c r="I13" i="14"/>
  <c r="H18" i="14"/>
  <c r="I16" i="14"/>
  <c r="I18" i="14"/>
  <c r="J13" i="14"/>
  <c r="K21" i="14"/>
  <c r="H13" i="14"/>
  <c r="H17" i="10"/>
  <c r="H19" i="10" s="1"/>
  <c r="H21" i="10" s="1"/>
  <c r="H23" i="10" s="1"/>
  <c r="H24" i="10" s="1"/>
  <c r="I17" i="10"/>
  <c r="I19" i="10" s="1"/>
  <c r="I21" i="10" s="1"/>
  <c r="I23" i="10" s="1"/>
  <c r="I24" i="10" s="1"/>
  <c r="I16" i="10"/>
  <c r="I8" i="14" l="1"/>
  <c r="H8" i="14"/>
  <c r="J7" i="13"/>
  <c r="I11" i="14"/>
  <c r="H11" i="14"/>
  <c r="J11" i="14"/>
  <c r="H7" i="13"/>
  <c r="I7" i="13"/>
  <c r="I11" i="13" l="1"/>
  <c r="J12" i="13"/>
  <c r="J16" i="13" s="1"/>
  <c r="H11" i="13"/>
  <c r="J11" i="13"/>
  <c r="J7" i="14"/>
  <c r="I14" i="14"/>
  <c r="J14" i="14"/>
  <c r="H14" i="14"/>
  <c r="I12" i="13"/>
  <c r="I7" i="14"/>
  <c r="H12" i="13"/>
  <c r="H7" i="14"/>
  <c r="I9" i="14" l="1"/>
  <c r="H9" i="14"/>
  <c r="J17" i="13"/>
  <c r="J19" i="13" s="1"/>
  <c r="J21" i="13" s="1"/>
  <c r="J23" i="13" s="1"/>
  <c r="J24" i="13" s="1"/>
  <c r="I17" i="13"/>
  <c r="I19" i="13" s="1"/>
  <c r="I21" i="13" s="1"/>
  <c r="I23" i="13" s="1"/>
  <c r="I24" i="13" s="1"/>
  <c r="I16" i="13"/>
  <c r="H17" i="13"/>
  <c r="H19" i="13" s="1"/>
  <c r="H21" i="13" s="1"/>
  <c r="H23" i="13" s="1"/>
  <c r="H24" i="13" s="1"/>
  <c r="H16" i="13"/>
  <c r="H10" i="14"/>
  <c r="H12" i="14" s="1"/>
  <c r="I10" i="14"/>
  <c r="I12" i="14" s="1"/>
  <c r="I15" i="14" l="1"/>
  <c r="I17" i="14" s="1"/>
  <c r="I19" i="14" s="1"/>
  <c r="I20" i="14" s="1"/>
  <c r="H15" i="14"/>
  <c r="H17" i="14" s="1"/>
  <c r="H19" i="14" s="1"/>
  <c r="H20" i="14" s="1"/>
  <c r="I22" i="14" l="1"/>
  <c r="H22" i="14"/>
  <c r="I23" i="14" l="1"/>
  <c r="I12" i="19"/>
  <c r="H23" i="14"/>
  <c r="H12" i="19"/>
  <c r="H16" i="19" s="1"/>
  <c r="G18" i="6"/>
  <c r="H18" i="8" s="1"/>
  <c r="H19" i="8" s="1"/>
  <c r="H18" i="6"/>
  <c r="I18" i="8" s="1"/>
  <c r="I19" i="8" s="1"/>
  <c r="I18" i="6"/>
  <c r="J18" i="8" s="1"/>
  <c r="J19" i="8" s="1"/>
  <c r="J18" i="6"/>
  <c r="K18" i="8" s="1"/>
  <c r="G21" i="6" l="1"/>
  <c r="H21" i="6"/>
  <c r="I21" i="6"/>
  <c r="J21" i="6"/>
  <c r="K7" i="13" l="1"/>
  <c r="J10" i="10" l="1"/>
  <c r="J11" i="10" s="1"/>
  <c r="J17" i="10" l="1"/>
  <c r="J19" i="10" s="1"/>
  <c r="J21" i="10" s="1"/>
  <c r="J23" i="10" s="1"/>
  <c r="J24" i="10" s="1"/>
  <c r="J8" i="14" l="1"/>
  <c r="J9" i="14" s="1"/>
  <c r="J10" i="14" l="1"/>
  <c r="J12" i="14" s="1"/>
  <c r="J15" i="14" l="1"/>
  <c r="J17" i="14" s="1"/>
  <c r="J19" i="14" s="1"/>
  <c r="J20" i="14" s="1"/>
  <c r="J22" i="14" l="1"/>
  <c r="J12" i="19" l="1"/>
  <c r="J23" i="14"/>
  <c r="J16" i="19" l="1"/>
  <c r="I16" i="19"/>
  <c r="K9" i="22" l="1"/>
  <c r="K10" i="22" s="1"/>
  <c r="K11" i="22" s="1"/>
  <c r="K14" i="22" l="1"/>
  <c r="K16" i="14" l="1"/>
  <c r="K11" i="13" l="1"/>
  <c r="K12" i="13"/>
  <c r="K17" i="13" s="1"/>
  <c r="K19" i="13" s="1"/>
  <c r="K21" i="13" s="1"/>
  <c r="K23" i="13" s="1"/>
  <c r="K24" i="13" s="1"/>
  <c r="K11" i="14"/>
  <c r="K8" i="10"/>
  <c r="K7" i="14" s="1"/>
  <c r="K19" i="8"/>
  <c r="K14" i="13" l="1"/>
  <c r="K16" i="13"/>
  <c r="K13" i="14"/>
  <c r="K14" i="14" s="1"/>
  <c r="K16" i="10"/>
  <c r="K10" i="10" l="1"/>
  <c r="K17" i="10"/>
  <c r="K19" i="10" s="1"/>
  <c r="K21" i="10" s="1"/>
  <c r="K23" i="10" s="1"/>
  <c r="K24" i="10" s="1"/>
  <c r="K11" i="10" l="1"/>
  <c r="K8" i="14"/>
  <c r="K9" i="14" l="1"/>
  <c r="K10" i="14"/>
  <c r="K12" i="14" l="1"/>
  <c r="K15" i="14"/>
  <c r="K17" i="14" s="1"/>
  <c r="K19" i="14" s="1"/>
  <c r="K20" i="14" l="1"/>
  <c r="K22" i="14"/>
  <c r="K12" i="19" l="1"/>
  <c r="K23" i="14"/>
  <c r="L15" i="19" l="1"/>
  <c r="K16" i="19" s="1"/>
  <c r="H11" i="22" l="1"/>
  <c r="H13" i="22" s="1"/>
  <c r="H17" i="22" s="1"/>
  <c r="I11" i="22"/>
  <c r="I13" i="22" s="1"/>
  <c r="I17" i="22" s="1"/>
  <c r="J11" i="22"/>
  <c r="J13" i="22" s="1"/>
  <c r="J17" i="22" s="1"/>
  <c r="K13" i="22"/>
  <c r="K17" i="22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Ian Nunes Costa e Costa</author>
  </authors>
  <commentList>
    <comment ref="L15" authorId="0" shapeId="0" xr:uid="{3E6BB39E-02DE-49F2-A218-29871FC50DB2}">
      <text>
        <r>
          <rPr>
            <sz val="9"/>
            <color indexed="81"/>
            <rFont val="Segoe UI"/>
            <family val="2"/>
          </rPr>
          <t xml:space="preserve">Pt- A partir de janeiro de 2024, a Companhia passou a adotar o rateio das despesas com base na utilização efetiva dos serviços corporativos compartilhados, impactando as despesas entre Divisões. 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Ian Nunes Costa e Costa</author>
  </authors>
  <commentList>
    <comment ref="I15" authorId="0" shapeId="0" xr:uid="{00000000-0006-0000-0E00-000002000000}">
      <text>
        <r>
          <rPr>
            <sz val="9"/>
            <color indexed="81"/>
            <rFont val="Segoe UI"/>
            <family val="2"/>
          </rPr>
          <t xml:space="preserve">Pt - Correção monetária do Crédito de PIS e COFINS priveniente da Exclusão de ICMS na Base de Cálculo: R$3,4 milhões
Eng - Pt - Monetary adjustment of the PIS and COFINS Credit arising from the Exclusion of ICMS in the Calculation Base: R$3.4 million
</t>
        </r>
      </text>
    </comment>
    <comment ref="J15" authorId="0" shapeId="0" xr:uid="{00000000-0006-0000-0E00-000003000000}">
      <text>
        <r>
          <rPr>
            <sz val="9"/>
            <color indexed="81"/>
            <rFont val="Segoe UI"/>
            <family val="2"/>
          </rPr>
          <t>PT- Correção mpnetária dos Créditos de PIS/ COFINS da controlada Catlog  - R$ 6,1 milhões
Eng - PIS/ COFINS tax credits from the subsidiary Catlog monetary Correction - R$ 6.1 million</t>
        </r>
      </text>
    </comment>
    <comment ref="K15" authorId="0" shapeId="0" xr:uid="{00000000-0006-0000-0E00-000004000000}">
      <text>
        <r>
          <rPr>
            <sz val="9"/>
            <color indexed="81"/>
            <rFont val="Segoe UI"/>
            <family val="2"/>
          </rPr>
          <t>Pt - Correção monetária do Crédito de PIS e COFINS priveniente da Exclusão de ICMS na Base de Cálculo: R$2,8 milhões
Eng - Pt - Monetary adjustment of the PIS and COFINS Credit arising from the Exclusion of ICMS in the Calculation Base: R$2.8 million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Felipe Augusto Fogaca da Silva</author>
  </authors>
  <commentList>
    <comment ref="I17" authorId="0" shapeId="0" xr:uid="{00000000-0006-0000-1000-000001000000}">
      <text>
        <r>
          <rPr>
            <sz val="9"/>
            <color indexed="81"/>
            <rFont val="Segoe UI"/>
            <family val="2"/>
          </rPr>
          <t>Pt - Crédito tributário extraordinário referente a imposto pago a maior R$12,9 milhões
Eng- Extraordinary tax credit regarding overpaid tax collection amounting R$ 12.9 million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Felipe Augusto Fogaca da Silva</author>
  </authors>
  <commentList>
    <comment ref="I12" authorId="0" shapeId="0" xr:uid="{A66A2F2C-3BF1-40B2-879B-55F8F1CFEA5D}">
      <text>
        <r>
          <rPr>
            <sz val="9"/>
            <color indexed="81"/>
            <rFont val="Segoe UI"/>
            <family val="2"/>
          </rPr>
          <t xml:space="preserve">Commercial issue that caused the deadline at the end of 2021 to extend and was resolved in September 2022.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Ian Nunes Costa e Costa</author>
  </authors>
  <commentList>
    <comment ref="H11" authorId="0" shapeId="0" xr:uid="{EF95CE54-7A07-4D5D-B94D-756379DF50D7}">
      <text>
        <r>
          <rPr>
            <sz val="9"/>
            <color indexed="81"/>
            <rFont val="Segoe UI"/>
            <family val="2"/>
          </rPr>
          <t>Purchase and improvements of land: R$ 4.4 MM</t>
        </r>
      </text>
    </comment>
  </commentList>
</comments>
</file>

<file path=xl/sharedStrings.xml><?xml version="1.0" encoding="utf-8"?>
<sst xmlns="http://schemas.openxmlformats.org/spreadsheetml/2006/main" count="176" uniqueCount="141">
  <si>
    <t>Tegma</t>
  </si>
  <si>
    <t>Dúvidas, entre em contato com o RI:</t>
  </si>
  <si>
    <t xml:space="preserve">Ian Nunes – ian.nunes@tegma.com.br </t>
  </si>
  <si>
    <t>Sobre a Tegma</t>
  </si>
  <si>
    <t>Premissas do Resultado</t>
  </si>
  <si>
    <t>Resultados da divisão automotiva</t>
  </si>
  <si>
    <t>Resultados da divisão de Logística Integrada</t>
  </si>
  <si>
    <t>Resultados Consolidados</t>
  </si>
  <si>
    <t>Resultado financeiro consolidado</t>
  </si>
  <si>
    <t>Equivalência patrimonial</t>
  </si>
  <si>
    <t>Premissas do Balanço Patrimonial</t>
  </si>
  <si>
    <t>Imobilizado e investimentos (CAPEX)</t>
  </si>
  <si>
    <t>Free cash flow to firm</t>
  </si>
  <si>
    <t>Dividendos/ JSCP</t>
  </si>
  <si>
    <t xml:space="preserve">B - Veículos transportados </t>
  </si>
  <si>
    <t xml:space="preserve">Market share (B / A) % </t>
  </si>
  <si>
    <t>Veículos domésticos</t>
  </si>
  <si>
    <t>Veículos exportados</t>
  </si>
  <si>
    <t>Receita Bruta</t>
  </si>
  <si>
    <t>Logística de veículos</t>
  </si>
  <si>
    <t>Deduções da receita bruta</t>
  </si>
  <si>
    <t>Deduções da receita bruta %</t>
  </si>
  <si>
    <t xml:space="preserve"> Receita líquida </t>
  </si>
  <si>
    <t xml:space="preserve"> (-) Custos de serviços prestados</t>
  </si>
  <si>
    <t xml:space="preserve"> CSP (% Receita Líquida) </t>
  </si>
  <si>
    <t xml:space="preserve"> (-) Despesas</t>
  </si>
  <si>
    <t xml:space="preserve"> Despesas (% Receita Líquida) </t>
  </si>
  <si>
    <t>Lucro operacional</t>
  </si>
  <si>
    <t>(+) Depreciação</t>
  </si>
  <si>
    <t xml:space="preserve"> EBITDA </t>
  </si>
  <si>
    <t xml:space="preserve">(+)  Eventos não recorrentes </t>
  </si>
  <si>
    <t xml:space="preserve"> EBITDA ajustado </t>
  </si>
  <si>
    <t>(-) Custos com Aluguel (IAS17)</t>
  </si>
  <si>
    <t xml:space="preserve"> EBITDA ajustado ex IFRS 16</t>
  </si>
  <si>
    <t xml:space="preserve"> Margem EBITDA Ajustado Ex-IFRS16% </t>
  </si>
  <si>
    <t>Receita bruta</t>
  </si>
  <si>
    <t>Logística industrial</t>
  </si>
  <si>
    <t>Armazenagem</t>
  </si>
  <si>
    <t xml:space="preserve">Receita líquida  </t>
  </si>
  <si>
    <t>(-) Custos de serviços prestados</t>
  </si>
  <si>
    <t xml:space="preserve">CSP (% Receita Líquida) </t>
  </si>
  <si>
    <t>(-) Despesas</t>
  </si>
  <si>
    <t xml:space="preserve">Despesas (% Receita Líquida) </t>
  </si>
  <si>
    <t xml:space="preserve">EBITDA  </t>
  </si>
  <si>
    <t xml:space="preserve">Eventos não recorrentes  </t>
  </si>
  <si>
    <t xml:space="preserve">EBITDA ajustado  </t>
  </si>
  <si>
    <t>EBITDA ajustado ex IFRS 16</t>
  </si>
  <si>
    <t xml:space="preserve">Margem EBITDA Ajustado %  </t>
  </si>
  <si>
    <t>(mil)</t>
  </si>
  <si>
    <t>(milhão R$)</t>
  </si>
  <si>
    <t>Despesas de juros</t>
  </si>
  <si>
    <t>Receita de aplicações</t>
  </si>
  <si>
    <t>Juros de arrendamento</t>
  </si>
  <si>
    <t>Resultado financeiro</t>
  </si>
  <si>
    <t>Contas a receber - fonecedores e fretes a pagar</t>
  </si>
  <si>
    <t>Capital de giro (em dias)</t>
  </si>
  <si>
    <t>Km Média Consolidada</t>
  </si>
  <si>
    <t>Km Média Domestico</t>
  </si>
  <si>
    <t>Km Média Externo</t>
  </si>
  <si>
    <t>Receita logística de veículos (em R$ mi)</t>
  </si>
  <si>
    <t>Km total (veículos transport*km média) (em mi)</t>
  </si>
  <si>
    <t>Receita média por km/veículo¹</t>
  </si>
  <si>
    <t>Dívida bruta</t>
  </si>
  <si>
    <t>Caixa</t>
  </si>
  <si>
    <t>Dívida Líquida</t>
  </si>
  <si>
    <t>EBITDA ajustado LTM</t>
  </si>
  <si>
    <t>Dívida Líquida / EBITDA ajustado LTM</t>
  </si>
  <si>
    <t>4T19</t>
  </si>
  <si>
    <t>4T20</t>
  </si>
  <si>
    <t>4T21</t>
  </si>
  <si>
    <t>4T22</t>
  </si>
  <si>
    <t>Capital de giro e endividamento</t>
  </si>
  <si>
    <t>Manutenção &amp; Benfeitorias gerais</t>
  </si>
  <si>
    <t>Aquisição de equipamentos logísticos</t>
  </si>
  <si>
    <t>TI</t>
  </si>
  <si>
    <t>Total</t>
  </si>
  <si>
    <t>% Receita bruta</t>
  </si>
  <si>
    <t>Outros</t>
  </si>
  <si>
    <t>(-) CAPEX</t>
  </si>
  <si>
    <t>(-) Imposto de renda</t>
  </si>
  <si>
    <t>(-) Necessidade de capital de giro</t>
  </si>
  <si>
    <t>(=) free cash flow to firm</t>
  </si>
  <si>
    <t>Valor por ação (R$)</t>
  </si>
  <si>
    <t>% JCP</t>
  </si>
  <si>
    <t>Montante (R$ mil)</t>
  </si>
  <si>
    <t>Div Yld</t>
  </si>
  <si>
    <t>% Divi
dendos</t>
  </si>
  <si>
    <t>(+) Depreciação e amortização</t>
  </si>
  <si>
    <t>Contatos</t>
  </si>
  <si>
    <t>Lucro (prejuízo) antes do IR e da CSLL</t>
  </si>
  <si>
    <t>Alíquota nominal combinada IR e CSLL</t>
  </si>
  <si>
    <t>IR e CSLL pela alíquota nominal</t>
  </si>
  <si>
    <t>Resultado de equivalência patrimonial</t>
  </si>
  <si>
    <t>Diferenças permanentes</t>
  </si>
  <si>
    <t>Juros sobre capital próprio</t>
  </si>
  <si>
    <t>IR e CSLL no resultado</t>
  </si>
  <si>
    <t>Taxa efetiva</t>
  </si>
  <si>
    <t>Crédito outorgado ICMS*</t>
  </si>
  <si>
    <t>IR e CSLL</t>
  </si>
  <si>
    <t>Pg 2/22</t>
  </si>
  <si>
    <t>Pg 3/22</t>
  </si>
  <si>
    <t>Pg 5/22</t>
  </si>
  <si>
    <t>Pg 6/22</t>
  </si>
  <si>
    <t>Pg 7/22</t>
  </si>
  <si>
    <t>Pg 8/22</t>
  </si>
  <si>
    <t>Pg 9/22</t>
  </si>
  <si>
    <t>Pg 10/22</t>
  </si>
  <si>
    <t>Pg 11/22</t>
  </si>
  <si>
    <t>Pg 12/22</t>
  </si>
  <si>
    <t>Pg 13/22</t>
  </si>
  <si>
    <t>Pg 14/22</t>
  </si>
  <si>
    <t>Pg 15/22</t>
  </si>
  <si>
    <t>Pg 16/22</t>
  </si>
  <si>
    <t>Pg 17/22</t>
  </si>
  <si>
    <t>Pg 18/22</t>
  </si>
  <si>
    <t>Pg 19/22</t>
  </si>
  <si>
    <t>Pg 20/22</t>
  </si>
  <si>
    <t>Pg 21/22</t>
  </si>
  <si>
    <t>Pg 22/22</t>
  </si>
  <si>
    <t xml:space="preserve"> Receita líquida</t>
  </si>
  <si>
    <t>EBIT</t>
  </si>
  <si>
    <t>Lucro Líquido</t>
  </si>
  <si>
    <t>DRE GDL 100% (milhão R$)</t>
  </si>
  <si>
    <t>Diferença taxa nomina e efetiva</t>
  </si>
  <si>
    <t>em R$ milhão</t>
  </si>
  <si>
    <t>Payout¹</t>
  </si>
  <si>
    <t>Payout²</t>
  </si>
  <si>
    <t>¹ Considerando o lucro líquido ajustado, pelas reservas legais e pela constituição de reserva de incentivos fiscais</t>
  </si>
  <si>
    <t xml:space="preserve">² Considerando o lucro líquido ajustado somente pelas reservas legais </t>
  </si>
  <si>
    <t xml:space="preserve">Margem EBITDA Ajustado ex IFRS 16 %  </t>
  </si>
  <si>
    <t>A - Vendas de veículos e comerciais leves</t>
  </si>
  <si>
    <t>Margem EBITDA Ajustado %  Ex IFRS-26</t>
  </si>
  <si>
    <t>4t23</t>
  </si>
  <si>
    <r>
      <rPr>
        <vertAlign val="superscript"/>
        <sz val="8"/>
        <color theme="1"/>
        <rFont val="Montserrat"/>
      </rPr>
      <t>3</t>
    </r>
    <r>
      <rPr>
        <sz val="8"/>
        <color theme="1"/>
        <rFont val="Montserrat"/>
      </rPr>
      <t xml:space="preserve"> No ano de 2019 não houve constituição de reservas legais</t>
    </r>
  </si>
  <si>
    <t>Outras receitas e despesas financeiras</t>
  </si>
  <si>
    <t>Exportações¹</t>
  </si>
  <si>
    <t xml:space="preserve">Vendas domésticas ¹ </t>
  </si>
  <si>
    <t>N/A</t>
  </si>
  <si>
    <t>2027-29</t>
  </si>
  <si>
    <t>Venc dívidas (dez/24)</t>
  </si>
  <si>
    <t>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</si>
</sst>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0.0%"/>
    <numFmt numFmtId="165" formatCode="#,##0.0"/>
    <numFmt numFmtId="166" formatCode="0.0"/>
    <numFmt numFmtId="167" formatCode="_-* #,##0_-;\-* #,##0_-;_-* &quot;-&quot;??_-;_-@_-"/>
  </numFmts>
  <fonts count="34">
    <font>
      <sz val="11"/>
      <color theme="1"/>
      <name val="Calibri"/>
      <family val="2"/>
      <scheme val="minor"/>
    </font>
    <font>
      <b/>
      <sz val="50"/>
      <color theme="1"/>
      <name val="Gadugi"/>
      <family val="2"/>
    </font>
    <font>
      <b/>
      <sz val="48"/>
      <color rgb="FFFF7700"/>
      <name val="Gadugi"/>
      <family val="2"/>
    </font>
    <font>
      <b/>
      <sz val="10"/>
      <color rgb="FFFF7700"/>
      <name val="Gadugi"/>
      <family val="2"/>
    </font>
    <font>
      <u/>
      <sz val="11"/>
      <color theme="10"/>
      <name val="Calibri"/>
      <family val="2"/>
      <scheme val="minor"/>
    </font>
    <font>
      <b/>
      <sz val="9"/>
      <color theme="1"/>
      <name val="Montserrat"/>
    </font>
    <font>
      <u/>
      <sz val="9"/>
      <color theme="10"/>
      <name val="Montserrat"/>
    </font>
    <font>
      <sz val="11"/>
      <color theme="1"/>
      <name val="Montserrat"/>
    </font>
    <font>
      <sz val="8"/>
      <color theme="1"/>
      <name val="Montserrat"/>
    </font>
    <font>
      <b/>
      <sz val="11"/>
      <color theme="1"/>
      <name val="Montserrat"/>
    </font>
    <font>
      <b/>
      <sz val="11"/>
      <color rgb="FF000000"/>
      <name val="Montserrat"/>
    </font>
    <font>
      <sz val="11"/>
      <color rgb="FF000000"/>
      <name val="Montserrat"/>
    </font>
    <font>
      <b/>
      <sz val="11"/>
      <color rgb="FFED7700"/>
      <name val="Montserrat"/>
    </font>
    <font>
      <b/>
      <sz val="10"/>
      <color rgb="FF000000"/>
      <name val="Montserrat"/>
    </font>
    <font>
      <sz val="10"/>
      <color theme="1"/>
      <name val="Montserrat"/>
    </font>
    <font>
      <sz val="11"/>
      <color theme="1"/>
      <name val="Calibri"/>
      <family val="2"/>
      <scheme val="minor"/>
    </font>
    <font>
      <i/>
      <sz val="11"/>
      <color rgb="FF000000"/>
      <name val="Montserrat"/>
    </font>
    <font>
      <b/>
      <sz val="10"/>
      <color rgb="FFFF7700"/>
      <name val="Montserrat"/>
    </font>
    <font>
      <sz val="9"/>
      <color indexed="81"/>
      <name val="Segoe UI"/>
      <family val="2"/>
    </font>
    <font>
      <b/>
      <sz val="10"/>
      <color rgb="FFEA7423"/>
      <name val="Montserrat"/>
    </font>
    <font>
      <b/>
      <sz val="11"/>
      <color rgb="FFEA7423"/>
      <name val="Montserrat"/>
    </font>
    <font>
      <sz val="11"/>
      <color rgb="FFEA7423"/>
      <name val="Montserrat"/>
    </font>
    <font>
      <sz val="11"/>
      <color rgb="FFEA7423"/>
      <name val="Calibri"/>
      <family val="2"/>
      <scheme val="minor"/>
    </font>
    <font>
      <b/>
      <sz val="10"/>
      <color rgb="FFED7700"/>
      <name val="Montserrat"/>
    </font>
    <font>
      <b/>
      <sz val="9"/>
      <color rgb="FF000000"/>
      <name val="Montserrat"/>
    </font>
    <font>
      <sz val="11"/>
      <color theme="0"/>
      <name val="Calibri"/>
      <family val="2"/>
      <scheme val="minor"/>
    </font>
    <font>
      <i/>
      <sz val="11"/>
      <color theme="1"/>
      <name val="Montserrat"/>
    </font>
    <font>
      <i/>
      <sz val="11"/>
      <color theme="1"/>
      <name val="Calibri"/>
      <family val="2"/>
      <scheme val="minor"/>
    </font>
    <font>
      <b/>
      <i/>
      <sz val="11"/>
      <color rgb="FF000000"/>
      <name val="Montserrat"/>
    </font>
    <font>
      <b/>
      <sz val="11"/>
      <color theme="0"/>
      <name val="Montserrat"/>
    </font>
    <font>
      <sz val="11"/>
      <color rgb="FFFF0000"/>
      <name val="Montserrat"/>
    </font>
    <font>
      <vertAlign val="superscript"/>
      <sz val="8"/>
      <color theme="1"/>
      <name val="Montserrat"/>
    </font>
    <font>
      <sz val="11"/>
      <color theme="1"/>
      <name val="Mont"/>
    </font>
    <font>
      <sz val="11"/>
      <name val="Montserrat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47">
    <border>
      <left/>
      <right/>
      <top/>
      <bottom/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 style="thick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ck">
        <color theme="5"/>
      </left>
      <right/>
      <top style="thick">
        <color theme="5"/>
      </top>
      <bottom/>
      <diagonal/>
    </border>
    <border>
      <left/>
      <right/>
      <top style="thick">
        <color theme="5"/>
      </top>
      <bottom/>
      <diagonal/>
    </border>
    <border>
      <left/>
      <right style="thick">
        <color theme="5"/>
      </right>
      <top style="thick">
        <color theme="5"/>
      </top>
      <bottom/>
      <diagonal/>
    </border>
    <border>
      <left style="thick">
        <color theme="5"/>
      </left>
      <right/>
      <top/>
      <bottom/>
      <diagonal/>
    </border>
    <border>
      <left/>
      <right style="thick">
        <color theme="5"/>
      </right>
      <top/>
      <bottom/>
      <diagonal/>
    </border>
    <border>
      <left style="thick">
        <color theme="5"/>
      </left>
      <right/>
      <top/>
      <bottom style="thick">
        <color theme="5"/>
      </bottom>
      <diagonal/>
    </border>
    <border>
      <left/>
      <right/>
      <top/>
      <bottom style="thick">
        <color theme="5"/>
      </bottom>
      <diagonal/>
    </border>
    <border>
      <left/>
      <right style="thick">
        <color theme="5"/>
      </right>
      <top/>
      <bottom style="thick">
        <color theme="5"/>
      </bottom>
      <diagonal/>
    </border>
    <border>
      <left/>
      <right/>
      <top style="medium">
        <color rgb="FFED7700"/>
      </top>
      <bottom/>
      <diagonal/>
    </border>
    <border>
      <left/>
      <right/>
      <top/>
      <bottom style="medium">
        <color rgb="FFED7700"/>
      </bottom>
      <diagonal/>
    </border>
    <border>
      <left/>
      <right/>
      <top style="dotted">
        <color theme="0" tint="-0.14996795556505021"/>
      </top>
      <bottom style="dotted">
        <color theme="0" tint="-0.14996795556505021"/>
      </bottom>
      <diagonal/>
    </border>
    <border>
      <left style="medium">
        <color rgb="FFFFFFFF"/>
      </left>
      <right/>
      <top/>
      <bottom style="dotted">
        <color rgb="FFD9D9D9"/>
      </bottom>
      <diagonal/>
    </border>
    <border>
      <left/>
      <right/>
      <top/>
      <bottom style="dotted">
        <color rgb="FFD9D9D9"/>
      </bottom>
      <diagonal/>
    </border>
    <border>
      <left style="medium">
        <color rgb="FFFFFFFF"/>
      </left>
      <right/>
      <top/>
      <bottom/>
      <diagonal/>
    </border>
    <border>
      <left/>
      <right/>
      <top style="dotted">
        <color theme="0" tint="-0.14996795556505021"/>
      </top>
      <bottom/>
      <diagonal/>
    </border>
    <border>
      <left style="medium">
        <color rgb="FFFFFFFF"/>
      </left>
      <right/>
      <top style="medium">
        <color rgb="FFFFFFFF"/>
      </top>
      <bottom style="dotted">
        <color rgb="FFD9D9D9"/>
      </bottom>
      <diagonal/>
    </border>
    <border>
      <left/>
      <right/>
      <top/>
      <bottom style="medium">
        <color rgb="FFEA7423"/>
      </bottom>
      <diagonal/>
    </border>
    <border>
      <left/>
      <right/>
      <top style="medium">
        <color rgb="FFEA7423"/>
      </top>
      <bottom style="medium">
        <color rgb="FFEA7423"/>
      </bottom>
      <diagonal/>
    </border>
    <border>
      <left style="medium">
        <color rgb="FFFFFFFF"/>
      </left>
      <right/>
      <top style="medium">
        <color rgb="FFEA7423"/>
      </top>
      <bottom style="dotted">
        <color rgb="FFD9D9D9"/>
      </bottom>
      <diagonal/>
    </border>
    <border>
      <left/>
      <right/>
      <top style="medium">
        <color rgb="FFEA7423"/>
      </top>
      <bottom/>
      <diagonal/>
    </border>
    <border>
      <left/>
      <right/>
      <top style="medium">
        <color rgb="FFEA7423"/>
      </top>
      <bottom style="dotted">
        <color rgb="FFD9D9D9"/>
      </bottom>
      <diagonal/>
    </border>
    <border>
      <left/>
      <right style="thick">
        <color auto="1"/>
      </right>
      <top/>
      <bottom style="medium">
        <color rgb="FFEA7423"/>
      </bottom>
      <diagonal/>
    </border>
    <border>
      <left/>
      <right style="thick">
        <color auto="1"/>
      </right>
      <top style="medium">
        <color rgb="FFEA7423"/>
      </top>
      <bottom style="medium">
        <color rgb="FFEA7423"/>
      </bottom>
      <diagonal/>
    </border>
    <border>
      <left style="thick">
        <color theme="1"/>
      </left>
      <right/>
      <top style="thick">
        <color theme="1"/>
      </top>
      <bottom style="dotted">
        <color rgb="FFD9D9D9"/>
      </bottom>
      <diagonal/>
    </border>
    <border>
      <left/>
      <right/>
      <top style="thick">
        <color theme="1"/>
      </top>
      <bottom/>
      <diagonal/>
    </border>
    <border>
      <left style="medium">
        <color rgb="FFFFFFFF"/>
      </left>
      <right/>
      <top style="thick">
        <color theme="1"/>
      </top>
      <bottom style="dotted">
        <color rgb="FFD9D9D9"/>
      </bottom>
      <diagonal/>
    </border>
    <border>
      <left/>
      <right/>
      <top style="thick">
        <color theme="1"/>
      </top>
      <bottom style="dotted">
        <color rgb="FFD9D9D9"/>
      </bottom>
      <diagonal/>
    </border>
    <border>
      <left/>
      <right style="thick">
        <color theme="1"/>
      </right>
      <top style="thick">
        <color theme="1"/>
      </top>
      <bottom style="dotted">
        <color rgb="FFD9D9D9"/>
      </bottom>
      <diagonal/>
    </border>
    <border>
      <left style="thick">
        <color theme="1"/>
      </left>
      <right/>
      <top/>
      <bottom/>
      <diagonal/>
    </border>
    <border>
      <left/>
      <right style="thick">
        <color theme="1"/>
      </right>
      <top/>
      <bottom/>
      <diagonal/>
    </border>
    <border>
      <left style="medium">
        <color theme="1"/>
      </left>
      <right/>
      <top style="medium">
        <color rgb="FFFFFFFF"/>
      </top>
      <bottom style="dotted">
        <color rgb="FFD9D9D9"/>
      </bottom>
      <diagonal/>
    </border>
    <border>
      <left/>
      <right/>
      <top style="medium">
        <color rgb="FFFFFFFF"/>
      </top>
      <bottom/>
      <diagonal/>
    </border>
    <border>
      <left/>
      <right/>
      <top style="medium">
        <color rgb="FFFFFFFF"/>
      </top>
      <bottom style="dotted">
        <color rgb="FFD9D9D9"/>
      </bottom>
      <diagonal/>
    </border>
    <border>
      <left/>
      <right style="medium">
        <color theme="1"/>
      </right>
      <top style="medium">
        <color rgb="FFFFFFFF"/>
      </top>
      <bottom style="dotted">
        <color rgb="FFD9D9D9"/>
      </bottom>
      <diagonal/>
    </border>
    <border>
      <left style="medium">
        <color theme="1"/>
      </left>
      <right/>
      <top/>
      <bottom style="medium">
        <color theme="1"/>
      </bottom>
      <diagonal/>
    </border>
    <border>
      <left/>
      <right/>
      <top/>
      <bottom style="medium">
        <color theme="1"/>
      </bottom>
      <diagonal/>
    </border>
    <border>
      <left style="medium">
        <color rgb="FFFFFFFF"/>
      </left>
      <right/>
      <top/>
      <bottom style="medium">
        <color theme="1"/>
      </bottom>
      <diagonal/>
    </border>
    <border>
      <left/>
      <right style="medium">
        <color theme="1"/>
      </right>
      <top/>
      <bottom style="medium">
        <color theme="1"/>
      </bottom>
      <diagonal/>
    </border>
  </borders>
  <cellStyleXfs count="4">
    <xf numFmtId="0" fontId="0" fillId="0" borderId="0"/>
    <xf numFmtId="0" fontId="4" fillId="0" borderId="0" applyNumberFormat="0" applyFill="0" applyBorder="0" applyAlignment="0" applyProtection="0"/>
    <xf numFmtId="43" fontId="15" fillId="0" borderId="0" applyFont="0" applyFill="0" applyBorder="0" applyAlignment="0" applyProtection="0"/>
    <xf numFmtId="9" fontId="15" fillId="0" borderId="0" applyFont="0" applyFill="0" applyBorder="0" applyAlignment="0" applyProtection="0"/>
  </cellStyleXfs>
  <cellXfs count="178">
    <xf numFmtId="0" fontId="0" fillId="0" borderId="0" xfId="0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1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4" fillId="0" borderId="0" xfId="1" applyAlignment="1">
      <alignment vertical="center"/>
    </xf>
    <xf numFmtId="0" fontId="0" fillId="0" borderId="10" xfId="0" applyBorder="1"/>
    <xf numFmtId="0" fontId="0" fillId="0" borderId="11" xfId="0" applyBorder="1"/>
    <xf numFmtId="0" fontId="0" fillId="0" borderId="13" xfId="0" applyBorder="1"/>
    <xf numFmtId="0" fontId="0" fillId="0" borderId="15" xfId="0" applyBorder="1"/>
    <xf numFmtId="0" fontId="0" fillId="0" borderId="16" xfId="0" applyBorder="1"/>
    <xf numFmtId="0" fontId="5" fillId="0" borderId="9" xfId="0" applyFont="1" applyBorder="1" applyAlignment="1">
      <alignment vertical="center"/>
    </xf>
    <xf numFmtId="0" fontId="6" fillId="0" borderId="12" xfId="1" applyFont="1" applyBorder="1" applyAlignment="1">
      <alignment vertical="center"/>
    </xf>
    <xf numFmtId="0" fontId="6" fillId="0" borderId="14" xfId="1" applyFont="1" applyBorder="1" applyAlignment="1"/>
    <xf numFmtId="0" fontId="3" fillId="0" borderId="0" xfId="0" applyFont="1" applyAlignment="1">
      <alignment vertical="center"/>
    </xf>
    <xf numFmtId="0" fontId="4" fillId="0" borderId="0" xfId="1" applyAlignment="1">
      <alignment horizontal="left" vertical="center" indent="1"/>
    </xf>
    <xf numFmtId="0" fontId="8" fillId="0" borderId="3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7" fillId="0" borderId="0" xfId="0" applyFont="1"/>
    <xf numFmtId="0" fontId="12" fillId="0" borderId="0" xfId="0" applyFont="1" applyAlignment="1">
      <alignment horizontal="center"/>
    </xf>
    <xf numFmtId="3" fontId="10" fillId="0" borderId="17" xfId="0" applyNumberFormat="1" applyFont="1" applyBorder="1" applyAlignment="1">
      <alignment horizontal="center" vertical="center" wrapText="1"/>
    </xf>
    <xf numFmtId="3" fontId="11" fillId="0" borderId="19" xfId="0" applyNumberFormat="1" applyFont="1" applyBorder="1" applyAlignment="1">
      <alignment horizontal="center" vertical="center" wrapText="1"/>
    </xf>
    <xf numFmtId="0" fontId="9" fillId="0" borderId="17" xfId="0" applyFont="1" applyBorder="1" applyAlignment="1">
      <alignment horizontal="left" indent="1"/>
    </xf>
    <xf numFmtId="0" fontId="7" fillId="0" borderId="19" xfId="0" applyFont="1" applyBorder="1" applyAlignment="1">
      <alignment horizontal="left" indent="2"/>
    </xf>
    <xf numFmtId="1" fontId="10" fillId="0" borderId="19" xfId="0" applyNumberFormat="1" applyFont="1" applyBorder="1" applyAlignment="1">
      <alignment horizontal="center" vertical="center" wrapText="1"/>
    </xf>
    <xf numFmtId="0" fontId="14" fillId="0" borderId="4" xfId="0" applyFont="1" applyBorder="1"/>
    <xf numFmtId="0" fontId="14" fillId="0" borderId="0" xfId="0" applyFont="1" applyAlignment="1">
      <alignment vertical="center"/>
    </xf>
    <xf numFmtId="0" fontId="14" fillId="0" borderId="0" xfId="0" applyFont="1"/>
    <xf numFmtId="0" fontId="7" fillId="0" borderId="19" xfId="0" applyFont="1" applyBorder="1"/>
    <xf numFmtId="0" fontId="10" fillId="0" borderId="20" xfId="0" applyFont="1" applyBorder="1" applyAlignment="1">
      <alignment horizontal="left" vertical="center"/>
    </xf>
    <xf numFmtId="165" fontId="9" fillId="0" borderId="21" xfId="0" applyNumberFormat="1" applyFont="1" applyBorder="1" applyAlignment="1">
      <alignment horizontal="center" vertical="center" wrapText="1"/>
    </xf>
    <xf numFmtId="0" fontId="11" fillId="0" borderId="20" xfId="0" applyFont="1" applyBorder="1" applyAlignment="1">
      <alignment horizontal="left" vertical="center" indent="2"/>
    </xf>
    <xf numFmtId="165" fontId="7" fillId="0" borderId="21" xfId="0" applyNumberFormat="1" applyFont="1" applyBorder="1" applyAlignment="1">
      <alignment horizontal="center" vertical="center" wrapText="1"/>
    </xf>
    <xf numFmtId="0" fontId="11" fillId="0" borderId="20" xfId="0" applyFont="1" applyBorder="1" applyAlignment="1">
      <alignment horizontal="left" vertical="center" indent="1"/>
    </xf>
    <xf numFmtId="0" fontId="16" fillId="0" borderId="20" xfId="0" applyFont="1" applyBorder="1" applyAlignment="1">
      <alignment horizontal="left" vertical="center" indent="2"/>
    </xf>
    <xf numFmtId="164" fontId="7" fillId="0" borderId="21" xfId="0" applyNumberFormat="1" applyFont="1" applyBorder="1" applyAlignment="1">
      <alignment horizontal="center" vertical="center" wrapText="1"/>
    </xf>
    <xf numFmtId="164" fontId="7" fillId="0" borderId="21" xfId="3" applyNumberFormat="1" applyFont="1" applyBorder="1" applyAlignment="1">
      <alignment horizontal="center" vertical="center" wrapText="1"/>
    </xf>
    <xf numFmtId="0" fontId="10" fillId="0" borderId="22" xfId="0" applyFont="1" applyBorder="1" applyAlignment="1">
      <alignment horizontal="left" vertical="center"/>
    </xf>
    <xf numFmtId="165" fontId="9" fillId="0" borderId="0" xfId="0" applyNumberFormat="1" applyFont="1" applyAlignment="1">
      <alignment horizontal="center" vertical="center" wrapText="1"/>
    </xf>
    <xf numFmtId="0" fontId="9" fillId="0" borderId="0" xfId="0" applyFont="1" applyAlignment="1">
      <alignment horizontal="left" indent="1"/>
    </xf>
    <xf numFmtId="0" fontId="9" fillId="0" borderId="23" xfId="0" applyFont="1" applyBorder="1"/>
    <xf numFmtId="0" fontId="11" fillId="0" borderId="0" xfId="0" applyFont="1" applyAlignment="1">
      <alignment horizontal="left" vertical="center" indent="1"/>
    </xf>
    <xf numFmtId="0" fontId="16" fillId="0" borderId="22" xfId="0" applyFont="1" applyBorder="1" applyAlignment="1">
      <alignment horizontal="left" vertical="center" indent="2"/>
    </xf>
    <xf numFmtId="164" fontId="7" fillId="0" borderId="0" xfId="3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/>
    </xf>
    <xf numFmtId="0" fontId="11" fillId="0" borderId="22" xfId="0" applyFont="1" applyBorder="1" applyAlignment="1">
      <alignment horizontal="left" vertical="center" indent="2"/>
    </xf>
    <xf numFmtId="0" fontId="10" fillId="0" borderId="20" xfId="0" applyFont="1" applyBorder="1" applyAlignment="1">
      <alignment horizontal="left" vertical="center" indent="1"/>
    </xf>
    <xf numFmtId="0" fontId="10" fillId="0" borderId="0" xfId="0" applyFont="1" applyAlignment="1">
      <alignment horizontal="left" vertical="center" indent="1"/>
    </xf>
    <xf numFmtId="0" fontId="11" fillId="0" borderId="22" xfId="0" applyFont="1" applyBorder="1" applyAlignment="1">
      <alignment horizontal="left" vertical="center" indent="1"/>
    </xf>
    <xf numFmtId="0" fontId="11" fillId="0" borderId="0" xfId="0" applyFont="1" applyAlignment="1">
      <alignment horizontal="left" vertical="center" indent="2"/>
    </xf>
    <xf numFmtId="2" fontId="7" fillId="0" borderId="0" xfId="2" applyNumberFormat="1" applyFont="1" applyBorder="1" applyAlignment="1">
      <alignment horizontal="center" vertical="center" wrapText="1"/>
    </xf>
    <xf numFmtId="0" fontId="10" fillId="0" borderId="22" xfId="0" applyFont="1" applyBorder="1" applyAlignment="1">
      <alignment horizontal="left" vertical="center" indent="1"/>
    </xf>
    <xf numFmtId="166" fontId="7" fillId="0" borderId="0" xfId="2" applyNumberFormat="1" applyFont="1" applyBorder="1" applyAlignment="1">
      <alignment horizontal="center" vertical="center" wrapText="1"/>
    </xf>
    <xf numFmtId="166" fontId="7" fillId="0" borderId="21" xfId="2" applyNumberFormat="1" applyFont="1" applyBorder="1" applyAlignment="1">
      <alignment horizontal="center" vertical="center" wrapText="1"/>
    </xf>
    <xf numFmtId="166" fontId="9" fillId="0" borderId="21" xfId="2" applyNumberFormat="1" applyFont="1" applyBorder="1" applyAlignment="1">
      <alignment horizontal="center" vertical="center" wrapText="1"/>
    </xf>
    <xf numFmtId="166" fontId="9" fillId="0" borderId="0" xfId="2" applyNumberFormat="1" applyFont="1" applyBorder="1" applyAlignment="1">
      <alignment horizontal="center" vertical="center" wrapText="1"/>
    </xf>
    <xf numFmtId="0" fontId="10" fillId="0" borderId="24" xfId="0" applyFont="1" applyBorder="1" applyAlignment="1">
      <alignment horizontal="left" vertical="center"/>
    </xf>
    <xf numFmtId="0" fontId="9" fillId="0" borderId="18" xfId="0" applyFont="1" applyBorder="1"/>
    <xf numFmtId="166" fontId="11" fillId="0" borderId="19" xfId="2" applyNumberFormat="1" applyFont="1" applyBorder="1" applyAlignment="1">
      <alignment horizontal="center" vertical="center" wrapText="1"/>
    </xf>
    <xf numFmtId="166" fontId="13" fillId="0" borderId="18" xfId="2" applyNumberFormat="1" applyFont="1" applyBorder="1" applyAlignment="1">
      <alignment horizontal="center" vertical="center" wrapText="1"/>
    </xf>
    <xf numFmtId="0" fontId="9" fillId="0" borderId="17" xfId="0" applyFont="1" applyBorder="1" applyAlignment="1">
      <alignment horizontal="left"/>
    </xf>
    <xf numFmtId="0" fontId="17" fillId="0" borderId="0" xfId="0" applyFont="1"/>
    <xf numFmtId="9" fontId="7" fillId="0" borderId="21" xfId="3" applyFont="1" applyBorder="1" applyAlignment="1">
      <alignment horizontal="center" vertical="center" wrapText="1"/>
    </xf>
    <xf numFmtId="0" fontId="19" fillId="0" borderId="0" xfId="0" applyFont="1"/>
    <xf numFmtId="0" fontId="21" fillId="0" borderId="0" xfId="0" applyFont="1"/>
    <xf numFmtId="0" fontId="22" fillId="0" borderId="0" xfId="0" applyFont="1"/>
    <xf numFmtId="0" fontId="20" fillId="0" borderId="0" xfId="0" applyFont="1" applyAlignment="1">
      <alignment horizontal="center"/>
    </xf>
    <xf numFmtId="0" fontId="7" fillId="0" borderId="25" xfId="0" applyFont="1" applyBorder="1"/>
    <xf numFmtId="0" fontId="19" fillId="0" borderId="25" xfId="0" applyFont="1" applyBorder="1"/>
    <xf numFmtId="0" fontId="0" fillId="0" borderId="25" xfId="0" applyBorder="1"/>
    <xf numFmtId="0" fontId="12" fillId="0" borderId="25" xfId="0" applyFont="1" applyBorder="1" applyAlignment="1">
      <alignment horizontal="center"/>
    </xf>
    <xf numFmtId="166" fontId="11" fillId="0" borderId="0" xfId="2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left"/>
    </xf>
    <xf numFmtId="0" fontId="9" fillId="0" borderId="25" xfId="0" applyFont="1" applyBorder="1"/>
    <xf numFmtId="166" fontId="13" fillId="0" borderId="25" xfId="2" applyNumberFormat="1" applyFont="1" applyBorder="1" applyAlignment="1">
      <alignment horizontal="center" vertical="center" wrapText="1"/>
    </xf>
    <xf numFmtId="165" fontId="7" fillId="0" borderId="0" xfId="0" applyNumberFormat="1" applyFont="1" applyAlignment="1">
      <alignment horizontal="center" vertical="center" wrapText="1"/>
    </xf>
    <xf numFmtId="0" fontId="7" fillId="0" borderId="25" xfId="0" applyFont="1" applyBorder="1" applyAlignment="1">
      <alignment horizontal="left" indent="2"/>
    </xf>
    <xf numFmtId="164" fontId="7" fillId="0" borderId="25" xfId="3" applyNumberFormat="1" applyFont="1" applyBorder="1" applyAlignment="1">
      <alignment horizontal="center"/>
    </xf>
    <xf numFmtId="3" fontId="11" fillId="0" borderId="23" xfId="0" applyNumberFormat="1" applyFont="1" applyBorder="1" applyAlignment="1">
      <alignment horizontal="center" vertical="center" wrapText="1"/>
    </xf>
    <xf numFmtId="2" fontId="11" fillId="0" borderId="25" xfId="2" applyNumberFormat="1" applyFont="1" applyBorder="1" applyAlignment="1">
      <alignment horizontal="center" vertical="center" wrapText="1"/>
    </xf>
    <xf numFmtId="3" fontId="11" fillId="0" borderId="0" xfId="0" applyNumberFormat="1" applyFont="1" applyAlignment="1">
      <alignment horizontal="center" vertical="center" wrapText="1"/>
    </xf>
    <xf numFmtId="1" fontId="11" fillId="0" borderId="25" xfId="2" applyNumberFormat="1" applyFont="1" applyBorder="1" applyAlignment="1">
      <alignment horizontal="center" vertical="center" wrapText="1"/>
    </xf>
    <xf numFmtId="0" fontId="7" fillId="0" borderId="23" xfId="0" applyFont="1" applyBorder="1" applyAlignment="1">
      <alignment horizontal="left" indent="2"/>
    </xf>
    <xf numFmtId="164" fontId="13" fillId="0" borderId="25" xfId="0" applyNumberFormat="1" applyFont="1" applyBorder="1" applyAlignment="1">
      <alignment horizontal="center" vertical="center" wrapText="1"/>
    </xf>
    <xf numFmtId="164" fontId="9" fillId="0" borderId="25" xfId="3" applyNumberFormat="1" applyFont="1" applyBorder="1" applyAlignment="1">
      <alignment horizontal="center"/>
    </xf>
    <xf numFmtId="0" fontId="7" fillId="0" borderId="0" xfId="0" applyFont="1" applyAlignment="1">
      <alignment horizontal="left" indent="1"/>
    </xf>
    <xf numFmtId="0" fontId="9" fillId="0" borderId="19" xfId="0" applyFont="1" applyBorder="1"/>
    <xf numFmtId="166" fontId="10" fillId="0" borderId="19" xfId="2" applyNumberFormat="1" applyFont="1" applyBorder="1" applyAlignment="1">
      <alignment horizontal="center" vertical="center" wrapText="1"/>
    </xf>
    <xf numFmtId="2" fontId="11" fillId="0" borderId="20" xfId="0" applyNumberFormat="1" applyFont="1" applyBorder="1" applyAlignment="1">
      <alignment horizontal="center" vertical="center"/>
    </xf>
    <xf numFmtId="167" fontId="7" fillId="0" borderId="21" xfId="2" applyNumberFormat="1" applyFont="1" applyBorder="1" applyAlignment="1">
      <alignment horizontal="center" vertical="center" wrapText="1"/>
    </xf>
    <xf numFmtId="10" fontId="7" fillId="0" borderId="21" xfId="3" applyNumberFormat="1" applyFont="1" applyBorder="1" applyAlignment="1">
      <alignment horizontal="center" vertical="center" wrapText="1"/>
    </xf>
    <xf numFmtId="0" fontId="23" fillId="0" borderId="25" xfId="0" applyFont="1" applyBorder="1" applyAlignment="1">
      <alignment horizontal="center" vertical="center" wrapText="1"/>
    </xf>
    <xf numFmtId="0" fontId="9" fillId="0" borderId="17" xfId="0" applyFont="1" applyBorder="1" applyAlignment="1">
      <alignment vertical="center"/>
    </xf>
    <xf numFmtId="0" fontId="7" fillId="0" borderId="0" xfId="0" applyFont="1" applyAlignment="1">
      <alignment vertical="center"/>
    </xf>
    <xf numFmtId="0" fontId="7" fillId="0" borderId="25" xfId="0" applyFont="1" applyBorder="1" applyAlignment="1">
      <alignment vertical="center"/>
    </xf>
    <xf numFmtId="0" fontId="7" fillId="0" borderId="23" xfId="0" applyFont="1" applyBorder="1" applyAlignment="1">
      <alignment vertical="center"/>
    </xf>
    <xf numFmtId="3" fontId="11" fillId="2" borderId="23" xfId="0" applyNumberFormat="1" applyFont="1" applyFill="1" applyBorder="1" applyAlignment="1">
      <alignment horizontal="center" vertical="center" wrapText="1"/>
    </xf>
    <xf numFmtId="2" fontId="11" fillId="2" borderId="25" xfId="2" applyNumberFormat="1" applyFont="1" applyFill="1" applyBorder="1" applyAlignment="1">
      <alignment horizontal="center" vertical="center" wrapText="1"/>
    </xf>
    <xf numFmtId="0" fontId="7" fillId="0" borderId="17" xfId="0" applyFont="1" applyBorder="1" applyAlignment="1">
      <alignment horizontal="left"/>
    </xf>
    <xf numFmtId="0" fontId="7" fillId="0" borderId="17" xfId="0" applyFont="1" applyBorder="1" applyAlignment="1">
      <alignment horizontal="left" indent="1"/>
    </xf>
    <xf numFmtId="166" fontId="11" fillId="0" borderId="17" xfId="2" applyNumberFormat="1" applyFont="1" applyBorder="1" applyAlignment="1">
      <alignment horizontal="center" vertical="center" wrapText="1"/>
    </xf>
    <xf numFmtId="1" fontId="10" fillId="0" borderId="0" xfId="0" applyNumberFormat="1" applyFont="1" applyAlignment="1">
      <alignment horizontal="center" vertical="center" wrapText="1"/>
    </xf>
    <xf numFmtId="164" fontId="11" fillId="0" borderId="0" xfId="3" applyNumberFormat="1" applyFont="1" applyFill="1" applyBorder="1" applyAlignment="1">
      <alignment horizontal="center" vertical="center" wrapText="1"/>
    </xf>
    <xf numFmtId="9" fontId="7" fillId="0" borderId="21" xfId="3" applyFont="1" applyFill="1" applyBorder="1" applyAlignment="1">
      <alignment horizontal="center" vertical="center" wrapText="1"/>
    </xf>
    <xf numFmtId="167" fontId="7" fillId="0" borderId="21" xfId="2" applyNumberFormat="1" applyFont="1" applyFill="1" applyBorder="1" applyAlignment="1">
      <alignment horizontal="center" vertical="center" wrapText="1"/>
    </xf>
    <xf numFmtId="10" fontId="7" fillId="0" borderId="21" xfId="3" applyNumberFormat="1" applyFont="1" applyFill="1" applyBorder="1" applyAlignment="1">
      <alignment horizontal="center" vertical="center" wrapText="1"/>
    </xf>
    <xf numFmtId="164" fontId="0" fillId="0" borderId="0" xfId="3" applyNumberFormat="1" applyFont="1" applyBorder="1"/>
    <xf numFmtId="1" fontId="0" fillId="0" borderId="0" xfId="0" applyNumberFormat="1"/>
    <xf numFmtId="166" fontId="11" fillId="0" borderId="0" xfId="2" applyNumberFormat="1" applyFont="1" applyFill="1" applyBorder="1" applyAlignment="1">
      <alignment horizontal="center" vertical="center" wrapText="1"/>
    </xf>
    <xf numFmtId="166" fontId="7" fillId="0" borderId="17" xfId="0" applyNumberFormat="1" applyFont="1" applyBorder="1" applyAlignment="1">
      <alignment horizontal="center" vertical="center"/>
    </xf>
    <xf numFmtId="166" fontId="9" fillId="0" borderId="25" xfId="0" applyNumberFormat="1" applyFont="1" applyBorder="1" applyAlignment="1">
      <alignment horizontal="center" vertical="center"/>
    </xf>
    <xf numFmtId="166" fontId="7" fillId="0" borderId="19" xfId="0" applyNumberFormat="1" applyFont="1" applyBorder="1" applyAlignment="1">
      <alignment horizontal="center"/>
    </xf>
    <xf numFmtId="0" fontId="24" fillId="0" borderId="0" xfId="0" applyFont="1" applyAlignment="1">
      <alignment vertical="top" wrapText="1"/>
    </xf>
    <xf numFmtId="3" fontId="9" fillId="0" borderId="21" xfId="0" applyNumberFormat="1" applyFont="1" applyBorder="1" applyAlignment="1">
      <alignment horizontal="center" vertical="center" wrapText="1"/>
    </xf>
    <xf numFmtId="0" fontId="25" fillId="0" borderId="0" xfId="0" applyFont="1"/>
    <xf numFmtId="0" fontId="0" fillId="0" borderId="26" xfId="0" applyBorder="1"/>
    <xf numFmtId="0" fontId="10" fillId="0" borderId="27" xfId="0" applyFont="1" applyBorder="1" applyAlignment="1">
      <alignment horizontal="left" vertical="center"/>
    </xf>
    <xf numFmtId="0" fontId="9" fillId="0" borderId="28" xfId="0" applyFont="1" applyBorder="1" applyAlignment="1">
      <alignment horizontal="left" indent="1"/>
    </xf>
    <xf numFmtId="9" fontId="9" fillId="0" borderId="29" xfId="0" applyNumberFormat="1" applyFont="1" applyBorder="1" applyAlignment="1">
      <alignment horizontal="center" vertical="center" wrapText="1"/>
    </xf>
    <xf numFmtId="0" fontId="11" fillId="0" borderId="25" xfId="0" applyFont="1" applyBorder="1" applyAlignment="1">
      <alignment horizontal="left" vertical="center" indent="1"/>
    </xf>
    <xf numFmtId="9" fontId="7" fillId="0" borderId="25" xfId="0" applyNumberFormat="1" applyFont="1" applyBorder="1" applyAlignment="1">
      <alignment horizontal="center"/>
    </xf>
    <xf numFmtId="0" fontId="26" fillId="0" borderId="25" xfId="0" applyFont="1" applyBorder="1" applyAlignment="1">
      <alignment horizontal="left"/>
    </xf>
    <xf numFmtId="0" fontId="26" fillId="0" borderId="25" xfId="0" applyFont="1" applyBorder="1"/>
    <xf numFmtId="0" fontId="27" fillId="0" borderId="25" xfId="0" applyFont="1" applyBorder="1"/>
    <xf numFmtId="9" fontId="26" fillId="0" borderId="25" xfId="3" applyFont="1" applyBorder="1" applyAlignment="1">
      <alignment horizontal="center"/>
    </xf>
    <xf numFmtId="0" fontId="26" fillId="0" borderId="0" xfId="0" applyFont="1"/>
    <xf numFmtId="9" fontId="26" fillId="0" borderId="21" xfId="3" applyFont="1" applyBorder="1" applyAlignment="1">
      <alignment horizontal="center" vertical="center" wrapText="1"/>
    </xf>
    <xf numFmtId="0" fontId="28" fillId="0" borderId="20" xfId="0" applyFont="1" applyBorder="1" applyAlignment="1">
      <alignment horizontal="left" vertical="center" indent="2"/>
    </xf>
    <xf numFmtId="0" fontId="29" fillId="0" borderId="0" xfId="0" applyFont="1" applyAlignment="1">
      <alignment horizontal="center"/>
    </xf>
    <xf numFmtId="1" fontId="10" fillId="0" borderId="0" xfId="2" applyNumberFormat="1" applyFont="1" applyBorder="1" applyAlignment="1">
      <alignment horizontal="center" vertical="center" wrapText="1"/>
    </xf>
    <xf numFmtId="1" fontId="11" fillId="0" borderId="19" xfId="2" applyNumberFormat="1" applyFont="1" applyBorder="1" applyAlignment="1">
      <alignment horizontal="center" vertical="center" wrapText="1"/>
    </xf>
    <xf numFmtId="1" fontId="11" fillId="0" borderId="0" xfId="2" applyNumberFormat="1" applyFont="1" applyBorder="1" applyAlignment="1">
      <alignment horizontal="center" vertical="center" wrapText="1"/>
    </xf>
    <xf numFmtId="1" fontId="30" fillId="0" borderId="25" xfId="2" applyNumberFormat="1" applyFont="1" applyBorder="1" applyAlignment="1">
      <alignment horizontal="center" vertical="center" wrapText="1"/>
    </xf>
    <xf numFmtId="0" fontId="12" fillId="0" borderId="30" xfId="0" applyFont="1" applyBorder="1" applyAlignment="1">
      <alignment horizontal="center"/>
    </xf>
    <xf numFmtId="0" fontId="12" fillId="0" borderId="25" xfId="0" applyFont="1" applyBorder="1" applyAlignment="1">
      <alignment horizontal="left" vertical="center"/>
    </xf>
    <xf numFmtId="0" fontId="7" fillId="0" borderId="26" xfId="0" applyFont="1" applyBorder="1"/>
    <xf numFmtId="1" fontId="10" fillId="0" borderId="26" xfId="2" applyNumberFormat="1" applyFont="1" applyBorder="1" applyAlignment="1">
      <alignment horizontal="center" vertical="center" wrapText="1"/>
    </xf>
    <xf numFmtId="1" fontId="10" fillId="0" borderId="31" xfId="2" applyNumberFormat="1" applyFont="1" applyBorder="1" applyAlignment="1">
      <alignment horizontal="center" vertical="center" wrapText="1"/>
    </xf>
    <xf numFmtId="1" fontId="10" fillId="0" borderId="17" xfId="2" applyNumberFormat="1" applyFont="1" applyBorder="1" applyAlignment="1">
      <alignment horizontal="center" vertical="center" wrapText="1"/>
    </xf>
    <xf numFmtId="1" fontId="13" fillId="0" borderId="18" xfId="2" applyNumberFormat="1" applyFont="1" applyBorder="1" applyAlignment="1">
      <alignment horizontal="center" vertical="center" wrapText="1"/>
    </xf>
    <xf numFmtId="0" fontId="8" fillId="0" borderId="0" xfId="0" applyFont="1"/>
    <xf numFmtId="167" fontId="10" fillId="0" borderId="17" xfId="2" applyNumberFormat="1" applyFont="1" applyBorder="1" applyAlignment="1">
      <alignment vertical="center" wrapText="1"/>
    </xf>
    <xf numFmtId="166" fontId="11" fillId="2" borderId="19" xfId="2" applyNumberFormat="1" applyFont="1" applyFill="1" applyBorder="1" applyAlignment="1">
      <alignment horizontal="center" vertical="center" wrapText="1"/>
    </xf>
    <xf numFmtId="9" fontId="7" fillId="2" borderId="21" xfId="3" applyFont="1" applyFill="1" applyBorder="1" applyAlignment="1">
      <alignment horizontal="center" vertical="center" wrapText="1"/>
    </xf>
    <xf numFmtId="1" fontId="13" fillId="0" borderId="0" xfId="2" applyNumberFormat="1" applyFont="1" applyBorder="1" applyAlignment="1">
      <alignment horizontal="center" vertical="center" wrapText="1"/>
    </xf>
    <xf numFmtId="9" fontId="0" fillId="0" borderId="26" xfId="0" applyNumberFormat="1" applyBorder="1"/>
    <xf numFmtId="0" fontId="32" fillId="0" borderId="19" xfId="0" applyFont="1" applyBorder="1" applyAlignment="1">
      <alignment horizontal="left" indent="2"/>
    </xf>
    <xf numFmtId="0" fontId="0" fillId="0" borderId="4" xfId="0" applyBorder="1"/>
    <xf numFmtId="0" fontId="0" fillId="0" borderId="0" xfId="0"/>
    <xf numFmtId="0" fontId="12" fillId="0" borderId="0" xfId="0" applyFont="1"/>
    <xf numFmtId="0" fontId="20" fillId="0" borderId="0" xfId="0" applyFont="1"/>
    <xf numFmtId="0" fontId="11" fillId="0" borderId="32" xfId="0" applyFont="1" applyBorder="1" applyAlignment="1">
      <alignment horizontal="left" vertical="center" indent="2"/>
    </xf>
    <xf numFmtId="0" fontId="7" fillId="0" borderId="33" xfId="0" applyFont="1" applyBorder="1"/>
    <xf numFmtId="0" fontId="11" fillId="0" borderId="34" xfId="0" applyFont="1" applyBorder="1" applyAlignment="1">
      <alignment horizontal="left" vertical="center" indent="1"/>
    </xf>
    <xf numFmtId="165" fontId="7" fillId="0" borderId="35" xfId="0" applyNumberFormat="1" applyFont="1" applyBorder="1" applyAlignment="1">
      <alignment horizontal="center" vertical="center" wrapText="1"/>
    </xf>
    <xf numFmtId="165" fontId="7" fillId="0" borderId="36" xfId="0" applyNumberFormat="1" applyFont="1" applyBorder="1" applyAlignment="1">
      <alignment horizontal="center" vertical="center" wrapText="1"/>
    </xf>
    <xf numFmtId="0" fontId="10" fillId="0" borderId="37" xfId="0" applyFont="1" applyBorder="1" applyAlignment="1">
      <alignment horizontal="left" vertical="center"/>
    </xf>
    <xf numFmtId="0" fontId="7" fillId="0" borderId="0" xfId="0" applyFont="1" applyBorder="1"/>
    <xf numFmtId="165" fontId="9" fillId="0" borderId="0" xfId="0" applyNumberFormat="1" applyFont="1" applyBorder="1" applyAlignment="1">
      <alignment horizontal="center" vertical="center" wrapText="1"/>
    </xf>
    <xf numFmtId="165" fontId="9" fillId="0" borderId="38" xfId="0" applyNumberFormat="1" applyFont="1" applyBorder="1" applyAlignment="1">
      <alignment horizontal="center" vertical="center" wrapText="1"/>
    </xf>
    <xf numFmtId="0" fontId="11" fillId="0" borderId="39" xfId="0" applyFont="1" applyBorder="1" applyAlignment="1">
      <alignment horizontal="left" vertical="center" indent="2"/>
    </xf>
    <xf numFmtId="0" fontId="7" fillId="0" borderId="40" xfId="0" applyFont="1" applyBorder="1"/>
    <xf numFmtId="0" fontId="11" fillId="0" borderId="24" xfId="0" applyFont="1" applyBorder="1" applyAlignment="1">
      <alignment horizontal="left" vertical="center" indent="1"/>
    </xf>
    <xf numFmtId="165" fontId="7" fillId="0" borderId="41" xfId="0" applyNumberFormat="1" applyFont="1" applyBorder="1" applyAlignment="1">
      <alignment horizontal="center" vertical="center" wrapText="1"/>
    </xf>
    <xf numFmtId="165" fontId="7" fillId="0" borderId="42" xfId="0" applyNumberFormat="1" applyFont="1" applyBorder="1" applyAlignment="1">
      <alignment horizontal="center" vertical="center" wrapText="1"/>
    </xf>
    <xf numFmtId="0" fontId="10" fillId="0" borderId="43" xfId="0" applyFont="1" applyBorder="1" applyAlignment="1">
      <alignment horizontal="left" vertical="center"/>
    </xf>
    <xf numFmtId="0" fontId="7" fillId="0" borderId="44" xfId="0" applyFont="1" applyBorder="1"/>
    <xf numFmtId="0" fontId="10" fillId="0" borderId="45" xfId="0" applyFont="1" applyBorder="1" applyAlignment="1">
      <alignment horizontal="left" vertical="center"/>
    </xf>
    <xf numFmtId="165" fontId="9" fillId="0" borderId="44" xfId="0" applyNumberFormat="1" applyFont="1" applyBorder="1" applyAlignment="1">
      <alignment horizontal="center" vertical="center" wrapText="1"/>
    </xf>
    <xf numFmtId="165" fontId="9" fillId="0" borderId="46" xfId="0" applyNumberFormat="1" applyFont="1" applyBorder="1" applyAlignment="1">
      <alignment horizontal="center" vertical="center" wrapText="1"/>
    </xf>
    <xf numFmtId="2" fontId="30" fillId="0" borderId="0" xfId="2" applyNumberFormat="1" applyFont="1" applyBorder="1" applyAlignment="1">
      <alignment horizontal="center" vertical="center" wrapText="1"/>
    </xf>
    <xf numFmtId="1" fontId="33" fillId="0" borderId="25" xfId="2" applyNumberFormat="1" applyFont="1" applyBorder="1" applyAlignment="1">
      <alignment horizontal="center" vertical="center" wrapText="1"/>
    </xf>
  </cellXfs>
  <cellStyles count="4">
    <cellStyle name="Hiperlink" xfId="1" builtinId="8"/>
    <cellStyle name="Normal" xfId="0" builtinId="0"/>
    <cellStyle name="Porcentagem" xfId="3" builtinId="5"/>
    <cellStyle name="Vírgula" xfId="2" builtinId="3"/>
  </cellStyles>
  <dxfs count="0"/>
  <tableStyles count="0" defaultTableStyle="TableStyleMedium2" defaultPivotStyle="PivotStyleLight16"/>
  <colors>
    <mruColors>
      <color rgb="FFFF7700"/>
      <color rgb="FFEA7423"/>
      <color rgb="FFED77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4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1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#Sum&#225;rio!A1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3.png"/><Relationship Id="rId5" Type="http://schemas.openxmlformats.org/officeDocument/2006/relationships/hyperlink" Target="#Disclaimer!A1"/><Relationship Id="rId4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7" Type="http://schemas.openxmlformats.org/officeDocument/2006/relationships/image" Target="../media/image2.png"/><Relationship Id="rId2" Type="http://schemas.openxmlformats.org/officeDocument/2006/relationships/hyperlink" Target="https://ri.tegma.com.br/informacoes-financeiras/historico-de-resultados/" TargetMode="External"/><Relationship Id="rId1" Type="http://schemas.openxmlformats.org/officeDocument/2006/relationships/image" Target="../media/image4.png"/><Relationship Id="rId6" Type="http://schemas.openxmlformats.org/officeDocument/2006/relationships/hyperlink" Target="#Capa!A1"/><Relationship Id="rId5" Type="http://schemas.openxmlformats.org/officeDocument/2006/relationships/image" Target="../media/image3.png"/><Relationship Id="rId4" Type="http://schemas.openxmlformats.org/officeDocument/2006/relationships/hyperlink" Target="#Sum&#225;rio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7" Type="http://schemas.openxmlformats.org/officeDocument/2006/relationships/image" Target="../media/image2.png"/><Relationship Id="rId2" Type="http://schemas.openxmlformats.org/officeDocument/2006/relationships/image" Target="../media/image6.png"/><Relationship Id="rId1" Type="http://schemas.openxmlformats.org/officeDocument/2006/relationships/image" Target="../media/image4.png"/><Relationship Id="rId6" Type="http://schemas.openxmlformats.org/officeDocument/2006/relationships/hyperlink" Target="#Disclaimer!A1"/><Relationship Id="rId5" Type="http://schemas.openxmlformats.org/officeDocument/2006/relationships/image" Target="../media/image3.png"/><Relationship Id="rId4" Type="http://schemas.openxmlformats.org/officeDocument/2006/relationships/hyperlink" Target="#'Sobre a Tegma'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9.png"/><Relationship Id="rId7" Type="http://schemas.openxmlformats.org/officeDocument/2006/relationships/image" Target="../media/image10.png"/><Relationship Id="rId2" Type="http://schemas.openxmlformats.org/officeDocument/2006/relationships/image" Target="../media/image8.jpeg"/><Relationship Id="rId1" Type="http://schemas.openxmlformats.org/officeDocument/2006/relationships/image" Target="../media/image4.png"/><Relationship Id="rId6" Type="http://schemas.openxmlformats.org/officeDocument/2006/relationships/hyperlink" Target="#Sum&#225;rio!A1"/><Relationship Id="rId5" Type="http://schemas.openxmlformats.org/officeDocument/2006/relationships/image" Target="../media/image3.png"/><Relationship Id="rId4" Type="http://schemas.openxmlformats.org/officeDocument/2006/relationships/hyperlink" Target="#'Res Auto'!A1"/></Relationships>
</file>

<file path=xl/drawings/_rels/drawing5.xml.rels><?xml version="1.0" encoding="UTF-8" standalone="yes"?>
<Relationships xmlns="http://schemas.openxmlformats.org/package/2006/relationships"><Relationship Id="rId8" Type="http://schemas.microsoft.com/office/2007/relationships/hdphoto" Target="../media/hdphoto2.wdp"/><Relationship Id="rId3" Type="http://schemas.openxmlformats.org/officeDocument/2006/relationships/image" Target="../media/image11.jpeg"/><Relationship Id="rId7" Type="http://schemas.openxmlformats.org/officeDocument/2006/relationships/image" Target="../media/image12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Sobre a Tegma'!A1"/><Relationship Id="rId5" Type="http://schemas.openxmlformats.org/officeDocument/2006/relationships/image" Target="../media/image3.png"/><Relationship Id="rId10" Type="http://schemas.openxmlformats.org/officeDocument/2006/relationships/image" Target="../media/image2.png"/><Relationship Id="rId4" Type="http://schemas.openxmlformats.org/officeDocument/2006/relationships/hyperlink" Target="#'Vol. ve&#237;culos transportados'!A1"/><Relationship Id="rId9" Type="http://schemas.openxmlformats.org/officeDocument/2006/relationships/hyperlink" Target="#Sum&#225;rio!A1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hyperlink" Target="#'Res Auto'!A1"/><Relationship Id="rId3" Type="http://schemas.openxmlformats.org/officeDocument/2006/relationships/image" Target="../media/image13.pn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Dist&#226;ncia m&#233;dia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hyperlink" Target="#Sum&#225;rio!A1"/><Relationship Id="rId3" Type="http://schemas.openxmlformats.org/officeDocument/2006/relationships/image" Target="../media/image14.png"/><Relationship Id="rId7" Type="http://schemas.openxmlformats.org/officeDocument/2006/relationships/hyperlink" Target="#'Vol. ve&#237;culos transportados'!A1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image" Target="../media/image3.png"/><Relationship Id="rId5" Type="http://schemas.openxmlformats.org/officeDocument/2006/relationships/hyperlink" Target="#'Ticket m&#233;dio'!A1"/><Relationship Id="rId4" Type="http://schemas.microsoft.com/office/2007/relationships/hdphoto" Target="../media/hdphoto3.wdp"/><Relationship Id="rId9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'Dist&#226;ncia m&#233;dia'!A1"/><Relationship Id="rId3" Type="http://schemas.openxmlformats.org/officeDocument/2006/relationships/image" Target="../media/image15.jpe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Custos e despesas - DLV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hyperlink" Target="#'Ticket m&#233;dio'!A1"/><Relationship Id="rId3" Type="http://schemas.openxmlformats.org/officeDocument/2006/relationships/image" Target="../media/image11.jpe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Resumo financeiro - DLV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#'Custos e despesas - DLV'!A1"/><Relationship Id="rId3" Type="http://schemas.openxmlformats.org/officeDocument/2006/relationships/image" Target="../media/image13.pn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Resumo financeiro - DLI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hyperlink" Target="#'Resumo financeiro - DLV'!A1"/><Relationship Id="rId3" Type="http://schemas.openxmlformats.org/officeDocument/2006/relationships/image" Target="../media/image16.jpe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Custos e Despesas - DLI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hyperlink" Target="#'Res Log. Int.'!A1"/><Relationship Id="rId3" Type="http://schemas.openxmlformats.org/officeDocument/2006/relationships/image" Target="../media/image17.jpe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Resumo financeiro - DLI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hyperlink" Target="#'Custos e Despesas - DLI'!A1"/><Relationship Id="rId3" Type="http://schemas.openxmlformats.org/officeDocument/2006/relationships/image" Target="../media/image18.jpe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Res Consolidados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3" Type="http://schemas.openxmlformats.org/officeDocument/2006/relationships/hyperlink" Target="#Sum&#225;rio!A1"/><Relationship Id="rId7" Type="http://schemas.openxmlformats.org/officeDocument/2006/relationships/hyperlink" Target="#'Resumo financeiro - DLI'!A1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image" Target="../media/image3.png"/><Relationship Id="rId5" Type="http://schemas.openxmlformats.org/officeDocument/2006/relationships/hyperlink" Target="#'Resultado financeiro'!A1"/><Relationship Id="rId10" Type="http://schemas.openxmlformats.org/officeDocument/2006/relationships/image" Target="../media/image21.png"/><Relationship Id="rId4" Type="http://schemas.openxmlformats.org/officeDocument/2006/relationships/image" Target="../media/image2.png"/><Relationship Id="rId9" Type="http://schemas.openxmlformats.org/officeDocument/2006/relationships/image" Target="../media/image20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hyperlink" Target="#'Res Consolidados'!A1"/><Relationship Id="rId3" Type="http://schemas.openxmlformats.org/officeDocument/2006/relationships/image" Target="../media/image22.pn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Equival&#234;ncia patrimonial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hyperlink" Target="#'Resultado financeiro'!A1"/><Relationship Id="rId3" Type="http://schemas.openxmlformats.org/officeDocument/2006/relationships/image" Target="../media/image23.png"/><Relationship Id="rId7" Type="http://schemas.openxmlformats.org/officeDocument/2006/relationships/image" Target="../media/image3.png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hyperlink" Target="#'IR e CSLL'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hyperlink" Target="#Sum&#225;rio!A1"/><Relationship Id="rId7" Type="http://schemas.openxmlformats.org/officeDocument/2006/relationships/hyperlink" Target="#'Equival&#234;ncia patrimonial'!A1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image" Target="../media/image3.png"/><Relationship Id="rId5" Type="http://schemas.openxmlformats.org/officeDocument/2006/relationships/hyperlink" Target="#'Balan&#231;o Patrimonial'!A1"/><Relationship Id="rId4" Type="http://schemas.openxmlformats.org/officeDocument/2006/relationships/image" Target="../media/image2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hyperlink" Target="#'IR e CSLL'!A1"/><Relationship Id="rId3" Type="http://schemas.openxmlformats.org/officeDocument/2006/relationships/image" Target="../media/image9.png"/><Relationship Id="rId7" Type="http://schemas.openxmlformats.org/officeDocument/2006/relationships/image" Target="../media/image3.png"/><Relationship Id="rId2" Type="http://schemas.openxmlformats.org/officeDocument/2006/relationships/image" Target="../media/image4.png"/><Relationship Id="rId1" Type="http://schemas.openxmlformats.org/officeDocument/2006/relationships/image" Target="../media/image25.png"/><Relationship Id="rId6" Type="http://schemas.openxmlformats.org/officeDocument/2006/relationships/hyperlink" Target="#CAPEX!A1"/><Relationship Id="rId5" Type="http://schemas.openxmlformats.org/officeDocument/2006/relationships/image" Target="../media/image2.png"/><Relationship Id="rId4" Type="http://schemas.openxmlformats.org/officeDocument/2006/relationships/hyperlink" Target="#Sum&#225;rio!A1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hyperlink" Target="#Sum&#225;rio!A1"/><Relationship Id="rId7" Type="http://schemas.openxmlformats.org/officeDocument/2006/relationships/hyperlink" Target="#'Balan&#231;o Patrimonial'!A1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image" Target="../media/image3.png"/><Relationship Id="rId5" Type="http://schemas.openxmlformats.org/officeDocument/2006/relationships/hyperlink" Target="#'Free cash flow to firm'!A1"/><Relationship Id="rId4" Type="http://schemas.openxmlformats.org/officeDocument/2006/relationships/image" Target="../media/image2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26.png"/><Relationship Id="rId7" Type="http://schemas.openxmlformats.org/officeDocument/2006/relationships/hyperlink" Target="#Sum&#225;rio!A1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image" Target="../media/image29.jpeg"/><Relationship Id="rId11" Type="http://schemas.openxmlformats.org/officeDocument/2006/relationships/hyperlink" Target="#CAPEX!A1"/><Relationship Id="rId5" Type="http://schemas.openxmlformats.org/officeDocument/2006/relationships/image" Target="../media/image28.png"/><Relationship Id="rId10" Type="http://schemas.openxmlformats.org/officeDocument/2006/relationships/image" Target="../media/image3.png"/><Relationship Id="rId4" Type="http://schemas.openxmlformats.org/officeDocument/2006/relationships/image" Target="../media/image27.png"/><Relationship Id="rId9" Type="http://schemas.openxmlformats.org/officeDocument/2006/relationships/hyperlink" Target="#'Dividendos e JSCP'!A1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3" Type="http://schemas.openxmlformats.org/officeDocument/2006/relationships/hyperlink" Target="#Sum&#225;rio!A1"/><Relationship Id="rId7" Type="http://schemas.openxmlformats.org/officeDocument/2006/relationships/hyperlink" Target="#'Free cash flow to firm'!A1"/><Relationship Id="rId2" Type="http://schemas.openxmlformats.org/officeDocument/2006/relationships/image" Target="../media/image9.png"/><Relationship Id="rId1" Type="http://schemas.openxmlformats.org/officeDocument/2006/relationships/image" Target="../media/image4.png"/><Relationship Id="rId6" Type="http://schemas.openxmlformats.org/officeDocument/2006/relationships/image" Target="../media/image3.png"/><Relationship Id="rId5" Type="http://schemas.openxmlformats.org/officeDocument/2006/relationships/hyperlink" Target="#Contatos!A1"/><Relationship Id="rId4" Type="http://schemas.openxmlformats.org/officeDocument/2006/relationships/image" Target="../media/image2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hyperlink" Target="#'Dividendos e JSCP'!A1"/><Relationship Id="rId2" Type="http://schemas.openxmlformats.org/officeDocument/2006/relationships/image" Target="../media/image2.png"/><Relationship Id="rId1" Type="http://schemas.openxmlformats.org/officeDocument/2006/relationships/hyperlink" Target="#Sum&#225;rio!A1"/><Relationship Id="rId5" Type="http://schemas.openxmlformats.org/officeDocument/2006/relationships/image" Target="../media/image31.png"/><Relationship Id="rId4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38100</xdr:rowOff>
    </xdr:from>
    <xdr:to>
      <xdr:col>10</xdr:col>
      <xdr:colOff>390525</xdr:colOff>
      <xdr:row>24</xdr:row>
      <xdr:rowOff>178173</xdr:rowOff>
    </xdr:to>
    <xdr:pic>
      <xdr:nvPicPr>
        <xdr:cNvPr id="2" name="Imagem 1" descr="Pessoas em uma praça&#10;&#10;Descrição gerada automaticament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54" r="18859"/>
        <a:stretch/>
      </xdr:blipFill>
      <xdr:spPr>
        <a:xfrm>
          <a:off x="38100" y="38100"/>
          <a:ext cx="6448425" cy="4712073"/>
        </a:xfrm>
        <a:prstGeom prst="rect">
          <a:avLst/>
        </a:prstGeom>
      </xdr:spPr>
    </xdr:pic>
    <xdr:clientData/>
  </xdr:twoCellAnchor>
  <xdr:twoCellAnchor>
    <xdr:from>
      <xdr:col>7</xdr:col>
      <xdr:colOff>164726</xdr:colOff>
      <xdr:row>16</xdr:row>
      <xdr:rowOff>165287</xdr:rowOff>
    </xdr:from>
    <xdr:to>
      <xdr:col>19</xdr:col>
      <xdr:colOff>560966</xdr:colOff>
      <xdr:row>24</xdr:row>
      <xdr:rowOff>153857</xdr:rowOff>
    </xdr:to>
    <xdr:sp macro="" textlink="">
      <xdr:nvSpPr>
        <xdr:cNvPr id="7" name="Retângulo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4431926" y="3222812"/>
          <a:ext cx="7711440" cy="1512570"/>
        </a:xfrm>
        <a:prstGeom prst="rect">
          <a:avLst/>
        </a:prstGeom>
        <a:solidFill>
          <a:srgbClr val="EA7423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pt-BR"/>
        </a:p>
      </xdr:txBody>
    </xdr:sp>
    <xdr:clientData/>
  </xdr:twoCellAnchor>
  <xdr:oneCellAnchor>
    <xdr:from>
      <xdr:col>10</xdr:col>
      <xdr:colOff>476250</xdr:colOff>
      <xdr:row>0</xdr:row>
      <xdr:rowOff>78441</xdr:rowOff>
    </xdr:from>
    <xdr:ext cx="5572686" cy="3176126"/>
    <xdr:sp macro="" textlink="">
      <xdr:nvSpPr>
        <xdr:cNvPr id="3" name="CaixaDeTexto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6572250" y="78441"/>
          <a:ext cx="5572686" cy="3176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>
            <a:spcAft>
              <a:spcPts val="0"/>
            </a:spcAft>
          </a:pPr>
          <a:r>
            <a:rPr lang="pt-BR" sz="6000" b="1">
              <a:effectLst/>
              <a:latin typeface="Gadugi" panose="020B0502040204020203" pitchFamily="34" charset="0"/>
              <a:ea typeface="Calibri" panose="020F0502020204030204" pitchFamily="34" charset="0"/>
            </a:rPr>
            <a:t>Tegma</a:t>
          </a:r>
          <a:r>
            <a:rPr lang="pt-BR" sz="6000">
              <a:effectLst/>
            </a:rPr>
            <a:t> </a:t>
          </a:r>
        </a:p>
        <a:p>
          <a:pPr algn="ctr">
            <a:spcAft>
              <a:spcPts val="0"/>
            </a:spcAft>
          </a:pPr>
          <a:r>
            <a:rPr lang="pt-BR" sz="6000" b="1">
              <a:solidFill>
                <a:srgbClr val="EA7423"/>
              </a:solidFill>
              <a:effectLst/>
              <a:latin typeface="Gadugi" panose="020B0502040204020203" pitchFamily="34" charset="0"/>
              <a:ea typeface="Calibri" panose="020F0502020204030204" pitchFamily="34" charset="0"/>
            </a:rPr>
            <a:t>Gestão Logística SA</a:t>
          </a:r>
          <a:endParaRPr lang="pt-BR" sz="6000">
            <a:solidFill>
              <a:srgbClr val="EA7423"/>
            </a:solidFill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</xdr:txBody>
    </xdr:sp>
    <xdr:clientData/>
  </xdr:oneCellAnchor>
  <xdr:oneCellAnchor>
    <xdr:from>
      <xdr:col>7</xdr:col>
      <xdr:colOff>232153</xdr:colOff>
      <xdr:row>16</xdr:row>
      <xdr:rowOff>136096</xdr:rowOff>
    </xdr:from>
    <xdr:ext cx="5743944" cy="1143518"/>
    <xdr:sp macro="" textlink="">
      <xdr:nvSpPr>
        <xdr:cNvPr id="9" name="CaixaDeTexto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/>
      </xdr:nvSpPr>
      <xdr:spPr>
        <a:xfrm>
          <a:off x="4475108" y="3104927"/>
          <a:ext cx="5743944" cy="114351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>
            <a:lnSpc>
              <a:spcPct val="115000"/>
            </a:lnSpc>
            <a:spcAft>
              <a:spcPts val="0"/>
            </a:spcAft>
          </a:pPr>
          <a:r>
            <a:rPr lang="pt-BR" sz="2800" b="1">
              <a:solidFill>
                <a:srgbClr val="FFFFFF"/>
              </a:solidFill>
              <a:effectLst/>
              <a:latin typeface="Gadugi" panose="020B0502040204020203" pitchFamily="34" charset="0"/>
              <a:ea typeface="Calibri" panose="020F0502020204030204" pitchFamily="34" charset="0"/>
            </a:rPr>
            <a:t>Guia de Premissas para Valuation</a:t>
          </a:r>
          <a:endParaRPr lang="pt-BR" sz="18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>
            <a:lnSpc>
              <a:spcPct val="115000"/>
            </a:lnSpc>
            <a:spcAft>
              <a:spcPts val="0"/>
            </a:spcAft>
          </a:pPr>
          <a:r>
            <a:rPr lang="pt-BR" sz="2800" b="1">
              <a:effectLst/>
              <a:latin typeface="Gadugi" panose="020B0502040204020203" pitchFamily="34" charset="0"/>
              <a:ea typeface="Calibri" panose="020F0502020204030204" pitchFamily="34" charset="0"/>
            </a:rPr>
            <a:t>Março/2025</a:t>
          </a:r>
          <a:endParaRPr lang="pt-BR" sz="18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</xdr:txBody>
    </xdr:sp>
    <xdr:clientData/>
  </xdr:oneCellAnchor>
  <xdr:twoCellAnchor editAs="oneCell">
    <xdr:from>
      <xdr:col>18</xdr:col>
      <xdr:colOff>149204</xdr:colOff>
      <xdr:row>0</xdr:row>
      <xdr:rowOff>180976</xdr:rowOff>
    </xdr:from>
    <xdr:to>
      <xdr:col>18</xdr:col>
      <xdr:colOff>552449</xdr:colOff>
      <xdr:row>3</xdr:row>
      <xdr:rowOff>66676</xdr:rowOff>
    </xdr:to>
    <xdr:pic>
      <xdr:nvPicPr>
        <xdr:cNvPr id="6" name="Imagem 5" descr="https://cdn-icons-png.flaticon.com/512/1946/1946488.png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2004" y="180976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265872</xdr:colOff>
      <xdr:row>20</xdr:row>
      <xdr:rowOff>109538</xdr:rowOff>
    </xdr:from>
    <xdr:to>
      <xdr:col>18</xdr:col>
      <xdr:colOff>571500</xdr:colOff>
      <xdr:row>22</xdr:row>
      <xdr:rowOff>128588</xdr:rowOff>
    </xdr:to>
    <xdr:pic>
      <xdr:nvPicPr>
        <xdr:cNvPr id="8" name="Imagem 7" descr="https://cdn-icons-png.flaticon.com/512/591/591855.png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38672" y="3929063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3</xdr:row>
      <xdr:rowOff>66674</xdr:rowOff>
    </xdr:from>
    <xdr:to>
      <xdr:col>19</xdr:col>
      <xdr:colOff>228600</xdr:colOff>
      <xdr:row>4</xdr:row>
      <xdr:rowOff>152399</xdr:rowOff>
    </xdr:to>
    <xdr:sp macro="" textlink="">
      <xdr:nvSpPr>
        <xdr:cNvPr id="4" name="CaixaDeText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1010900" y="6476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>
    <xdr:from>
      <xdr:col>18</xdr:col>
      <xdr:colOff>74220</xdr:colOff>
      <xdr:row>22</xdr:row>
      <xdr:rowOff>100012</xdr:rowOff>
    </xdr:from>
    <xdr:to>
      <xdr:col>19</xdr:col>
      <xdr:colOff>333375</xdr:colOff>
      <xdr:row>23</xdr:row>
      <xdr:rowOff>148441</xdr:rowOff>
    </xdr:to>
    <xdr:sp macro="" textlink="">
      <xdr:nvSpPr>
        <xdr:cNvPr id="11" name="CaixaDeTexto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/>
      </xdr:nvSpPr>
      <xdr:spPr>
        <a:xfrm>
          <a:off x="10984675" y="4182155"/>
          <a:ext cx="865291" cy="23398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28600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1</xdr:row>
      <xdr:rowOff>66675</xdr:rowOff>
    </xdr:from>
    <xdr:to>
      <xdr:col>16</xdr:col>
      <xdr:colOff>255742</xdr:colOff>
      <xdr:row>3</xdr:row>
      <xdr:rowOff>38100</xdr:rowOff>
    </xdr:to>
    <xdr:sp macro="" textlink="">
      <xdr:nvSpPr>
        <xdr:cNvPr id="7" name="Título 1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 txBox="1">
          <a:spLocks/>
        </xdr:cNvSpPr>
      </xdr:nvSpPr>
      <xdr:spPr>
        <a:xfrm>
          <a:off x="1362075" y="266700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Disclaimer</a:t>
          </a:r>
        </a:p>
      </xdr:txBody>
    </xdr:sp>
    <xdr:clientData/>
  </xdr:twoCellAnchor>
  <xdr:oneCellAnchor>
    <xdr:from>
      <xdr:col>0</xdr:col>
      <xdr:colOff>428623</xdr:colOff>
      <xdr:row>3</xdr:row>
      <xdr:rowOff>59951</xdr:rowOff>
    </xdr:from>
    <xdr:ext cx="8863543" cy="2338141"/>
    <xdr:sp macro="" textlink="">
      <xdr:nvSpPr>
        <xdr:cNvPr id="8" name="CaixaDeTexto 7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/>
      </xdr:nvSpPr>
      <xdr:spPr>
        <a:xfrm>
          <a:off x="428623" y="617340"/>
          <a:ext cx="8863543" cy="2338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"</a:t>
          </a:r>
          <a:r>
            <a:rPr lang="pt-BR" sz="1600" i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Esse documento não deve ser considerado como uma orientação de como a companhia irá se comportar no futuro, mas somente o padrão de como se comportou no passado para ajudar analistas e investidores (as) a realizar suas projeções.</a:t>
          </a:r>
        </a:p>
        <a:p>
          <a:pPr>
            <a:spcBef>
              <a:spcPts val="600"/>
            </a:spcBef>
          </a:pPr>
          <a:r>
            <a:rPr lang="pt-BR" sz="1600" i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desempenho passado não deve ser considerado uma indicação ou garantia de desempenho futuro e nenhuma representação ou garantia, expressa ou implícita, é feita em relação ao desempenho futuro.</a:t>
          </a: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"</a:t>
          </a:r>
        </a:p>
        <a:p>
          <a:pPr>
            <a:spcBef>
              <a:spcPts val="600"/>
            </a:spcBef>
          </a:pP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arquivo Série histórica, clicando </a:t>
          </a:r>
          <a:r>
            <a:rPr lang="pt-BR" sz="1600" u="heavy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  <a:hlinkClick xmlns:r="http://schemas.openxmlformats.org/officeDocument/2006/relationships" r:id=""/>
            </a:rPr>
            <a:t>aqui</a:t>
          </a: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, pode servir de base para o </a:t>
          </a:r>
          <a:r>
            <a:rPr lang="pt-BR" sz="1600" i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valuation</a:t>
          </a: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  <a:endParaRPr lang="pt-BR" sz="1600">
            <a:latin typeface="Montserrat" panose="00000500000000000000" pitchFamily="2" charset="0"/>
          </a:endParaRPr>
        </a:p>
      </xdr:txBody>
    </xdr:sp>
    <xdr:clientData/>
  </xdr:oneCellAnchor>
  <xdr:twoCellAnchor editAs="oneCell">
    <xdr:from>
      <xdr:col>0</xdr:col>
      <xdr:colOff>40821</xdr:colOff>
      <xdr:row>15</xdr:row>
      <xdr:rowOff>82933</xdr:rowOff>
    </xdr:from>
    <xdr:to>
      <xdr:col>19</xdr:col>
      <xdr:colOff>560999</xdr:colOff>
      <xdr:row>24</xdr:row>
      <xdr:rowOff>163287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182"/>
        <a:stretch/>
      </xdr:blipFill>
      <xdr:spPr>
        <a:xfrm>
          <a:off x="40821" y="2994862"/>
          <a:ext cx="12154285" cy="1794854"/>
        </a:xfrm>
        <a:prstGeom prst="rect">
          <a:avLst/>
        </a:prstGeom>
      </xdr:spPr>
    </xdr:pic>
    <xdr:clientData/>
  </xdr:twoCellAnchor>
  <xdr:twoCellAnchor>
    <xdr:from>
      <xdr:col>0</xdr:col>
      <xdr:colOff>63953</xdr:colOff>
      <xdr:row>15</xdr:row>
      <xdr:rowOff>87085</xdr:rowOff>
    </xdr:from>
    <xdr:to>
      <xdr:col>19</xdr:col>
      <xdr:colOff>581025</xdr:colOff>
      <xdr:row>24</xdr:row>
      <xdr:rowOff>168985</xdr:rowOff>
    </xdr:to>
    <xdr:sp macro="" textlink="">
      <xdr:nvSpPr>
        <xdr:cNvPr id="14" name="Retângulo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/>
      </xdr:nvSpPr>
      <xdr:spPr>
        <a:xfrm>
          <a:off x="63953" y="2982685"/>
          <a:ext cx="12099472" cy="1796400"/>
        </a:xfrm>
        <a:prstGeom prst="rect">
          <a:avLst/>
        </a:prstGeom>
        <a:solidFill>
          <a:srgbClr val="00205B">
            <a:alpha val="27843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pt-BR" sz="1800" b="0" i="0" u="none" strike="noStrike" kern="1200" cap="none" spc="0" normalizeH="0" baseline="0">
            <a:ln>
              <a:noFill/>
            </a:ln>
            <a:solidFill>
              <a:prstClr val="white"/>
            </a:solidFill>
            <a:effectLst/>
            <a:uLnTx/>
            <a:uFillTx/>
            <a:latin typeface="Montserrat Medium" pitchFamily="2" charset="77"/>
          </a:endParaRPr>
        </a:p>
      </xdr:txBody>
    </xdr:sp>
    <xdr:clientData/>
  </xdr:twoCellAnchor>
  <xdr:twoCellAnchor editAs="oneCell">
    <xdr:from>
      <xdr:col>18</xdr:col>
      <xdr:colOff>484947</xdr:colOff>
      <xdr:row>21</xdr:row>
      <xdr:rowOff>9525</xdr:rowOff>
    </xdr:from>
    <xdr:to>
      <xdr:col>19</xdr:col>
      <xdr:colOff>180975</xdr:colOff>
      <xdr:row>23</xdr:row>
      <xdr:rowOff>28575</xdr:rowOff>
    </xdr:to>
    <xdr:pic>
      <xdr:nvPicPr>
        <xdr:cNvPr id="12" name="Imagem 11" descr="https://cdn-icons-png.flaticon.com/512/591/591855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7747" y="40481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542097</xdr:colOff>
      <xdr:row>21</xdr:row>
      <xdr:rowOff>9525</xdr:rowOff>
    </xdr:from>
    <xdr:to>
      <xdr:col>18</xdr:col>
      <xdr:colOff>238125</xdr:colOff>
      <xdr:row>23</xdr:row>
      <xdr:rowOff>28575</xdr:rowOff>
    </xdr:to>
    <xdr:pic>
      <xdr:nvPicPr>
        <xdr:cNvPr id="15" name="Imagem 14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905297" y="40481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361950</xdr:colOff>
      <xdr:row>22</xdr:row>
      <xdr:rowOff>190499</xdr:rowOff>
    </xdr:from>
    <xdr:to>
      <xdr:col>19</xdr:col>
      <xdr:colOff>552450</xdr:colOff>
      <xdr:row>24</xdr:row>
      <xdr:rowOff>85724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 txBox="1"/>
      </xdr:nvSpPr>
      <xdr:spPr>
        <a:xfrm>
          <a:off x="11334750" y="44195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218723</xdr:colOff>
      <xdr:row>23</xdr:row>
      <xdr:rowOff>704</xdr:rowOff>
    </xdr:from>
    <xdr:to>
      <xdr:col>18</xdr:col>
      <xdr:colOff>438150</xdr:colOff>
      <xdr:row>24</xdr:row>
      <xdr:rowOff>49389</xdr:rowOff>
    </xdr:to>
    <xdr:sp macro="" textlink="">
      <xdr:nvSpPr>
        <xdr:cNvPr id="17" name="CaixaDeTexto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 txBox="1"/>
      </xdr:nvSpPr>
      <xdr:spPr>
        <a:xfrm>
          <a:off x="11133667" y="4262260"/>
          <a:ext cx="861483" cy="2321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18</xdr:col>
      <xdr:colOff>253979</xdr:colOff>
      <xdr:row>1</xdr:row>
      <xdr:rowOff>57150</xdr:rowOff>
    </xdr:from>
    <xdr:to>
      <xdr:col>19</xdr:col>
      <xdr:colOff>47624</xdr:colOff>
      <xdr:row>3</xdr:row>
      <xdr:rowOff>133350</xdr:rowOff>
    </xdr:to>
    <xdr:pic>
      <xdr:nvPicPr>
        <xdr:cNvPr id="18" name="Imagem 17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26779" y="257175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142875</xdr:colOff>
      <xdr:row>3</xdr:row>
      <xdr:rowOff>142873</xdr:rowOff>
    </xdr:from>
    <xdr:to>
      <xdr:col>19</xdr:col>
      <xdr:colOff>333375</xdr:colOff>
      <xdr:row>5</xdr:row>
      <xdr:rowOff>38098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 txBox="1"/>
      </xdr:nvSpPr>
      <xdr:spPr>
        <a:xfrm>
          <a:off x="11115675" y="723898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323851</xdr:colOff>
      <xdr:row>0</xdr:row>
      <xdr:rowOff>38100</xdr:rowOff>
    </xdr:from>
    <xdr:to>
      <xdr:col>19</xdr:col>
      <xdr:colOff>581025</xdr:colOff>
      <xdr:row>24</xdr:row>
      <xdr:rowOff>180660</xdr:rowOff>
    </xdr:to>
    <xdr:sp macro="" textlink="">
      <xdr:nvSpPr>
        <xdr:cNvPr id="17" name="Retângulo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/>
      </xdr:nvSpPr>
      <xdr:spPr>
        <a:xfrm>
          <a:off x="8248651" y="38100"/>
          <a:ext cx="3914774" cy="4724085"/>
        </a:xfrm>
        <a:prstGeom prst="rect">
          <a:avLst/>
        </a:prstGeom>
        <a:solidFill>
          <a:srgbClr val="EA7423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pt-BR" sz="1800" b="0" i="0" u="none" strike="noStrike" kern="1200" cap="none" spc="0" normalizeH="0" baseline="0">
            <a:ln>
              <a:noFill/>
            </a:ln>
            <a:solidFill>
              <a:prstClr val="white"/>
            </a:solidFill>
            <a:effectLst/>
            <a:uLnTx/>
            <a:uFillTx/>
            <a:latin typeface="Montserrat Medium" pitchFamily="2" charset="77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28600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1</xdr:row>
      <xdr:rowOff>66675</xdr:rowOff>
    </xdr:from>
    <xdr:to>
      <xdr:col>16</xdr:col>
      <xdr:colOff>255742</xdr:colOff>
      <xdr:row>3</xdr:row>
      <xdr:rowOff>38100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/>
        </xdr:cNvSpPr>
      </xdr:nvSpPr>
      <xdr:spPr>
        <a:xfrm>
          <a:off x="1362075" y="266700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Sumário</a:t>
          </a:r>
        </a:p>
      </xdr:txBody>
    </xdr:sp>
    <xdr:clientData/>
  </xdr:twoCellAnchor>
  <xdr:twoCellAnchor editAs="oneCell">
    <xdr:from>
      <xdr:col>8</xdr:col>
      <xdr:colOff>533400</xdr:colOff>
      <xdr:row>5</xdr:row>
      <xdr:rowOff>28575</xdr:rowOff>
    </xdr:from>
    <xdr:to>
      <xdr:col>19</xdr:col>
      <xdr:colOff>569730</xdr:colOff>
      <xdr:row>24</xdr:row>
      <xdr:rowOff>180975</xdr:rowOff>
    </xdr:to>
    <xdr:pic>
      <xdr:nvPicPr>
        <xdr:cNvPr id="16" name="Imagem 15" descr="Caminhão de lixo&#10;&#10;Descrição gerada automaticamente com confiança média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10200" y="990600"/>
          <a:ext cx="6741930" cy="3771900"/>
        </a:xfrm>
        <a:prstGeom prst="rect">
          <a:avLst/>
        </a:prstGeom>
      </xdr:spPr>
    </xdr:pic>
    <xdr:clientData/>
  </xdr:twoCellAnchor>
  <xdr:twoCellAnchor editAs="oneCell">
    <xdr:from>
      <xdr:col>18</xdr:col>
      <xdr:colOff>581025</xdr:colOff>
      <xdr:row>0</xdr:row>
      <xdr:rowOff>95250</xdr:rowOff>
    </xdr:from>
    <xdr:to>
      <xdr:col>19</xdr:col>
      <xdr:colOff>559603</xdr:colOff>
      <xdr:row>1</xdr:row>
      <xdr:rowOff>145950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53825" y="95250"/>
          <a:ext cx="588178" cy="241200"/>
        </a:xfrm>
        <a:prstGeom prst="rect">
          <a:avLst/>
        </a:prstGeom>
      </xdr:spPr>
    </xdr:pic>
    <xdr:clientData/>
  </xdr:twoCellAnchor>
  <xdr:twoCellAnchor editAs="oneCell">
    <xdr:from>
      <xdr:col>18</xdr:col>
      <xdr:colOff>484947</xdr:colOff>
      <xdr:row>21</xdr:row>
      <xdr:rowOff>104775</xdr:rowOff>
    </xdr:from>
    <xdr:to>
      <xdr:col>19</xdr:col>
      <xdr:colOff>180975</xdr:colOff>
      <xdr:row>23</xdr:row>
      <xdr:rowOff>123825</xdr:rowOff>
    </xdr:to>
    <xdr:pic>
      <xdr:nvPicPr>
        <xdr:cNvPr id="10" name="Imagem 9" descr="https://cdn-icons-png.flaticon.com/512/591/591855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7747" y="41148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542097</xdr:colOff>
      <xdr:row>21</xdr:row>
      <xdr:rowOff>104775</xdr:rowOff>
    </xdr:from>
    <xdr:to>
      <xdr:col>18</xdr:col>
      <xdr:colOff>238125</xdr:colOff>
      <xdr:row>23</xdr:row>
      <xdr:rowOff>123825</xdr:rowOff>
    </xdr:to>
    <xdr:pic>
      <xdr:nvPicPr>
        <xdr:cNvPr id="11" name="Imagem 10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905297" y="41148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361950</xdr:colOff>
      <xdr:row>23</xdr:row>
      <xdr:rowOff>95249</xdr:rowOff>
    </xdr:from>
    <xdr:to>
      <xdr:col>19</xdr:col>
      <xdr:colOff>552450</xdr:colOff>
      <xdr:row>24</xdr:row>
      <xdr:rowOff>180974</xdr:rowOff>
    </xdr:to>
    <xdr:sp macro="" textlink="">
      <xdr:nvSpPr>
        <xdr:cNvPr id="12" name="CaixaDeTexto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/>
      </xdr:nvSpPr>
      <xdr:spPr>
        <a:xfrm>
          <a:off x="11334750" y="448627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218723</xdr:colOff>
      <xdr:row>23</xdr:row>
      <xdr:rowOff>91722</xdr:rowOff>
    </xdr:from>
    <xdr:to>
      <xdr:col>18</xdr:col>
      <xdr:colOff>438150</xdr:colOff>
      <xdr:row>24</xdr:row>
      <xdr:rowOff>180974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 txBox="1"/>
      </xdr:nvSpPr>
      <xdr:spPr>
        <a:xfrm>
          <a:off x="11133667" y="4473222"/>
          <a:ext cx="861483" cy="27975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18</xdr:col>
      <xdr:colOff>120629</xdr:colOff>
      <xdr:row>0</xdr:row>
      <xdr:rowOff>152400</xdr:rowOff>
    </xdr:from>
    <xdr:to>
      <xdr:col>18</xdr:col>
      <xdr:colOff>523874</xdr:colOff>
      <xdr:row>3</xdr:row>
      <xdr:rowOff>38100</xdr:rowOff>
    </xdr:to>
    <xdr:pic>
      <xdr:nvPicPr>
        <xdr:cNvPr id="14" name="Imagem 13" descr="https://cdn-icons-png.flaticon.com/512/1946/1946488.png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93429" y="152400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22412</xdr:colOff>
      <xdr:row>0</xdr:row>
      <xdr:rowOff>49306</xdr:rowOff>
    </xdr:from>
    <xdr:to>
      <xdr:col>19</xdr:col>
      <xdr:colOff>587187</xdr:colOff>
      <xdr:row>24</xdr:row>
      <xdr:rowOff>168088</xdr:rowOff>
    </xdr:to>
    <xdr:sp macro="" textlink="">
      <xdr:nvSpPr>
        <xdr:cNvPr id="8" name="Retângulo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SpPr/>
      </xdr:nvSpPr>
      <xdr:spPr>
        <a:xfrm>
          <a:off x="9776012" y="49306"/>
          <a:ext cx="2393575" cy="4700307"/>
        </a:xfrm>
        <a:prstGeom prst="rect">
          <a:avLst/>
        </a:prstGeom>
        <a:solidFill>
          <a:srgbClr val="76717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pt-BR" sz="1800" b="0" i="0" u="none" strike="noStrike" kern="1200" cap="none" spc="0" normalizeH="0" baseline="0">
            <a:ln>
              <a:noFill/>
            </a:ln>
            <a:solidFill>
              <a:prstClr val="white"/>
            </a:solidFill>
            <a:effectLst/>
            <a:uLnTx/>
            <a:uFillTx/>
            <a:latin typeface="Montserrat Medium" pitchFamily="2" charset="77"/>
          </a:endParaRPr>
        </a:p>
      </xdr:txBody>
    </xdr:sp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28600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1</xdr:row>
      <xdr:rowOff>66675</xdr:rowOff>
    </xdr:from>
    <xdr:to>
      <xdr:col>16</xdr:col>
      <xdr:colOff>255742</xdr:colOff>
      <xdr:row>3</xdr:row>
      <xdr:rowOff>38100</xdr:rowOff>
    </xdr:to>
    <xdr:sp macro="" textlink="">
      <xdr:nvSpPr>
        <xdr:cNvPr id="4" name="Título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>
          <a:spLocks/>
        </xdr:cNvSpPr>
      </xdr:nvSpPr>
      <xdr:spPr>
        <a:xfrm>
          <a:off x="1362075" y="266700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Sobre a Tegma</a:t>
          </a:r>
        </a:p>
      </xdr:txBody>
    </xdr:sp>
    <xdr:clientData/>
  </xdr:twoCellAnchor>
  <xdr:twoCellAnchor editAs="oneCell">
    <xdr:from>
      <xdr:col>13</xdr:col>
      <xdr:colOff>78442</xdr:colOff>
      <xdr:row>4</xdr:row>
      <xdr:rowOff>66677</xdr:rowOff>
    </xdr:from>
    <xdr:to>
      <xdr:col>18</xdr:col>
      <xdr:colOff>591762</xdr:colOff>
      <xdr:row>19</xdr:row>
      <xdr:rowOff>24781</xdr:rowOff>
    </xdr:to>
    <xdr:pic>
      <xdr:nvPicPr>
        <xdr:cNvPr id="7" name="Imagem 6" descr="Uma imagem contendo biblioteca, cena, armazém, quarto&#10;&#10;Descrição gerada automaticamente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1"/>
        <a:stretch/>
      </xdr:blipFill>
      <xdr:spPr>
        <a:xfrm>
          <a:off x="7944971" y="839883"/>
          <a:ext cx="3538909" cy="2815604"/>
        </a:xfrm>
        <a:prstGeom prst="rect">
          <a:avLst/>
        </a:prstGeom>
      </xdr:spPr>
    </xdr:pic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07587" y="82923"/>
          <a:ext cx="592228" cy="251696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3</xdr:row>
      <xdr:rowOff>100853</xdr:rowOff>
    </xdr:from>
    <xdr:ext cx="8226778" cy="3984360"/>
    <xdr:sp macro="" textlink="">
      <xdr:nvSpPr>
        <xdr:cNvPr id="10" name="CaixaDeTexto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 txBox="1"/>
      </xdr:nvSpPr>
      <xdr:spPr>
        <a:xfrm>
          <a:off x="0" y="672353"/>
          <a:ext cx="8226778" cy="39843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Tegma é uma operadora logística com atuação em todo o Brasil em serviços de transporte, armazenagem e gestão de cadeia de suprimentos para diversos setores da economia nacional.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empresa é dividida em duas divisões, a logística automotiva (que atualmente consiste somente na 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logística de veículos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) e na logística integrada. A logística de veículos é a operação principal da empresa, fundada em 1969 e consiste na logística de veículos zero-quilômetro desde as montadoras ou portos até concessionárias ou portos (veículos produzidos nacionalmente, 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importados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e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exportação), incluindo não somente o transporte, mas gestão de pátios, armazenagem, rastreamento e adequação para a venda (PDI – Pre delivery inspection).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logística integrada é dividida em duas operações: a 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logística industrial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 a 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armazenagem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A logística industrial consiste no serviço de administração de insumos entre fornecedores e as linhas de produção de fábricas químicas (principalmente fábricas de sabão em pó e vidreiras) e de eletrodomésticos. O serviço consiste na armazenagem e na expedição de granéis sólidos para a 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operação de químicos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ou na gestão de embalagens para manuseio de peças para a 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operação de eletrodomésticos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O serviço de armazenagem consiste na oferta de gestão de estoques, etiquetagem e montagem de kits para empresas de bens de consumo como as do ramo alimentícios e e-commerce.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empresa tem uma estratégia de negócio essencialmente </a:t>
          </a:r>
          <a:r>
            <a:rPr lang="pt-BR" sz="1200" b="1" i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asset light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, ou seja, pouco intensiva em capital, em razão de boa parte da frota utilizada para o transporte ser terceirizada e de seus armazéns e pátios serem majoritariamente alugados.</a:t>
          </a:r>
        </a:p>
      </xdr:txBody>
    </xdr:sp>
    <xdr:clientData/>
  </xdr:oneCellAnchor>
  <xdr:twoCellAnchor editAs="oneCell">
    <xdr:from>
      <xdr:col>18</xdr:col>
      <xdr:colOff>437322</xdr:colOff>
      <xdr:row>21</xdr:row>
      <xdr:rowOff>38100</xdr:rowOff>
    </xdr:from>
    <xdr:to>
      <xdr:col>19</xdr:col>
      <xdr:colOff>133350</xdr:colOff>
      <xdr:row>23</xdr:row>
      <xdr:rowOff>57150</xdr:rowOff>
    </xdr:to>
    <xdr:pic>
      <xdr:nvPicPr>
        <xdr:cNvPr id="17" name="Imagem 16" descr="https://cdn-icons-png.flaticon.com/512/591/591855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10122" y="40481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494472</xdr:colOff>
      <xdr:row>21</xdr:row>
      <xdr:rowOff>38100</xdr:rowOff>
    </xdr:from>
    <xdr:to>
      <xdr:col>18</xdr:col>
      <xdr:colOff>190500</xdr:colOff>
      <xdr:row>23</xdr:row>
      <xdr:rowOff>57150</xdr:rowOff>
    </xdr:to>
    <xdr:pic>
      <xdr:nvPicPr>
        <xdr:cNvPr id="18" name="Imagem 17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57672" y="40481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314325</xdr:colOff>
      <xdr:row>23</xdr:row>
      <xdr:rowOff>28574</xdr:rowOff>
    </xdr:from>
    <xdr:to>
      <xdr:col>19</xdr:col>
      <xdr:colOff>504825</xdr:colOff>
      <xdr:row>24</xdr:row>
      <xdr:rowOff>114299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SpPr txBox="1"/>
      </xdr:nvSpPr>
      <xdr:spPr>
        <a:xfrm>
          <a:off x="11287125" y="44195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155223</xdr:colOff>
      <xdr:row>23</xdr:row>
      <xdr:rowOff>35278</xdr:rowOff>
    </xdr:from>
    <xdr:to>
      <xdr:col>18</xdr:col>
      <xdr:colOff>390525</xdr:colOff>
      <xdr:row>24</xdr:row>
      <xdr:rowOff>121355</xdr:rowOff>
    </xdr:to>
    <xdr:sp macro="" textlink="">
      <xdr:nvSpPr>
        <xdr:cNvPr id="20" name="CaixaDeTexto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SpPr txBox="1"/>
      </xdr:nvSpPr>
      <xdr:spPr>
        <a:xfrm>
          <a:off x="11070167" y="4416778"/>
          <a:ext cx="877358" cy="2765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13</xdr:col>
      <xdr:colOff>180975</xdr:colOff>
      <xdr:row>18</xdr:row>
      <xdr:rowOff>184878</xdr:rowOff>
    </xdr:from>
    <xdr:to>
      <xdr:col>15</xdr:col>
      <xdr:colOff>523875</xdr:colOff>
      <xdr:row>24</xdr:row>
      <xdr:rowOff>104775</xdr:rowOff>
    </xdr:to>
    <xdr:pic>
      <xdr:nvPicPr>
        <xdr:cNvPr id="13" name="Imagem 12" descr="Imagem em preto e branco com texto preto sobre fundo branco&#10;&#10;Descrição gerada automaticamente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16468"/>
        <a:stretch/>
      </xdr:blipFill>
      <xdr:spPr>
        <a:xfrm>
          <a:off x="8105775" y="3623403"/>
          <a:ext cx="1562100" cy="1062897"/>
        </a:xfrm>
        <a:prstGeom prst="rect">
          <a:avLst/>
        </a:prstGeom>
      </xdr:spPr>
    </xdr:pic>
    <xdr:clientData/>
  </xdr:twoCellAnchor>
  <xdr:twoCellAnchor editAs="oneCell">
    <xdr:from>
      <xdr:col>17</xdr:col>
      <xdr:colOff>604723</xdr:colOff>
      <xdr:row>0</xdr:row>
      <xdr:rowOff>106456</xdr:rowOff>
    </xdr:from>
    <xdr:to>
      <xdr:col>18</xdr:col>
      <xdr:colOff>398368</xdr:colOff>
      <xdr:row>2</xdr:row>
      <xdr:rowOff>182656</xdr:rowOff>
    </xdr:to>
    <xdr:pic>
      <xdr:nvPicPr>
        <xdr:cNvPr id="15" name="Imagem 14" descr="https://cdn-icons-png.flaticon.com/512/1946/1946488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67923" y="106456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493619</xdr:colOff>
      <xdr:row>2</xdr:row>
      <xdr:rowOff>182654</xdr:rowOff>
    </xdr:from>
    <xdr:to>
      <xdr:col>19</xdr:col>
      <xdr:colOff>74519</xdr:colOff>
      <xdr:row>4</xdr:row>
      <xdr:rowOff>77879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SpPr txBox="1"/>
      </xdr:nvSpPr>
      <xdr:spPr>
        <a:xfrm>
          <a:off x="10856819" y="57317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28600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4" name="Título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/>
        </xdr:cNvSpPr>
      </xdr:nvSpPr>
      <xdr:spPr>
        <a:xfrm>
          <a:off x="1330698" y="273424"/>
          <a:ext cx="8584514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Automotiva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222516</xdr:colOff>
      <xdr:row>4</xdr:row>
      <xdr:rowOff>114460</xdr:rowOff>
    </xdr:from>
    <xdr:ext cx="6825983" cy="3310009"/>
    <xdr:sp macro="" textlink="">
      <xdr:nvSpPr>
        <xdr:cNvPr id="7" name="CaixaDeTexto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22516" y="876460"/>
          <a:ext cx="6825983" cy="331000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receita da Operação de Logística de Veículos depende principalmente do serviço de transporte de veículos</a:t>
          </a: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novos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, mas também do transporte de veículos usados, de gestão de pátios, armazenagem, PDI (</a:t>
          </a:r>
          <a:r>
            <a:rPr lang="pt-BR" sz="1400" i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Pre delivery inspection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)¹ e de transferências de veículos entre montadoras e pátios. </a:t>
          </a:r>
        </a:p>
        <a:p>
          <a:pPr>
            <a:spcBef>
              <a:spcPts val="600"/>
            </a:spcBef>
          </a:pP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</a:t>
          </a:r>
          <a:r>
            <a:rPr lang="pt-BR" sz="1400" b="1" u="sng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receita de transporte de veículos novos</a:t>
          </a:r>
          <a:r>
            <a:rPr lang="pt-BR" sz="1400" b="1" u="sng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(que é a grande parcela da receita da divisão), advém de uma tarifa cobrada por </a:t>
          </a:r>
          <a:r>
            <a:rPr lang="pt-BR" sz="1400" b="1" u="sng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quilometro percorrido 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por </a:t>
          </a:r>
          <a:r>
            <a:rPr lang="pt-BR" sz="1400" b="1" u="sng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cada veículo transportado 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 as receitas de PDI,</a:t>
          </a: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logística de veículos usados e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administração de pátios dependem da demanda dos clientes pelos serviços.</a:t>
          </a:r>
        </a:p>
        <a:p>
          <a:pPr>
            <a:spcBef>
              <a:spcPts val="600"/>
            </a:spcBef>
          </a:pP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Como a receita de transporte da operação de Logística de Veículos Novos corresponde à grande maioria da receita da divisão e as outras operações não têm parâmetros mensuráveis de sua receita, a sugestão é projetar somente a receita</a:t>
          </a: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de logística de veículos novos, conforme detalhado ao lado.</a:t>
          </a:r>
          <a:endParaRPr lang="pt-BR" sz="14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  <xdr:twoCellAnchor editAs="oneCell">
    <xdr:from>
      <xdr:col>16384</xdr:col>
      <xdr:colOff>298480</xdr:colOff>
      <xdr:row>0</xdr:row>
      <xdr:rowOff>170661</xdr:rowOff>
    </xdr:from>
    <xdr:to>
      <xdr:col>16384</xdr:col>
      <xdr:colOff>604958</xdr:colOff>
      <xdr:row>2</xdr:row>
      <xdr:rowOff>41357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28580" y="170661"/>
          <a:ext cx="592228" cy="251696"/>
        </a:xfrm>
        <a:prstGeom prst="rect">
          <a:avLst/>
        </a:prstGeom>
      </xdr:spPr>
    </xdr:pic>
    <xdr:clientData/>
  </xdr:twoCellAnchor>
  <xdr:oneCellAnchor>
    <xdr:from>
      <xdr:col>0</xdr:col>
      <xdr:colOff>68035</xdr:colOff>
      <xdr:row>22</xdr:row>
      <xdr:rowOff>53228</xdr:rowOff>
    </xdr:from>
    <xdr:ext cx="5637440" cy="342530"/>
    <xdr:sp macro="" textlink="">
      <xdr:nvSpPr>
        <xdr:cNvPr id="23" name="CaixaDeTexto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SpPr txBox="1"/>
      </xdr:nvSpPr>
      <xdr:spPr>
        <a:xfrm>
          <a:off x="68035" y="4253753"/>
          <a:ext cx="5637440" cy="3425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8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¹ Inspeção, preparação, instalação de componentes e tropicalização de veículos, que recebem etiquetas de instruções e manuais em português, além de todos os itens e acessórios exigidos pela legislação brasileira.</a:t>
          </a:r>
        </a:p>
      </xdr:txBody>
    </xdr:sp>
    <xdr:clientData/>
  </xdr:oneCellAnchor>
  <xdr:twoCellAnchor editAs="oneCell">
    <xdr:from>
      <xdr:col>16</xdr:col>
      <xdr:colOff>112055</xdr:colOff>
      <xdr:row>0</xdr:row>
      <xdr:rowOff>33619</xdr:rowOff>
    </xdr:from>
    <xdr:to>
      <xdr:col>19</xdr:col>
      <xdr:colOff>571496</xdr:colOff>
      <xdr:row>1048576</xdr:row>
      <xdr:rowOff>19050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52"/>
        <a:stretch/>
      </xdr:blipFill>
      <xdr:spPr>
        <a:xfrm>
          <a:off x="9793937" y="33619"/>
          <a:ext cx="2274794" cy="4751293"/>
        </a:xfrm>
        <a:prstGeom prst="rect">
          <a:avLst/>
        </a:prstGeom>
      </xdr:spPr>
    </xdr:pic>
    <xdr:clientData/>
  </xdr:twoCellAnchor>
  <xdr:twoCellAnchor>
    <xdr:from>
      <xdr:col>15</xdr:col>
      <xdr:colOff>392206</xdr:colOff>
      <xdr:row>0</xdr:row>
      <xdr:rowOff>0</xdr:rowOff>
    </xdr:from>
    <xdr:to>
      <xdr:col>19</xdr:col>
      <xdr:colOff>593910</xdr:colOff>
      <xdr:row>25</xdr:row>
      <xdr:rowOff>0</xdr:rowOff>
    </xdr:to>
    <xdr:grpSp>
      <xdr:nvGrpSpPr>
        <xdr:cNvPr id="28" name="Agrupar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GrpSpPr/>
      </xdr:nvGrpSpPr>
      <xdr:grpSpPr>
        <a:xfrm>
          <a:off x="9599706" y="0"/>
          <a:ext cx="2657037" cy="4762500"/>
          <a:chOff x="5507735" y="2613621"/>
          <a:chExt cx="905725" cy="1632502"/>
        </a:xfrm>
      </xdr:grpSpPr>
      <xdr:sp macro="" textlink="">
        <xdr:nvSpPr>
          <xdr:cNvPr id="29" name="Forma Livre: Forma 34">
            <a:extLst>
              <a:ext uri="{FF2B5EF4-FFF2-40B4-BE49-F238E27FC236}">
                <a16:creationId xmlns:a16="http://schemas.microsoft.com/office/drawing/2014/main" id="{00000000-0008-0000-0400-00001D000000}"/>
              </a:ext>
            </a:extLst>
          </xdr:cNvPr>
          <xdr:cNvSpPr/>
        </xdr:nvSpPr>
        <xdr:spPr>
          <a:xfrm>
            <a:off x="5507735" y="2613621"/>
            <a:ext cx="905725" cy="1569167"/>
          </a:xfrm>
          <a:custGeom>
            <a:avLst/>
            <a:gdLst>
              <a:gd name="connsiteX0" fmla="*/ 13463 w 1105698"/>
              <a:gd name="connsiteY0" fmla="*/ 1356408 h 1569167"/>
              <a:gd name="connsiteX1" fmla="*/ 132135 w 1105698"/>
              <a:gd name="connsiteY1" fmla="*/ 1569168 h 1569167"/>
              <a:gd name="connsiteX2" fmla="*/ 160663 w 1105698"/>
              <a:gd name="connsiteY2" fmla="*/ 833361 h 1569167"/>
              <a:gd name="connsiteX3" fmla="*/ 716999 w 1105698"/>
              <a:gd name="connsiteY3" fmla="*/ 223399 h 1569167"/>
              <a:gd name="connsiteX4" fmla="*/ 850349 w 1105698"/>
              <a:gd name="connsiteY4" fmla="*/ 384715 h 1569167"/>
              <a:gd name="connsiteX5" fmla="*/ 1104495 w 1105698"/>
              <a:gd name="connsiteY5" fmla="*/ 384191 h 1569167"/>
              <a:gd name="connsiteX6" fmla="*/ 817202 w 1105698"/>
              <a:gd name="connsiteY6" fmla="*/ 0 h 1569167"/>
              <a:gd name="connsiteX7" fmla="*/ 173359 w 1105698"/>
              <a:gd name="connsiteY7" fmla="*/ 553088 h 1569167"/>
              <a:gd name="connsiteX8" fmla="*/ 13463 w 1105698"/>
              <a:gd name="connsiteY8" fmla="*/ 1356408 h 156916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105698" h="1569167">
                <a:moveTo>
                  <a:pt x="13463" y="1356408"/>
                </a:moveTo>
                <a:cubicBezTo>
                  <a:pt x="35075" y="1474546"/>
                  <a:pt x="84005" y="1550013"/>
                  <a:pt x="132135" y="1569168"/>
                </a:cubicBezTo>
                <a:cubicBezTo>
                  <a:pt x="-329" y="1367247"/>
                  <a:pt x="75947" y="1042168"/>
                  <a:pt x="160663" y="833361"/>
                </a:cubicBezTo>
                <a:cubicBezTo>
                  <a:pt x="242444" y="631822"/>
                  <a:pt x="478359" y="244583"/>
                  <a:pt x="716999" y="223399"/>
                </a:cubicBezTo>
                <a:cubicBezTo>
                  <a:pt x="832432" y="217999"/>
                  <a:pt x="846777" y="293037"/>
                  <a:pt x="850349" y="384715"/>
                </a:cubicBezTo>
                <a:lnTo>
                  <a:pt x="1104495" y="384191"/>
                </a:lnTo>
                <a:cubicBezTo>
                  <a:pt x="1119240" y="225752"/>
                  <a:pt x="997101" y="-19"/>
                  <a:pt x="817202" y="0"/>
                </a:cubicBezTo>
                <a:cubicBezTo>
                  <a:pt x="524461" y="29"/>
                  <a:pt x="309176" y="313392"/>
                  <a:pt x="173359" y="553088"/>
                </a:cubicBezTo>
                <a:cubicBezTo>
                  <a:pt x="-30057" y="968016"/>
                  <a:pt x="-8149" y="1238269"/>
                  <a:pt x="13463" y="1356408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  <xdr:sp macro="" textlink="">
        <xdr:nvSpPr>
          <xdr:cNvPr id="30" name="Forma Livre: Forma 35">
            <a:extLst>
              <a:ext uri="{FF2B5EF4-FFF2-40B4-BE49-F238E27FC236}">
                <a16:creationId xmlns:a16="http://schemas.microsoft.com/office/drawing/2014/main" id="{00000000-0008-0000-0400-00001E000000}"/>
              </a:ext>
            </a:extLst>
          </xdr:cNvPr>
          <xdr:cNvSpPr/>
        </xdr:nvSpPr>
        <xdr:spPr>
          <a:xfrm>
            <a:off x="5716749" y="3161194"/>
            <a:ext cx="689802" cy="1084929"/>
          </a:xfrm>
          <a:custGeom>
            <a:avLst/>
            <a:gdLst>
              <a:gd name="connsiteX0" fmla="*/ 524446 w 826817"/>
              <a:gd name="connsiteY0" fmla="*/ 758504 h 1084929"/>
              <a:gd name="connsiteX1" fmla="*/ 826541 w 826817"/>
              <a:gd name="connsiteY1" fmla="*/ 9011 h 1084929"/>
              <a:gd name="connsiteX2" fmla="*/ 826817 w 826817"/>
              <a:gd name="connsiteY2" fmla="*/ 933 h 1084929"/>
              <a:gd name="connsiteX3" fmla="*/ 359168 w 826817"/>
              <a:gd name="connsiteY3" fmla="*/ 0 h 1084929"/>
              <a:gd name="connsiteX4" fmla="*/ 332851 w 826817"/>
              <a:gd name="connsiteY4" fmla="*/ 176098 h 1084929"/>
              <a:gd name="connsiteX5" fmla="*/ 485803 w 826817"/>
              <a:gd name="connsiteY5" fmla="*/ 139427 h 1084929"/>
              <a:gd name="connsiteX6" fmla="*/ 547040 w 826817"/>
              <a:gd name="connsiteY6" fmla="*/ 268938 h 1084929"/>
              <a:gd name="connsiteX7" fmla="*/ 234324 w 826817"/>
              <a:gd name="connsiteY7" fmla="*/ 958691 h 1084929"/>
              <a:gd name="connsiteX8" fmla="*/ 247 w 826817"/>
              <a:gd name="connsiteY8" fmla="*/ 1082307 h 1084929"/>
              <a:gd name="connsiteX9" fmla="*/ 524446 w 826817"/>
              <a:gd name="connsiteY9" fmla="*/ 758504 h 108492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826817" h="1084929">
                <a:moveTo>
                  <a:pt x="524446" y="758504"/>
                </a:moveTo>
                <a:cubicBezTo>
                  <a:pt x="667207" y="561232"/>
                  <a:pt x="815340" y="257461"/>
                  <a:pt x="826541" y="9011"/>
                </a:cubicBezTo>
                <a:cubicBezTo>
                  <a:pt x="826694" y="5753"/>
                  <a:pt x="826694" y="3267"/>
                  <a:pt x="826817" y="933"/>
                </a:cubicBezTo>
                <a:cubicBezTo>
                  <a:pt x="671112" y="1867"/>
                  <a:pt x="510749" y="476"/>
                  <a:pt x="359168" y="0"/>
                </a:cubicBezTo>
                <a:cubicBezTo>
                  <a:pt x="350882" y="59865"/>
                  <a:pt x="340842" y="116148"/>
                  <a:pt x="332851" y="176098"/>
                </a:cubicBezTo>
                <a:cubicBezTo>
                  <a:pt x="344471" y="177451"/>
                  <a:pt x="413585" y="128664"/>
                  <a:pt x="485803" y="139427"/>
                </a:cubicBezTo>
                <a:cubicBezTo>
                  <a:pt x="548106" y="148723"/>
                  <a:pt x="546878" y="226171"/>
                  <a:pt x="547040" y="268938"/>
                </a:cubicBezTo>
                <a:cubicBezTo>
                  <a:pt x="528847" y="632050"/>
                  <a:pt x="351567" y="862289"/>
                  <a:pt x="234324" y="958691"/>
                </a:cubicBezTo>
                <a:cubicBezTo>
                  <a:pt x="117100" y="1055084"/>
                  <a:pt x="-6268" y="1081297"/>
                  <a:pt x="247" y="1082307"/>
                </a:cubicBezTo>
                <a:cubicBezTo>
                  <a:pt x="177327" y="1109539"/>
                  <a:pt x="408022" y="919372"/>
                  <a:pt x="524446" y="758504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</xdr:grpSp>
    <xdr:clientData/>
  </xdr:twoCellAnchor>
  <xdr:twoCellAnchor>
    <xdr:from>
      <xdr:col>11</xdr:col>
      <xdr:colOff>437031</xdr:colOff>
      <xdr:row>0</xdr:row>
      <xdr:rowOff>47225</xdr:rowOff>
    </xdr:from>
    <xdr:to>
      <xdr:col>16</xdr:col>
      <xdr:colOff>108857</xdr:colOff>
      <xdr:row>24</xdr:row>
      <xdr:rowOff>181695</xdr:rowOff>
    </xdr:to>
    <xdr:sp macro="" textlink="">
      <xdr:nvSpPr>
        <xdr:cNvPr id="26" name="Retângulo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SpPr/>
      </xdr:nvSpPr>
      <xdr:spPr>
        <a:xfrm>
          <a:off x="7172567" y="47225"/>
          <a:ext cx="2733433" cy="4720077"/>
        </a:xfrm>
        <a:prstGeom prst="rect">
          <a:avLst/>
        </a:prstGeom>
        <a:solidFill>
          <a:srgbClr val="EA7423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pt-BR" sz="1800" b="0" i="0" u="none" strike="noStrike" kern="1200" cap="none" spc="0" normalizeH="0" baseline="0">
            <a:ln>
              <a:noFill/>
            </a:ln>
            <a:solidFill>
              <a:prstClr val="white"/>
            </a:solidFill>
            <a:effectLst/>
            <a:uLnTx/>
            <a:uFillTx/>
            <a:latin typeface="Montserrat Medium" pitchFamily="2" charset="77"/>
            <a:ea typeface="+mn-ea"/>
            <a:cs typeface="+mn-cs"/>
          </a:endParaRPr>
        </a:p>
      </xdr:txBody>
    </xdr:sp>
    <xdr:clientData/>
  </xdr:twoCellAnchor>
  <xdr:oneCellAnchor>
    <xdr:from>
      <xdr:col>11</xdr:col>
      <xdr:colOff>461842</xdr:colOff>
      <xdr:row>1</xdr:row>
      <xdr:rowOff>127267</xdr:rowOff>
    </xdr:from>
    <xdr:ext cx="2689412" cy="1499449"/>
    <xdr:sp macro="" textlink="">
      <xdr:nvSpPr>
        <xdr:cNvPr id="31" name="CaixaDeTexto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SpPr txBox="1"/>
      </xdr:nvSpPr>
      <xdr:spPr>
        <a:xfrm>
          <a:off x="7167442" y="327292"/>
          <a:ext cx="2689412" cy="14994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>
            <a:spcBef>
              <a:spcPts val="600"/>
            </a:spcBef>
          </a:pPr>
          <a:r>
            <a:rPr lang="pt-BR" sz="1800" i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Como calcular a receita de transporte da operação de Logística de Veículos Novos?</a:t>
          </a:r>
        </a:p>
      </xdr:txBody>
    </xdr:sp>
    <xdr:clientData/>
  </xdr:oneCellAnchor>
  <xdr:oneCellAnchor>
    <xdr:from>
      <xdr:col>11</xdr:col>
      <xdr:colOff>438151</xdr:colOff>
      <xdr:row>10</xdr:row>
      <xdr:rowOff>168649</xdr:rowOff>
    </xdr:from>
    <xdr:ext cx="2709902" cy="2165208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24" name="CaixaDeTexto 23">
              <a:extLst>
                <a:ext uri="{FF2B5EF4-FFF2-40B4-BE49-F238E27FC236}">
                  <a16:creationId xmlns:a16="http://schemas.microsoft.com/office/drawing/2014/main" id="{00000000-0008-0000-0400-000018000000}"/>
                </a:ext>
              </a:extLst>
            </xdr:cNvPr>
            <xdr:cNvSpPr txBox="1"/>
          </xdr:nvSpPr>
          <xdr:spPr>
            <a:xfrm>
              <a:off x="7143751" y="2083174"/>
              <a:ext cx="2709902" cy="216520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>
              <a:spAutoFit/>
            </a:bodyPr>
            <a:lstStyle/>
            <a:p>
              <a:pPr algn="ctr"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r>
                      <a:rPr lang="pt-BR" sz="1800" b="1" i="0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(</m:t>
                    </m:r>
                    <m:r>
                      <m:rPr>
                        <m:sty m:val="p"/>
                      </m:rPr>
                      <a:rPr lang="pt-BR" sz="1800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Quantidade</m:t>
                    </m:r>
                    <m:r>
                      <a:rPr lang="pt-BR" sz="1800" b="0" i="0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 </m:t>
                    </m:r>
                    <m:r>
                      <m:rPr>
                        <m:sty m:val="p"/>
                      </m:rPr>
                      <a:rPr lang="pt-BR" sz="1800" b="0" i="0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de</m:t>
                    </m:r>
                    <m:r>
                      <a:rPr lang="pt-BR" sz="1800" b="0" i="0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 </m:t>
                    </m:r>
                    <m:r>
                      <m:rPr>
                        <m:sty m:val="p"/>
                      </m:rPr>
                      <a:rPr lang="pt-BR" sz="1800" b="0" i="0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ve</m:t>
                    </m:r>
                    <m:r>
                      <a:rPr lang="pt-BR" sz="1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í</m:t>
                    </m:r>
                    <m:r>
                      <a:rPr lang="pt-BR" sz="1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𝑐𝑢𝑙𝑜𝑠</m:t>
                    </m:r>
                    <m:r>
                      <a:rPr lang="pt-BR" sz="1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 </m:t>
                    </m:r>
                  </m:oMath>
                </m:oMathPara>
              </a14:m>
              <a:endParaRPr lang="pt-BR" sz="1800" b="0" i="1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r>
                      <a:rPr lang="pt-BR" sz="1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𝑡𝑟𝑎𝑛𝑠𝑝𝑜𝑟𝑡𝑎𝑑𝑜𝑠</m:t>
                    </m:r>
                  </m:oMath>
                </m:oMathPara>
              </a14:m>
              <a:endParaRPr lang="pt-BR" sz="1800" b="0" i="1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r>
                      <a:rPr lang="pt-BR" sz="1800" b="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𝑥</m:t>
                    </m:r>
                  </m:oMath>
                </m:oMathPara>
              </a14:m>
              <a:endParaRPr lang="pt-BR" sz="1800" b="0" i="1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:r>
                <a:rPr lang="pt-BR" sz="1800">
                  <a:latin typeface="Cambria Math" panose="02040503050406030204" pitchFamily="18" charset="0"/>
                  <a:ea typeface="Cambria Math" panose="02040503050406030204" pitchFamily="18" charset="0"/>
                </a:rPr>
                <a:t>Distância média</a:t>
              </a:r>
              <a:r>
                <a:rPr lang="pt-BR" sz="1800" b="1">
                  <a:latin typeface="Cambria Math" panose="02040503050406030204" pitchFamily="18" charset="0"/>
                  <a:ea typeface="Cambria Math" panose="02040503050406030204" pitchFamily="18" charset="0"/>
                </a:rPr>
                <a:t>)</a:t>
              </a:r>
            </a:p>
            <a:p>
              <a:pPr algn="ctr"/>
              <a:r>
                <a:rPr lang="pt-BR" sz="1800">
                  <a:latin typeface="Cambria Math" panose="02040503050406030204" pitchFamily="18" charset="0"/>
                  <a:ea typeface="Cambria Math" panose="02040503050406030204" pitchFamily="18" charset="0"/>
                </a:rPr>
                <a:t>x</a:t>
              </a:r>
            </a:p>
            <a:p>
              <a:pPr algn="ctr"/>
              <a:r>
                <a:rPr lang="pt-BR" sz="1800">
                  <a:latin typeface="Cambria Math" panose="02040503050406030204" pitchFamily="18" charset="0"/>
                  <a:ea typeface="Cambria Math" panose="02040503050406030204" pitchFamily="18" charset="0"/>
                </a:rPr>
                <a:t>Tarifa de transporte</a:t>
              </a:r>
            </a:p>
            <a:p>
              <a:pPr algn="ctr"/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r>
                      <a:rPr lang="pt-BR" sz="1800" i="1">
                        <a:latin typeface="Cambria Math" panose="02040503050406030204" pitchFamily="18" charset="0"/>
                        <a:ea typeface="Cambria Math" panose="02040503050406030204" pitchFamily="18" charset="0"/>
                      </a:rPr>
                      <m:t>=</m:t>
                    </m:r>
                  </m:oMath>
                </m:oMathPara>
              </a14:m>
              <a:endParaRPr lang="pt-BR" sz="1800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:r>
                <a:rPr lang="pt-BR" sz="1800" b="1" u="sng">
                  <a:latin typeface="Cambria Math" panose="02040503050406030204" pitchFamily="18" charset="0"/>
                  <a:ea typeface="Cambria Math" panose="02040503050406030204" pitchFamily="18" charset="0"/>
                </a:rPr>
                <a:t>Receita bruta</a:t>
              </a:r>
            </a:p>
          </xdr:txBody>
        </xdr:sp>
      </mc:Choice>
      <mc:Fallback xmlns="">
        <xdr:sp macro="" textlink="">
          <xdr:nvSpPr>
            <xdr:cNvPr id="24" name="CaixaDeTexto 23"/>
            <xdr:cNvSpPr txBox="1"/>
          </xdr:nvSpPr>
          <xdr:spPr>
            <a:xfrm>
              <a:off x="7143751" y="2083174"/>
              <a:ext cx="2709902" cy="216520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lIns="0" tIns="0" rIns="0" bIns="0" rtlCol="0" anchor="ctr">
              <a:spAutoFit/>
            </a:bodyPr>
            <a:lstStyle/>
            <a:p>
              <a:pPr algn="ctr"/>
              <a:r>
                <a:rPr lang="pt-BR" sz="1800" b="1" i="0">
                  <a:latin typeface="Cambria Math" panose="02040503050406030204" pitchFamily="18" charset="0"/>
                  <a:ea typeface="Cambria Math" panose="02040503050406030204" pitchFamily="18" charset="0"/>
                </a:rPr>
                <a:t>(</a:t>
              </a:r>
              <a:r>
                <a:rPr lang="pt-BR" sz="1800" i="0">
                  <a:latin typeface="Cambria Math" panose="02040503050406030204" pitchFamily="18" charset="0"/>
                  <a:ea typeface="Cambria Math" panose="02040503050406030204" pitchFamily="18" charset="0"/>
                </a:rPr>
                <a:t>Quantidade</a:t>
              </a:r>
              <a:r>
                <a:rPr lang="pt-BR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 de veí𝑐𝑢𝑙𝑜𝑠 </a:t>
              </a:r>
              <a:endParaRPr lang="pt-BR" sz="1800" b="0" i="1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:r>
                <a:rPr lang="pt-BR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𝑡𝑟𝑎𝑛𝑠𝑝𝑜𝑟𝑡𝑎𝑑𝑜𝑠</a:t>
              </a:r>
              <a:endParaRPr lang="pt-BR" sz="1800" b="0" i="1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:r>
                <a:rPr lang="pt-BR" sz="1800" b="0" i="0">
                  <a:latin typeface="Cambria Math" panose="02040503050406030204" pitchFamily="18" charset="0"/>
                  <a:ea typeface="Cambria Math" panose="02040503050406030204" pitchFamily="18" charset="0"/>
                </a:rPr>
                <a:t>𝑥</a:t>
              </a:r>
              <a:endParaRPr lang="pt-BR" sz="1800" b="0" i="1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:r>
                <a:rPr lang="pt-BR" sz="1800">
                  <a:latin typeface="Cambria Math" panose="02040503050406030204" pitchFamily="18" charset="0"/>
                  <a:ea typeface="Cambria Math" panose="02040503050406030204" pitchFamily="18" charset="0"/>
                </a:rPr>
                <a:t>Distância média</a:t>
              </a:r>
              <a:r>
                <a:rPr lang="pt-BR" sz="1800" b="1">
                  <a:latin typeface="Cambria Math" panose="02040503050406030204" pitchFamily="18" charset="0"/>
                  <a:ea typeface="Cambria Math" panose="02040503050406030204" pitchFamily="18" charset="0"/>
                </a:rPr>
                <a:t>)</a:t>
              </a:r>
            </a:p>
            <a:p>
              <a:pPr algn="ctr"/>
              <a:r>
                <a:rPr lang="pt-BR" sz="1800">
                  <a:latin typeface="Cambria Math" panose="02040503050406030204" pitchFamily="18" charset="0"/>
                  <a:ea typeface="Cambria Math" panose="02040503050406030204" pitchFamily="18" charset="0"/>
                </a:rPr>
                <a:t>x</a:t>
              </a:r>
            </a:p>
            <a:p>
              <a:pPr algn="ctr"/>
              <a:r>
                <a:rPr lang="pt-BR" sz="1800">
                  <a:latin typeface="Cambria Math" panose="02040503050406030204" pitchFamily="18" charset="0"/>
                  <a:ea typeface="Cambria Math" panose="02040503050406030204" pitchFamily="18" charset="0"/>
                </a:rPr>
                <a:t>Tarifa de transporte</a:t>
              </a:r>
            </a:p>
            <a:p>
              <a:pPr algn="ctr"/>
              <a:r>
                <a:rPr lang="pt-BR" sz="1800" i="0">
                  <a:latin typeface="Cambria Math" panose="02040503050406030204" pitchFamily="18" charset="0"/>
                  <a:ea typeface="Cambria Math" panose="02040503050406030204" pitchFamily="18" charset="0"/>
                </a:rPr>
                <a:t>=</a:t>
              </a:r>
              <a:endParaRPr lang="pt-BR" sz="1800">
                <a:latin typeface="Cambria Math" panose="02040503050406030204" pitchFamily="18" charset="0"/>
                <a:ea typeface="Cambria Math" panose="02040503050406030204" pitchFamily="18" charset="0"/>
              </a:endParaRPr>
            </a:p>
            <a:p>
              <a:pPr algn="ctr"/>
              <a:r>
                <a:rPr lang="pt-BR" sz="1800" b="1" u="sng">
                  <a:latin typeface="Cambria Math" panose="02040503050406030204" pitchFamily="18" charset="0"/>
                  <a:ea typeface="Cambria Math" panose="02040503050406030204" pitchFamily="18" charset="0"/>
                </a:rPr>
                <a:t>Receita bruta</a:t>
              </a:r>
            </a:p>
          </xdr:txBody>
        </xdr:sp>
      </mc:Fallback>
    </mc:AlternateContent>
    <xdr:clientData/>
  </xdr:oneCellAnchor>
  <xdr:twoCellAnchor editAs="oneCell">
    <xdr:from>
      <xdr:col>18</xdr:col>
      <xdr:colOff>456372</xdr:colOff>
      <xdr:row>21</xdr:row>
      <xdr:rowOff>28575</xdr:rowOff>
    </xdr:from>
    <xdr:to>
      <xdr:col>19</xdr:col>
      <xdr:colOff>152400</xdr:colOff>
      <xdr:row>23</xdr:row>
      <xdr:rowOff>47625</xdr:rowOff>
    </xdr:to>
    <xdr:pic>
      <xdr:nvPicPr>
        <xdr:cNvPr id="18" name="Imagem 17" descr="https://cdn-icons-png.flaticon.com/512/591/591855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9172" y="40386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513522</xdr:colOff>
      <xdr:row>21</xdr:row>
      <xdr:rowOff>28575</xdr:rowOff>
    </xdr:from>
    <xdr:to>
      <xdr:col>18</xdr:col>
      <xdr:colOff>209550</xdr:colOff>
      <xdr:row>23</xdr:row>
      <xdr:rowOff>47625</xdr:rowOff>
    </xdr:to>
    <xdr:pic>
      <xdr:nvPicPr>
        <xdr:cNvPr id="19" name="Imagem 18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76722" y="40386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333375</xdr:colOff>
      <xdr:row>23</xdr:row>
      <xdr:rowOff>19049</xdr:rowOff>
    </xdr:from>
    <xdr:to>
      <xdr:col>19</xdr:col>
      <xdr:colOff>523875</xdr:colOff>
      <xdr:row>24</xdr:row>
      <xdr:rowOff>104774</xdr:rowOff>
    </xdr:to>
    <xdr:sp macro="" textlink="">
      <xdr:nvSpPr>
        <xdr:cNvPr id="20" name="CaixaDeTexto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SpPr txBox="1"/>
      </xdr:nvSpPr>
      <xdr:spPr>
        <a:xfrm>
          <a:off x="11306175" y="441007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176389</xdr:colOff>
      <xdr:row>23</xdr:row>
      <xdr:rowOff>19050</xdr:rowOff>
    </xdr:from>
    <xdr:to>
      <xdr:col>18</xdr:col>
      <xdr:colOff>409575</xdr:colOff>
      <xdr:row>24</xdr:row>
      <xdr:rowOff>84668</xdr:rowOff>
    </xdr:to>
    <xdr:sp macro="" textlink="">
      <xdr:nvSpPr>
        <xdr:cNvPr id="21" name="CaixaDeTexto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SpPr txBox="1"/>
      </xdr:nvSpPr>
      <xdr:spPr>
        <a:xfrm>
          <a:off x="11091333" y="4400550"/>
          <a:ext cx="875242" cy="25611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9</xdr:col>
      <xdr:colOff>381001</xdr:colOff>
      <xdr:row>18</xdr:row>
      <xdr:rowOff>137584</xdr:rowOff>
    </xdr:from>
    <xdr:to>
      <xdr:col>11</xdr:col>
      <xdr:colOff>362563</xdr:colOff>
      <xdr:row>25</xdr:row>
      <xdr:rowOff>9525</xdr:rowOff>
    </xdr:to>
    <xdr:pic>
      <xdr:nvPicPr>
        <xdr:cNvPr id="27" name="Gráfico 1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grayscl/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6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67401" y="3576109"/>
          <a:ext cx="1200762" cy="1205441"/>
        </a:xfrm>
        <a:prstGeom prst="rect">
          <a:avLst/>
        </a:prstGeom>
      </xdr:spPr>
    </xdr:pic>
    <xdr:clientData/>
  </xdr:twoCellAnchor>
  <xdr:twoCellAnchor editAs="oneCell">
    <xdr:from>
      <xdr:col>18</xdr:col>
      <xdr:colOff>122310</xdr:colOff>
      <xdr:row>0</xdr:row>
      <xdr:rowOff>123825</xdr:rowOff>
    </xdr:from>
    <xdr:to>
      <xdr:col>18</xdr:col>
      <xdr:colOff>525555</xdr:colOff>
      <xdr:row>3</xdr:row>
      <xdr:rowOff>9525</xdr:rowOff>
    </xdr:to>
    <xdr:pic>
      <xdr:nvPicPr>
        <xdr:cNvPr id="32" name="Imagem 31" descr="https://cdn-icons-png.flaticon.com/512/1946/1946488.png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95110" y="123825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11206</xdr:colOff>
      <xdr:row>3</xdr:row>
      <xdr:rowOff>9523</xdr:rowOff>
    </xdr:from>
    <xdr:to>
      <xdr:col>19</xdr:col>
      <xdr:colOff>201706</xdr:colOff>
      <xdr:row>4</xdr:row>
      <xdr:rowOff>95248</xdr:rowOff>
    </xdr:to>
    <xdr:sp macro="" textlink="">
      <xdr:nvSpPr>
        <xdr:cNvPr id="33" name="CaixaDeTexto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SpPr txBox="1"/>
      </xdr:nvSpPr>
      <xdr:spPr>
        <a:xfrm>
          <a:off x="10984006" y="590548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1</xdr:col>
      <xdr:colOff>79934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28600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/>
        </xdr:cNvSpPr>
      </xdr:nvSpPr>
      <xdr:spPr>
        <a:xfrm>
          <a:off x="1339663" y="271743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Automotiva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502579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8591550" cy="1746632"/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SpPr txBox="1"/>
      </xdr:nvSpPr>
      <xdr:spPr>
        <a:xfrm>
          <a:off x="285750" y="742509"/>
          <a:ext cx="8591550" cy="17466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Indicador - veículos novos transportados e </a:t>
          </a:r>
          <a:r>
            <a:rPr lang="pt-BR" sz="1200" b="1" i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market share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quantidade de veículos transportados pela Tegma nos últimos cinco anos (2020-2024) correspondeu a, em média, </a:t>
          </a:r>
          <a:r>
            <a:rPr lang="pt-BR" sz="1200" b="1">
              <a:solidFill>
                <a:schemeClr val="accent2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24%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da quantidade de veículos leves e comerciais leves vendidos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no Brasil e exportados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A Tegma transporta veículos para entregas domésticas (produzidos nacionalmente ou importados) e para exportação (que pode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ser por via rodoviária até países do Mercosul ou até os portos). A Companhia também realiza as entregas de veículos </a:t>
          </a:r>
          <a:r>
            <a:rPr lang="pt-BR" sz="1200" b="1">
              <a:solidFill>
                <a:schemeClr val="accent2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adquiridos pelas locadoras de veículos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, que ganharam bastante representatividade nos últimos anos.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market share do serviço de transporte de veículos zero </a:t>
          </a:r>
          <a:r>
            <a:rPr lang="pt-BR" sz="1200" i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km é calculado de acordo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com a tabela abaixo: </a:t>
          </a:r>
        </a:p>
      </xdr:txBody>
    </xdr:sp>
    <xdr:clientData/>
  </xdr:oneCellAnchor>
  <xdr:oneCellAnchor>
    <xdr:from>
      <xdr:col>0</xdr:col>
      <xdr:colOff>514350</xdr:colOff>
      <xdr:row>21</xdr:row>
      <xdr:rowOff>32368</xdr:rowOff>
    </xdr:from>
    <xdr:ext cx="6800850" cy="201722"/>
    <xdr:sp macro="" textlink="">
      <xdr:nvSpPr>
        <xdr:cNvPr id="17" name="CaixaDeTexto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SpPr txBox="1"/>
      </xdr:nvSpPr>
      <xdr:spPr>
        <a:xfrm>
          <a:off x="514350" y="4032868"/>
          <a:ext cx="6800850" cy="20172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>
            <a:spcBef>
              <a:spcPts val="600"/>
            </a:spcBef>
          </a:pPr>
          <a:r>
            <a:rPr lang="pt-BR" sz="7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¹ Fonte: Carta da ANFAVEA - Leves e comerciais leves (https://anfavea.com.br/site/edicoes-em-excel/)</a:t>
          </a:r>
        </a:p>
      </xdr:txBody>
    </xdr:sp>
    <xdr:clientData/>
  </xdr:oneCellAnchor>
  <xdr:twoCellAnchor editAs="oneCell">
    <xdr:from>
      <xdr:col>15</xdr:col>
      <xdr:colOff>26863</xdr:colOff>
      <xdr:row>0</xdr:row>
      <xdr:rowOff>9525</xdr:rowOff>
    </xdr:from>
    <xdr:to>
      <xdr:col>19</xdr:col>
      <xdr:colOff>600074</xdr:colOff>
      <xdr:row>24</xdr:row>
      <xdr:rowOff>161925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70863" y="9525"/>
          <a:ext cx="3011612" cy="4724400"/>
        </a:xfrm>
        <a:prstGeom prst="rect">
          <a:avLst/>
        </a:prstGeom>
      </xdr:spPr>
    </xdr:pic>
    <xdr:clientData/>
  </xdr:twoCellAnchor>
  <xdr:twoCellAnchor editAs="oneCell">
    <xdr:from>
      <xdr:col>18</xdr:col>
      <xdr:colOff>241092</xdr:colOff>
      <xdr:row>0</xdr:row>
      <xdr:rowOff>71718</xdr:rowOff>
    </xdr:from>
    <xdr:to>
      <xdr:col>19</xdr:col>
      <xdr:colOff>34736</xdr:colOff>
      <xdr:row>2</xdr:row>
      <xdr:rowOff>147918</xdr:rowOff>
    </xdr:to>
    <xdr:pic>
      <xdr:nvPicPr>
        <xdr:cNvPr id="11" name="Imagem 10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13892" y="71718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129988</xdr:colOff>
      <xdr:row>2</xdr:row>
      <xdr:rowOff>157441</xdr:rowOff>
    </xdr:from>
    <xdr:to>
      <xdr:col>19</xdr:col>
      <xdr:colOff>320488</xdr:colOff>
      <xdr:row>4</xdr:row>
      <xdr:rowOff>52666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SpPr txBox="1"/>
      </xdr:nvSpPr>
      <xdr:spPr>
        <a:xfrm>
          <a:off x="11102788" y="538441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351597</xdr:colOff>
      <xdr:row>20</xdr:row>
      <xdr:rowOff>57150</xdr:rowOff>
    </xdr:from>
    <xdr:to>
      <xdr:col>19</xdr:col>
      <xdr:colOff>47624</xdr:colOff>
      <xdr:row>22</xdr:row>
      <xdr:rowOff>76200</xdr:rowOff>
    </xdr:to>
    <xdr:pic>
      <xdr:nvPicPr>
        <xdr:cNvPr id="14" name="Imagem 13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4397" y="38671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408747</xdr:colOff>
      <xdr:row>20</xdr:row>
      <xdr:rowOff>57150</xdr:rowOff>
    </xdr:from>
    <xdr:to>
      <xdr:col>18</xdr:col>
      <xdr:colOff>104775</xdr:colOff>
      <xdr:row>22</xdr:row>
      <xdr:rowOff>76200</xdr:rowOff>
    </xdr:to>
    <xdr:pic>
      <xdr:nvPicPr>
        <xdr:cNvPr id="15" name="Imagem 14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771947" y="38671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228600</xdr:colOff>
      <xdr:row>22</xdr:row>
      <xdr:rowOff>47624</xdr:rowOff>
    </xdr:from>
    <xdr:to>
      <xdr:col>19</xdr:col>
      <xdr:colOff>419100</xdr:colOff>
      <xdr:row>23</xdr:row>
      <xdr:rowOff>133349</xdr:rowOff>
    </xdr:to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SpPr txBox="1"/>
      </xdr:nvSpPr>
      <xdr:spPr>
        <a:xfrm>
          <a:off x="11201400" y="423862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0</xdr:colOff>
      <xdr:row>22</xdr:row>
      <xdr:rowOff>47624</xdr:rowOff>
    </xdr:from>
    <xdr:to>
      <xdr:col>18</xdr:col>
      <xdr:colOff>304800</xdr:colOff>
      <xdr:row>23</xdr:row>
      <xdr:rowOff>98777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SpPr txBox="1"/>
      </xdr:nvSpPr>
      <xdr:spPr>
        <a:xfrm>
          <a:off x="11027833" y="4238624"/>
          <a:ext cx="946856" cy="24165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11</xdr:col>
      <xdr:colOff>222250</xdr:colOff>
      <xdr:row>12</xdr:row>
      <xdr:rowOff>162278</xdr:rowOff>
    </xdr:from>
    <xdr:ext cx="2074333" cy="1601611"/>
    <xdr:sp macro="" textlink="">
      <xdr:nvSpPr>
        <xdr:cNvPr id="21" name="CaixaDeTexto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 txBox="1"/>
      </xdr:nvSpPr>
      <xdr:spPr>
        <a:xfrm>
          <a:off x="7397750" y="2448278"/>
          <a:ext cx="2074333" cy="1601611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>
            <a:spcBef>
              <a:spcPts val="600"/>
            </a:spcBef>
          </a:pPr>
          <a:r>
            <a:rPr lang="pt-BR" sz="11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1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1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As associações dos produtores e distribuidores de veículos, ANFAVEA e FENABRAVE, divulgam anualmente suas projeções públicas para o ano subsequente. Essa pode ser uma forma de se projetar as vendas para o ano seguinte.</a:t>
          </a: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Automotiva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142786</xdr:rowOff>
    </xdr:from>
    <xdr:ext cx="7814028" cy="2820548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285750" y="714286"/>
          <a:ext cx="7814028" cy="282054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pt-BR" sz="14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Indicador - Distância média</a:t>
          </a:r>
        </a:p>
        <a:p>
          <a:pPr>
            <a:spcBef>
              <a:spcPts val="600"/>
            </a:spcBef>
          </a:pP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distância média é um indicador divulgado nos resultados e reflete o raio de distribuição das nossas entregas. Ela é calculada pela divisão da quantidade total de quilômetros percorridos por todos os veículos (ex: um caminhão com dez</a:t>
          </a: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veículos que percorra 1.000 km e entregue todos veículos no mesmo destino, contribuirá com 10.000 km na distância total) 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pela quantidade de veículos transportados. A variação desse indicador reflete a participação das vendas de veículos nas regiões atendidas pela Tegma em todo o país.</a:t>
          </a: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Como a grande parcela dos veículos tanto produzidos como importados pelo Brasil é pela região Sudeste,  quanto maior a </a:t>
          </a:r>
          <a:b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</a:b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participação das vendas fora do Sudeste, maior é a distância média da </a:t>
          </a:r>
          <a:b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</a:br>
          <a:r>
            <a:rPr lang="pt-BR" sz="14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Tegma</a:t>
          </a: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O histórico desse indicador é mostrado na tabela abaixo.</a:t>
          </a:r>
        </a:p>
      </xdr:txBody>
    </xdr:sp>
    <xdr:clientData/>
  </xdr:oneCellAnchor>
  <xdr:twoCellAnchor editAs="oneCell">
    <xdr:from>
      <xdr:col>15</xdr:col>
      <xdr:colOff>266700</xdr:colOff>
      <xdr:row>0</xdr:row>
      <xdr:rowOff>5060</xdr:rowOff>
    </xdr:from>
    <xdr:to>
      <xdr:col>19</xdr:col>
      <xdr:colOff>602474</xdr:colOff>
      <xdr:row>24</xdr:row>
      <xdr:rowOff>174223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colorTemperature colorTemp="59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10700" y="5060"/>
          <a:ext cx="2774174" cy="4741163"/>
        </a:xfrm>
        <a:prstGeom prst="rect">
          <a:avLst/>
        </a:prstGeom>
      </xdr:spPr>
    </xdr:pic>
    <xdr:clientData/>
  </xdr:twoCellAnchor>
  <xdr:twoCellAnchor editAs="oneCell">
    <xdr:from>
      <xdr:col>18</xdr:col>
      <xdr:colOff>446847</xdr:colOff>
      <xdr:row>20</xdr:row>
      <xdr:rowOff>171450</xdr:rowOff>
    </xdr:from>
    <xdr:to>
      <xdr:col>19</xdr:col>
      <xdr:colOff>142875</xdr:colOff>
      <xdr:row>23</xdr:row>
      <xdr:rowOff>0</xdr:rowOff>
    </xdr:to>
    <xdr:pic>
      <xdr:nvPicPr>
        <xdr:cNvPr id="14" name="Imagem 13" descr="https://cdn-icons-png.flaticon.com/512/591/591855.png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19647" y="39814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503997</xdr:colOff>
      <xdr:row>20</xdr:row>
      <xdr:rowOff>171450</xdr:rowOff>
    </xdr:from>
    <xdr:to>
      <xdr:col>18</xdr:col>
      <xdr:colOff>200025</xdr:colOff>
      <xdr:row>23</xdr:row>
      <xdr:rowOff>0</xdr:rowOff>
    </xdr:to>
    <xdr:pic>
      <xdr:nvPicPr>
        <xdr:cNvPr id="15" name="Imagem 14" descr="https://cdn-icons-png.flaticon.com/512/591/591855.p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67197" y="39814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323850</xdr:colOff>
      <xdr:row>22</xdr:row>
      <xdr:rowOff>161924</xdr:rowOff>
    </xdr:from>
    <xdr:to>
      <xdr:col>19</xdr:col>
      <xdr:colOff>514350</xdr:colOff>
      <xdr:row>24</xdr:row>
      <xdr:rowOff>57149</xdr:rowOff>
    </xdr:to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 txBox="1"/>
      </xdr:nvSpPr>
      <xdr:spPr>
        <a:xfrm>
          <a:off x="11296650" y="435292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15</xdr:col>
      <xdr:colOff>76200</xdr:colOff>
      <xdr:row>0</xdr:row>
      <xdr:rowOff>0</xdr:rowOff>
    </xdr:from>
    <xdr:to>
      <xdr:col>19</xdr:col>
      <xdr:colOff>514350</xdr:colOff>
      <xdr:row>24</xdr:row>
      <xdr:rowOff>84964</xdr:rowOff>
    </xdr:to>
    <xdr:sp macro="" textlink="">
      <xdr:nvSpPr>
        <xdr:cNvPr id="17" name="Freeform 5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>
          <a:spLocks noChangeAspect="1" noEditPoints="1"/>
        </xdr:cNvSpPr>
      </xdr:nvSpPr>
      <xdr:spPr bwMode="auto">
        <a:xfrm>
          <a:off x="9220200" y="0"/>
          <a:ext cx="2876550" cy="4656964"/>
        </a:xfrm>
        <a:custGeom>
          <a:avLst/>
          <a:gdLst>
            <a:gd name="T0" fmla="*/ 1616 w 2204"/>
            <a:gd name="T1" fmla="*/ 0 h 3230"/>
            <a:gd name="T2" fmla="*/ 152 w 2204"/>
            <a:gd name="T3" fmla="*/ 1615 h 3230"/>
            <a:gd name="T4" fmla="*/ 101 w 2204"/>
            <a:gd name="T5" fmla="*/ 2810 h 3230"/>
            <a:gd name="T6" fmla="*/ 88 w 2204"/>
            <a:gd name="T7" fmla="*/ 2560 h 3230"/>
            <a:gd name="T8" fmla="*/ 88 w 2204"/>
            <a:gd name="T9" fmla="*/ 2558 h 3230"/>
            <a:gd name="T10" fmla="*/ 276 w 2204"/>
            <a:gd name="T11" fmla="*/ 1674 h 3230"/>
            <a:gd name="T12" fmla="*/ 1482 w 2204"/>
            <a:gd name="T13" fmla="*/ 371 h 3230"/>
            <a:gd name="T14" fmla="*/ 1784 w 2204"/>
            <a:gd name="T15" fmla="*/ 755 h 3230"/>
            <a:gd name="T16" fmla="*/ 2204 w 2204"/>
            <a:gd name="T17" fmla="*/ 755 h 3230"/>
            <a:gd name="T18" fmla="*/ 1616 w 2204"/>
            <a:gd name="T19" fmla="*/ 0 h 3230"/>
            <a:gd name="T20" fmla="*/ 1269 w 2204"/>
            <a:gd name="T21" fmla="*/ 1077 h 3230"/>
            <a:gd name="T22" fmla="*/ 2200 w 2204"/>
            <a:gd name="T23" fmla="*/ 1078 h 3230"/>
            <a:gd name="T24" fmla="*/ 2089 w 2204"/>
            <a:gd name="T25" fmla="*/ 1615 h 3230"/>
            <a:gd name="T26" fmla="*/ 625 w 2204"/>
            <a:gd name="T27" fmla="*/ 3230 h 3230"/>
            <a:gd name="T28" fmla="*/ 520 w 2204"/>
            <a:gd name="T29" fmla="*/ 3220 h 3230"/>
            <a:gd name="T30" fmla="*/ 521 w 2204"/>
            <a:gd name="T31" fmla="*/ 3220 h 3230"/>
            <a:gd name="T32" fmla="*/ 544 w 2204"/>
            <a:gd name="T33" fmla="*/ 3218 h 3230"/>
            <a:gd name="T34" fmla="*/ 545 w 2204"/>
            <a:gd name="T35" fmla="*/ 3218 h 3230"/>
            <a:gd name="T36" fmla="*/ 567 w 2204"/>
            <a:gd name="T37" fmla="*/ 3216 h 3230"/>
            <a:gd name="T38" fmla="*/ 569 w 2204"/>
            <a:gd name="T39" fmla="*/ 3215 h 3230"/>
            <a:gd name="T40" fmla="*/ 591 w 2204"/>
            <a:gd name="T41" fmla="*/ 3212 h 3230"/>
            <a:gd name="T42" fmla="*/ 593 w 2204"/>
            <a:gd name="T43" fmla="*/ 3212 h 3230"/>
            <a:gd name="T44" fmla="*/ 615 w 2204"/>
            <a:gd name="T45" fmla="*/ 3207 h 3230"/>
            <a:gd name="T46" fmla="*/ 616 w 2204"/>
            <a:gd name="T47" fmla="*/ 3207 h 3230"/>
            <a:gd name="T48" fmla="*/ 640 w 2204"/>
            <a:gd name="T49" fmla="*/ 3201 h 3230"/>
            <a:gd name="T50" fmla="*/ 640 w 2204"/>
            <a:gd name="T51" fmla="*/ 3201 h 3230"/>
            <a:gd name="T52" fmla="*/ 782 w 2204"/>
            <a:gd name="T53" fmla="*/ 3147 h 3230"/>
            <a:gd name="T54" fmla="*/ 890 w 2204"/>
            <a:gd name="T55" fmla="*/ 3084 h 3230"/>
            <a:gd name="T56" fmla="*/ 1664 w 2204"/>
            <a:gd name="T57" fmla="*/ 1804 h 3230"/>
            <a:gd name="T58" fmla="*/ 1224 w 2204"/>
            <a:gd name="T59" fmla="*/ 1340 h 3230"/>
            <a:gd name="T60" fmla="*/ 1269 w 2204"/>
            <a:gd name="T61" fmla="*/ 1077 h 3230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  <a:cxn ang="0">
              <a:pos x="T24" y="T25"/>
            </a:cxn>
            <a:cxn ang="0">
              <a:pos x="T26" y="T27"/>
            </a:cxn>
            <a:cxn ang="0">
              <a:pos x="T28" y="T29"/>
            </a:cxn>
            <a:cxn ang="0">
              <a:pos x="T30" y="T31"/>
            </a:cxn>
            <a:cxn ang="0">
              <a:pos x="T32" y="T33"/>
            </a:cxn>
            <a:cxn ang="0">
              <a:pos x="T34" y="T35"/>
            </a:cxn>
            <a:cxn ang="0">
              <a:pos x="T36" y="T37"/>
            </a:cxn>
            <a:cxn ang="0">
              <a:pos x="T38" y="T39"/>
            </a:cxn>
            <a:cxn ang="0">
              <a:pos x="T40" y="T41"/>
            </a:cxn>
            <a:cxn ang="0">
              <a:pos x="T42" y="T43"/>
            </a:cxn>
            <a:cxn ang="0">
              <a:pos x="T44" y="T45"/>
            </a:cxn>
            <a:cxn ang="0">
              <a:pos x="T46" y="T47"/>
            </a:cxn>
            <a:cxn ang="0">
              <a:pos x="T48" y="T49"/>
            </a:cxn>
            <a:cxn ang="0">
              <a:pos x="T50" y="T51"/>
            </a:cxn>
            <a:cxn ang="0">
              <a:pos x="T52" y="T53"/>
            </a:cxn>
            <a:cxn ang="0">
              <a:pos x="T54" y="T55"/>
            </a:cxn>
            <a:cxn ang="0">
              <a:pos x="T56" y="T57"/>
            </a:cxn>
            <a:cxn ang="0">
              <a:pos x="T58" y="T59"/>
            </a:cxn>
            <a:cxn ang="0">
              <a:pos x="T60" y="T61"/>
            </a:cxn>
          </a:cxnLst>
          <a:rect l="0" t="0" r="r" b="b"/>
          <a:pathLst>
            <a:path w="2204" h="3230">
              <a:moveTo>
                <a:pt x="1616" y="0"/>
              </a:moveTo>
              <a:cubicBezTo>
                <a:pt x="1082" y="0"/>
                <a:pt x="425" y="726"/>
                <a:pt x="152" y="1615"/>
              </a:cubicBezTo>
              <a:cubicBezTo>
                <a:pt x="9" y="2082"/>
                <a:pt x="0" y="2515"/>
                <a:pt x="101" y="2810"/>
              </a:cubicBezTo>
              <a:cubicBezTo>
                <a:pt x="91" y="2737"/>
                <a:pt x="86" y="2646"/>
                <a:pt x="88" y="2560"/>
              </a:cubicBezTo>
              <a:cubicBezTo>
                <a:pt x="88" y="2559"/>
                <a:pt x="88" y="2558"/>
                <a:pt x="88" y="2558"/>
              </a:cubicBezTo>
              <a:cubicBezTo>
                <a:pt x="97" y="2254"/>
                <a:pt x="170" y="1955"/>
                <a:pt x="276" y="1674"/>
              </a:cubicBezTo>
              <a:cubicBezTo>
                <a:pt x="584" y="873"/>
                <a:pt x="1095" y="391"/>
                <a:pt x="1482" y="371"/>
              </a:cubicBezTo>
              <a:cubicBezTo>
                <a:pt x="1691" y="360"/>
                <a:pt x="1792" y="495"/>
                <a:pt x="1784" y="755"/>
              </a:cubicBezTo>
              <a:cubicBezTo>
                <a:pt x="2204" y="755"/>
                <a:pt x="2204" y="755"/>
                <a:pt x="2204" y="755"/>
              </a:cubicBezTo>
              <a:cubicBezTo>
                <a:pt x="2170" y="302"/>
                <a:pt x="1960" y="0"/>
                <a:pt x="1616" y="0"/>
              </a:cubicBezTo>
              <a:moveTo>
                <a:pt x="1269" y="1077"/>
              </a:moveTo>
              <a:cubicBezTo>
                <a:pt x="2200" y="1078"/>
                <a:pt x="2200" y="1078"/>
                <a:pt x="2200" y="1078"/>
              </a:cubicBezTo>
              <a:cubicBezTo>
                <a:pt x="2183" y="1242"/>
                <a:pt x="2145" y="1433"/>
                <a:pt x="2089" y="1615"/>
              </a:cubicBezTo>
              <a:cubicBezTo>
                <a:pt x="1816" y="2505"/>
                <a:pt x="1159" y="3230"/>
                <a:pt x="625" y="3230"/>
              </a:cubicBezTo>
              <a:cubicBezTo>
                <a:pt x="589" y="3230"/>
                <a:pt x="554" y="3226"/>
                <a:pt x="520" y="3220"/>
              </a:cubicBezTo>
              <a:cubicBezTo>
                <a:pt x="521" y="3220"/>
                <a:pt x="521" y="3220"/>
                <a:pt x="521" y="3220"/>
              </a:cubicBezTo>
              <a:cubicBezTo>
                <a:pt x="529" y="3219"/>
                <a:pt x="536" y="3219"/>
                <a:pt x="544" y="3218"/>
              </a:cubicBezTo>
              <a:cubicBezTo>
                <a:pt x="544" y="3218"/>
                <a:pt x="544" y="3218"/>
                <a:pt x="545" y="3218"/>
              </a:cubicBezTo>
              <a:cubicBezTo>
                <a:pt x="552" y="3217"/>
                <a:pt x="560" y="3217"/>
                <a:pt x="567" y="3216"/>
              </a:cubicBezTo>
              <a:cubicBezTo>
                <a:pt x="568" y="3215"/>
                <a:pt x="568" y="3215"/>
                <a:pt x="569" y="3215"/>
              </a:cubicBezTo>
              <a:cubicBezTo>
                <a:pt x="576" y="3214"/>
                <a:pt x="584" y="3213"/>
                <a:pt x="591" y="3212"/>
              </a:cubicBezTo>
              <a:cubicBezTo>
                <a:pt x="592" y="3212"/>
                <a:pt x="592" y="3212"/>
                <a:pt x="593" y="3212"/>
              </a:cubicBezTo>
              <a:cubicBezTo>
                <a:pt x="600" y="3210"/>
                <a:pt x="608" y="3209"/>
                <a:pt x="615" y="3207"/>
              </a:cubicBezTo>
              <a:cubicBezTo>
                <a:pt x="616" y="3207"/>
                <a:pt x="616" y="3207"/>
                <a:pt x="616" y="3207"/>
              </a:cubicBezTo>
              <a:cubicBezTo>
                <a:pt x="624" y="3205"/>
                <a:pt x="632" y="3203"/>
                <a:pt x="640" y="3201"/>
              </a:cubicBezTo>
              <a:cubicBezTo>
                <a:pt x="640" y="3201"/>
                <a:pt x="640" y="3201"/>
                <a:pt x="640" y="3201"/>
              </a:cubicBezTo>
              <a:cubicBezTo>
                <a:pt x="688" y="3188"/>
                <a:pt x="738" y="3170"/>
                <a:pt x="782" y="3147"/>
              </a:cubicBezTo>
              <a:cubicBezTo>
                <a:pt x="814" y="3130"/>
                <a:pt x="859" y="3103"/>
                <a:pt x="890" y="3084"/>
              </a:cubicBezTo>
              <a:cubicBezTo>
                <a:pt x="1342" y="2773"/>
                <a:pt x="1526" y="2350"/>
                <a:pt x="1664" y="1804"/>
              </a:cubicBezTo>
              <a:cubicBezTo>
                <a:pt x="1733" y="1329"/>
                <a:pt x="1707" y="1111"/>
                <a:pt x="1224" y="1340"/>
              </a:cubicBezTo>
              <a:lnTo>
                <a:pt x="1269" y="1077"/>
              </a:lnTo>
              <a:close/>
            </a:path>
          </a:pathLst>
        </a:custGeom>
        <a:solidFill>
          <a:srgbClr val="FFFFFF">
            <a:alpha val="36000"/>
          </a:srgbClr>
        </a:solidFill>
        <a:ln>
          <a:noFill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pt-BR"/>
        </a:p>
      </xdr:txBody>
    </xdr:sp>
    <xdr:clientData/>
  </xdr:twoCellAnchor>
  <xdr:twoCellAnchor>
    <xdr:from>
      <xdr:col>17</xdr:col>
      <xdr:colOff>162280</xdr:colOff>
      <xdr:row>22</xdr:row>
      <xdr:rowOff>161924</xdr:rowOff>
    </xdr:from>
    <xdr:to>
      <xdr:col>18</xdr:col>
      <xdr:colOff>421218</xdr:colOff>
      <xdr:row>24</xdr:row>
      <xdr:rowOff>21167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SpPr txBox="1"/>
      </xdr:nvSpPr>
      <xdr:spPr>
        <a:xfrm>
          <a:off x="11077224" y="4352924"/>
          <a:ext cx="900994" cy="24024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18</xdr:col>
      <xdr:colOff>301604</xdr:colOff>
      <xdr:row>0</xdr:row>
      <xdr:rowOff>104775</xdr:rowOff>
    </xdr:from>
    <xdr:to>
      <xdr:col>19</xdr:col>
      <xdr:colOff>95249</xdr:colOff>
      <xdr:row>2</xdr:row>
      <xdr:rowOff>180975</xdr:rowOff>
    </xdr:to>
    <xdr:pic>
      <xdr:nvPicPr>
        <xdr:cNvPr id="12" name="Imagem 11" descr="https://cdn-icons-png.flaticon.com/512/1946/1946488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4404" y="104775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190500</xdr:colOff>
      <xdr:row>2</xdr:row>
      <xdr:rowOff>190498</xdr:rowOff>
    </xdr:from>
    <xdr:to>
      <xdr:col>19</xdr:col>
      <xdr:colOff>381000</xdr:colOff>
      <xdr:row>4</xdr:row>
      <xdr:rowOff>85723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SpPr txBox="1"/>
      </xdr:nvSpPr>
      <xdr:spPr>
        <a:xfrm>
          <a:off x="11163300" y="571498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oneCellAnchor>
    <xdr:from>
      <xdr:col>12</xdr:col>
      <xdr:colOff>116417</xdr:colOff>
      <xdr:row>14</xdr:row>
      <xdr:rowOff>38804</xdr:rowOff>
    </xdr:from>
    <xdr:ext cx="1922638" cy="1929695"/>
    <xdr:sp macro="" textlink="">
      <xdr:nvSpPr>
        <xdr:cNvPr id="20" name="CaixaDeTexto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SpPr txBox="1"/>
      </xdr:nvSpPr>
      <xdr:spPr>
        <a:xfrm>
          <a:off x="7482417" y="2705804"/>
          <a:ext cx="1922638" cy="1929695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>
            <a:spcBef>
              <a:spcPts val="600"/>
            </a:spcBef>
          </a:pPr>
          <a:r>
            <a:rPr lang="pt-BR" sz="13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3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3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Não existe premissas suficientes para se conseguir projetar a km média do futuro. O passado é a única forma de se se ter um parâmetro.</a:t>
          </a:r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Automotiva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1107034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285750" y="742509"/>
          <a:ext cx="7877734" cy="110703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Indicador - receita por km/veículo 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Apesar de se tratar de uma aproximação, quando se divide a receita bruta da operação de logística de veículos pela quilometragem total percorrida naquele período, é possível se estimar a tarifa que é cobrada das clientes por veículo por quilômetro percorrido. A tarifa é reajustada anualmente por inflação logística negociada com os clientes.</a:t>
          </a:r>
        </a:p>
      </xdr:txBody>
    </xdr:sp>
    <xdr:clientData/>
  </xdr:oneCellAnchor>
  <xdr:oneCellAnchor>
    <xdr:from>
      <xdr:col>0</xdr:col>
      <xdr:colOff>285750</xdr:colOff>
      <xdr:row>19</xdr:row>
      <xdr:rowOff>74700</xdr:rowOff>
    </xdr:from>
    <xdr:ext cx="6858000" cy="279885"/>
    <xdr:sp macro="" textlink="">
      <xdr:nvSpPr>
        <xdr:cNvPr id="8" name="CaixaDeTexto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285750" y="3694200"/>
          <a:ext cx="6858000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>
            <a:spcBef>
              <a:spcPts val="600"/>
            </a:spcBef>
          </a:pP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  <xdr:twoCellAnchor editAs="oneCell">
    <xdr:from>
      <xdr:col>15</xdr:col>
      <xdr:colOff>285750</xdr:colOff>
      <xdr:row>0</xdr:row>
      <xdr:rowOff>28022</xdr:rowOff>
    </xdr:from>
    <xdr:to>
      <xdr:col>19</xdr:col>
      <xdr:colOff>581079</xdr:colOff>
      <xdr:row>24</xdr:row>
      <xdr:rowOff>165270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19038" b="12078"/>
        <a:stretch/>
      </xdr:blipFill>
      <xdr:spPr>
        <a:xfrm>
          <a:off x="9429750" y="28022"/>
          <a:ext cx="2733729" cy="4709248"/>
        </a:xfrm>
        <a:prstGeom prst="rect">
          <a:avLst/>
        </a:prstGeom>
      </xdr:spPr>
    </xdr:pic>
    <xdr:clientData/>
  </xdr:twoCellAnchor>
  <xdr:twoCellAnchor>
    <xdr:from>
      <xdr:col>15</xdr:col>
      <xdr:colOff>296954</xdr:colOff>
      <xdr:row>0</xdr:row>
      <xdr:rowOff>10759</xdr:rowOff>
    </xdr:from>
    <xdr:to>
      <xdr:col>19</xdr:col>
      <xdr:colOff>600075</xdr:colOff>
      <xdr:row>24</xdr:row>
      <xdr:rowOff>180975</xdr:rowOff>
    </xdr:to>
    <xdr:sp macro="" textlink="">
      <xdr:nvSpPr>
        <xdr:cNvPr id="14" name="Retângulo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/>
      </xdr:nvSpPr>
      <xdr:spPr>
        <a:xfrm>
          <a:off x="9440954" y="10759"/>
          <a:ext cx="2741521" cy="4742216"/>
        </a:xfrm>
        <a:prstGeom prst="rect">
          <a:avLst/>
        </a:prstGeom>
        <a:solidFill>
          <a:schemeClr val="tx1">
            <a:alpha val="27843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pt-BR" sz="1800" b="0" i="0" u="none" strike="noStrike" kern="1200" cap="none" spc="0" normalizeH="0" baseline="0">
            <a:ln>
              <a:noFill/>
            </a:ln>
            <a:solidFill>
              <a:prstClr val="white"/>
            </a:solidFill>
            <a:effectLst/>
            <a:uLnTx/>
            <a:uFillTx/>
            <a:latin typeface="Montserrat Medium" pitchFamily="2" charset="77"/>
          </a:endParaRPr>
        </a:p>
      </xdr:txBody>
    </xdr:sp>
    <xdr:clientData/>
  </xdr:twoCellAnchor>
  <xdr:twoCellAnchor>
    <xdr:from>
      <xdr:col>15</xdr:col>
      <xdr:colOff>38100</xdr:colOff>
      <xdr:row>0</xdr:row>
      <xdr:rowOff>72138</xdr:rowOff>
    </xdr:from>
    <xdr:to>
      <xdr:col>19</xdr:col>
      <xdr:colOff>476250</xdr:colOff>
      <xdr:row>24</xdr:row>
      <xdr:rowOff>157102</xdr:rowOff>
    </xdr:to>
    <xdr:sp macro="" textlink="">
      <xdr:nvSpPr>
        <xdr:cNvPr id="15" name="Freeform 5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>
          <a:spLocks noChangeAspect="1" noEditPoints="1"/>
        </xdr:cNvSpPr>
      </xdr:nvSpPr>
      <xdr:spPr bwMode="auto">
        <a:xfrm>
          <a:off x="9182100" y="72138"/>
          <a:ext cx="2876550" cy="4656964"/>
        </a:xfrm>
        <a:custGeom>
          <a:avLst/>
          <a:gdLst>
            <a:gd name="T0" fmla="*/ 1616 w 2204"/>
            <a:gd name="T1" fmla="*/ 0 h 3230"/>
            <a:gd name="T2" fmla="*/ 152 w 2204"/>
            <a:gd name="T3" fmla="*/ 1615 h 3230"/>
            <a:gd name="T4" fmla="*/ 101 w 2204"/>
            <a:gd name="T5" fmla="*/ 2810 h 3230"/>
            <a:gd name="T6" fmla="*/ 88 w 2204"/>
            <a:gd name="T7" fmla="*/ 2560 h 3230"/>
            <a:gd name="T8" fmla="*/ 88 w 2204"/>
            <a:gd name="T9" fmla="*/ 2558 h 3230"/>
            <a:gd name="T10" fmla="*/ 276 w 2204"/>
            <a:gd name="T11" fmla="*/ 1674 h 3230"/>
            <a:gd name="T12" fmla="*/ 1482 w 2204"/>
            <a:gd name="T13" fmla="*/ 371 h 3230"/>
            <a:gd name="T14" fmla="*/ 1784 w 2204"/>
            <a:gd name="T15" fmla="*/ 755 h 3230"/>
            <a:gd name="T16" fmla="*/ 2204 w 2204"/>
            <a:gd name="T17" fmla="*/ 755 h 3230"/>
            <a:gd name="T18" fmla="*/ 1616 w 2204"/>
            <a:gd name="T19" fmla="*/ 0 h 3230"/>
            <a:gd name="T20" fmla="*/ 1269 w 2204"/>
            <a:gd name="T21" fmla="*/ 1077 h 3230"/>
            <a:gd name="T22" fmla="*/ 2200 w 2204"/>
            <a:gd name="T23" fmla="*/ 1078 h 3230"/>
            <a:gd name="T24" fmla="*/ 2089 w 2204"/>
            <a:gd name="T25" fmla="*/ 1615 h 3230"/>
            <a:gd name="T26" fmla="*/ 625 w 2204"/>
            <a:gd name="T27" fmla="*/ 3230 h 3230"/>
            <a:gd name="T28" fmla="*/ 520 w 2204"/>
            <a:gd name="T29" fmla="*/ 3220 h 3230"/>
            <a:gd name="T30" fmla="*/ 521 w 2204"/>
            <a:gd name="T31" fmla="*/ 3220 h 3230"/>
            <a:gd name="T32" fmla="*/ 544 w 2204"/>
            <a:gd name="T33" fmla="*/ 3218 h 3230"/>
            <a:gd name="T34" fmla="*/ 545 w 2204"/>
            <a:gd name="T35" fmla="*/ 3218 h 3230"/>
            <a:gd name="T36" fmla="*/ 567 w 2204"/>
            <a:gd name="T37" fmla="*/ 3216 h 3230"/>
            <a:gd name="T38" fmla="*/ 569 w 2204"/>
            <a:gd name="T39" fmla="*/ 3215 h 3230"/>
            <a:gd name="T40" fmla="*/ 591 w 2204"/>
            <a:gd name="T41" fmla="*/ 3212 h 3230"/>
            <a:gd name="T42" fmla="*/ 593 w 2204"/>
            <a:gd name="T43" fmla="*/ 3212 h 3230"/>
            <a:gd name="T44" fmla="*/ 615 w 2204"/>
            <a:gd name="T45" fmla="*/ 3207 h 3230"/>
            <a:gd name="T46" fmla="*/ 616 w 2204"/>
            <a:gd name="T47" fmla="*/ 3207 h 3230"/>
            <a:gd name="T48" fmla="*/ 640 w 2204"/>
            <a:gd name="T49" fmla="*/ 3201 h 3230"/>
            <a:gd name="T50" fmla="*/ 640 w 2204"/>
            <a:gd name="T51" fmla="*/ 3201 h 3230"/>
            <a:gd name="T52" fmla="*/ 782 w 2204"/>
            <a:gd name="T53" fmla="*/ 3147 h 3230"/>
            <a:gd name="T54" fmla="*/ 890 w 2204"/>
            <a:gd name="T55" fmla="*/ 3084 h 3230"/>
            <a:gd name="T56" fmla="*/ 1664 w 2204"/>
            <a:gd name="T57" fmla="*/ 1804 h 3230"/>
            <a:gd name="T58" fmla="*/ 1224 w 2204"/>
            <a:gd name="T59" fmla="*/ 1340 h 3230"/>
            <a:gd name="T60" fmla="*/ 1269 w 2204"/>
            <a:gd name="T61" fmla="*/ 1077 h 3230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  <a:cxn ang="0">
              <a:pos x="T24" y="T25"/>
            </a:cxn>
            <a:cxn ang="0">
              <a:pos x="T26" y="T27"/>
            </a:cxn>
            <a:cxn ang="0">
              <a:pos x="T28" y="T29"/>
            </a:cxn>
            <a:cxn ang="0">
              <a:pos x="T30" y="T31"/>
            </a:cxn>
            <a:cxn ang="0">
              <a:pos x="T32" y="T33"/>
            </a:cxn>
            <a:cxn ang="0">
              <a:pos x="T34" y="T35"/>
            </a:cxn>
            <a:cxn ang="0">
              <a:pos x="T36" y="T37"/>
            </a:cxn>
            <a:cxn ang="0">
              <a:pos x="T38" y="T39"/>
            </a:cxn>
            <a:cxn ang="0">
              <a:pos x="T40" y="T41"/>
            </a:cxn>
            <a:cxn ang="0">
              <a:pos x="T42" y="T43"/>
            </a:cxn>
            <a:cxn ang="0">
              <a:pos x="T44" y="T45"/>
            </a:cxn>
            <a:cxn ang="0">
              <a:pos x="T46" y="T47"/>
            </a:cxn>
            <a:cxn ang="0">
              <a:pos x="T48" y="T49"/>
            </a:cxn>
            <a:cxn ang="0">
              <a:pos x="T50" y="T51"/>
            </a:cxn>
            <a:cxn ang="0">
              <a:pos x="T52" y="T53"/>
            </a:cxn>
            <a:cxn ang="0">
              <a:pos x="T54" y="T55"/>
            </a:cxn>
            <a:cxn ang="0">
              <a:pos x="T56" y="T57"/>
            </a:cxn>
            <a:cxn ang="0">
              <a:pos x="T58" y="T59"/>
            </a:cxn>
            <a:cxn ang="0">
              <a:pos x="T60" y="T61"/>
            </a:cxn>
          </a:cxnLst>
          <a:rect l="0" t="0" r="r" b="b"/>
          <a:pathLst>
            <a:path w="2204" h="3230">
              <a:moveTo>
                <a:pt x="1616" y="0"/>
              </a:moveTo>
              <a:cubicBezTo>
                <a:pt x="1082" y="0"/>
                <a:pt x="425" y="726"/>
                <a:pt x="152" y="1615"/>
              </a:cubicBezTo>
              <a:cubicBezTo>
                <a:pt x="9" y="2082"/>
                <a:pt x="0" y="2515"/>
                <a:pt x="101" y="2810"/>
              </a:cubicBezTo>
              <a:cubicBezTo>
                <a:pt x="91" y="2737"/>
                <a:pt x="86" y="2646"/>
                <a:pt x="88" y="2560"/>
              </a:cubicBezTo>
              <a:cubicBezTo>
                <a:pt x="88" y="2559"/>
                <a:pt x="88" y="2558"/>
                <a:pt x="88" y="2558"/>
              </a:cubicBezTo>
              <a:cubicBezTo>
                <a:pt x="97" y="2254"/>
                <a:pt x="170" y="1955"/>
                <a:pt x="276" y="1674"/>
              </a:cubicBezTo>
              <a:cubicBezTo>
                <a:pt x="584" y="873"/>
                <a:pt x="1095" y="391"/>
                <a:pt x="1482" y="371"/>
              </a:cubicBezTo>
              <a:cubicBezTo>
                <a:pt x="1691" y="360"/>
                <a:pt x="1792" y="495"/>
                <a:pt x="1784" y="755"/>
              </a:cubicBezTo>
              <a:cubicBezTo>
                <a:pt x="2204" y="755"/>
                <a:pt x="2204" y="755"/>
                <a:pt x="2204" y="755"/>
              </a:cubicBezTo>
              <a:cubicBezTo>
                <a:pt x="2170" y="302"/>
                <a:pt x="1960" y="0"/>
                <a:pt x="1616" y="0"/>
              </a:cubicBezTo>
              <a:moveTo>
                <a:pt x="1269" y="1077"/>
              </a:moveTo>
              <a:cubicBezTo>
                <a:pt x="2200" y="1078"/>
                <a:pt x="2200" y="1078"/>
                <a:pt x="2200" y="1078"/>
              </a:cubicBezTo>
              <a:cubicBezTo>
                <a:pt x="2183" y="1242"/>
                <a:pt x="2145" y="1433"/>
                <a:pt x="2089" y="1615"/>
              </a:cubicBezTo>
              <a:cubicBezTo>
                <a:pt x="1816" y="2505"/>
                <a:pt x="1159" y="3230"/>
                <a:pt x="625" y="3230"/>
              </a:cubicBezTo>
              <a:cubicBezTo>
                <a:pt x="589" y="3230"/>
                <a:pt x="554" y="3226"/>
                <a:pt x="520" y="3220"/>
              </a:cubicBezTo>
              <a:cubicBezTo>
                <a:pt x="521" y="3220"/>
                <a:pt x="521" y="3220"/>
                <a:pt x="521" y="3220"/>
              </a:cubicBezTo>
              <a:cubicBezTo>
                <a:pt x="529" y="3219"/>
                <a:pt x="536" y="3219"/>
                <a:pt x="544" y="3218"/>
              </a:cubicBezTo>
              <a:cubicBezTo>
                <a:pt x="544" y="3218"/>
                <a:pt x="544" y="3218"/>
                <a:pt x="545" y="3218"/>
              </a:cubicBezTo>
              <a:cubicBezTo>
                <a:pt x="552" y="3217"/>
                <a:pt x="560" y="3217"/>
                <a:pt x="567" y="3216"/>
              </a:cubicBezTo>
              <a:cubicBezTo>
                <a:pt x="568" y="3215"/>
                <a:pt x="568" y="3215"/>
                <a:pt x="569" y="3215"/>
              </a:cubicBezTo>
              <a:cubicBezTo>
                <a:pt x="576" y="3214"/>
                <a:pt x="584" y="3213"/>
                <a:pt x="591" y="3212"/>
              </a:cubicBezTo>
              <a:cubicBezTo>
                <a:pt x="592" y="3212"/>
                <a:pt x="592" y="3212"/>
                <a:pt x="593" y="3212"/>
              </a:cubicBezTo>
              <a:cubicBezTo>
                <a:pt x="600" y="3210"/>
                <a:pt x="608" y="3209"/>
                <a:pt x="615" y="3207"/>
              </a:cubicBezTo>
              <a:cubicBezTo>
                <a:pt x="616" y="3207"/>
                <a:pt x="616" y="3207"/>
                <a:pt x="616" y="3207"/>
              </a:cubicBezTo>
              <a:cubicBezTo>
                <a:pt x="624" y="3205"/>
                <a:pt x="632" y="3203"/>
                <a:pt x="640" y="3201"/>
              </a:cubicBezTo>
              <a:cubicBezTo>
                <a:pt x="640" y="3201"/>
                <a:pt x="640" y="3201"/>
                <a:pt x="640" y="3201"/>
              </a:cubicBezTo>
              <a:cubicBezTo>
                <a:pt x="688" y="3188"/>
                <a:pt x="738" y="3170"/>
                <a:pt x="782" y="3147"/>
              </a:cubicBezTo>
              <a:cubicBezTo>
                <a:pt x="814" y="3130"/>
                <a:pt x="859" y="3103"/>
                <a:pt x="890" y="3084"/>
              </a:cubicBezTo>
              <a:cubicBezTo>
                <a:pt x="1342" y="2773"/>
                <a:pt x="1526" y="2350"/>
                <a:pt x="1664" y="1804"/>
              </a:cubicBezTo>
              <a:cubicBezTo>
                <a:pt x="1733" y="1329"/>
                <a:pt x="1707" y="1111"/>
                <a:pt x="1224" y="1340"/>
              </a:cubicBezTo>
              <a:lnTo>
                <a:pt x="1269" y="1077"/>
              </a:lnTo>
              <a:close/>
            </a:path>
          </a:pathLst>
        </a:custGeom>
        <a:solidFill>
          <a:srgbClr val="FFFFFF">
            <a:alpha val="36000"/>
          </a:srgbClr>
        </a:solidFill>
        <a:ln>
          <a:noFill/>
        </a:ln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pt-BR"/>
        </a:p>
      </xdr:txBody>
    </xdr:sp>
    <xdr:clientData/>
  </xdr:twoCellAnchor>
  <xdr:twoCellAnchor editAs="oneCell">
    <xdr:from>
      <xdr:col>18</xdr:col>
      <xdr:colOff>511154</xdr:colOff>
      <xdr:row>0</xdr:row>
      <xdr:rowOff>123825</xdr:rowOff>
    </xdr:from>
    <xdr:to>
      <xdr:col>19</xdr:col>
      <xdr:colOff>304799</xdr:colOff>
      <xdr:row>3</xdr:row>
      <xdr:rowOff>9525</xdr:rowOff>
    </xdr:to>
    <xdr:pic>
      <xdr:nvPicPr>
        <xdr:cNvPr id="16" name="Imagem 15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83954" y="123825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400050</xdr:colOff>
      <xdr:row>3</xdr:row>
      <xdr:rowOff>19048</xdr:rowOff>
    </xdr:from>
    <xdr:to>
      <xdr:col>19</xdr:col>
      <xdr:colOff>590550</xdr:colOff>
      <xdr:row>4</xdr:row>
      <xdr:rowOff>104773</xdr:rowOff>
    </xdr:to>
    <xdr:sp macro="" textlink="">
      <xdr:nvSpPr>
        <xdr:cNvPr id="17" name="CaixaDeTexto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 txBox="1"/>
      </xdr:nvSpPr>
      <xdr:spPr>
        <a:xfrm>
          <a:off x="11372850" y="590548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380172</xdr:colOff>
      <xdr:row>20</xdr:row>
      <xdr:rowOff>133350</xdr:rowOff>
    </xdr:from>
    <xdr:to>
      <xdr:col>19</xdr:col>
      <xdr:colOff>76200</xdr:colOff>
      <xdr:row>22</xdr:row>
      <xdr:rowOff>152400</xdr:rowOff>
    </xdr:to>
    <xdr:pic>
      <xdr:nvPicPr>
        <xdr:cNvPr id="18" name="Imagem 17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2972" y="39433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437322</xdr:colOff>
      <xdr:row>20</xdr:row>
      <xdr:rowOff>133350</xdr:rowOff>
    </xdr:from>
    <xdr:to>
      <xdr:col>18</xdr:col>
      <xdr:colOff>133350</xdr:colOff>
      <xdr:row>22</xdr:row>
      <xdr:rowOff>152400</xdr:rowOff>
    </xdr:to>
    <xdr:pic>
      <xdr:nvPicPr>
        <xdr:cNvPr id="19" name="Imagem 18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00522" y="39433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257175</xdr:colOff>
      <xdr:row>22</xdr:row>
      <xdr:rowOff>123824</xdr:rowOff>
    </xdr:from>
    <xdr:to>
      <xdr:col>19</xdr:col>
      <xdr:colOff>447675</xdr:colOff>
      <xdr:row>24</xdr:row>
      <xdr:rowOff>19049</xdr:rowOff>
    </xdr:to>
    <xdr:sp macro="" textlink="">
      <xdr:nvSpPr>
        <xdr:cNvPr id="20" name="CaixaDeTexto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SpPr txBox="1"/>
      </xdr:nvSpPr>
      <xdr:spPr>
        <a:xfrm>
          <a:off x="11229975" y="431482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84667</xdr:colOff>
      <xdr:row>22</xdr:row>
      <xdr:rowOff>123824</xdr:rowOff>
    </xdr:from>
    <xdr:to>
      <xdr:col>18</xdr:col>
      <xdr:colOff>333375</xdr:colOff>
      <xdr:row>24</xdr:row>
      <xdr:rowOff>21167</xdr:rowOff>
    </xdr:to>
    <xdr:sp macro="" textlink="">
      <xdr:nvSpPr>
        <xdr:cNvPr id="21" name="CaixaDeTexto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SpPr txBox="1"/>
      </xdr:nvSpPr>
      <xdr:spPr>
        <a:xfrm>
          <a:off x="10999611" y="4314824"/>
          <a:ext cx="890764" cy="27834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0</xdr:col>
      <xdr:colOff>211666</xdr:colOff>
      <xdr:row>9</xdr:row>
      <xdr:rowOff>139254</xdr:rowOff>
    </xdr:from>
    <xdr:ext cx="8008056" cy="789703"/>
    <xdr:sp macro="" textlink="">
      <xdr:nvSpPr>
        <xdr:cNvPr id="22" name="CaixaDeTexto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SpPr txBox="1"/>
      </xdr:nvSpPr>
      <xdr:spPr>
        <a:xfrm>
          <a:off x="211666" y="1853754"/>
          <a:ext cx="8008056" cy="78970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>
            <a:spcBef>
              <a:spcPts val="600"/>
            </a:spcBef>
          </a:pPr>
          <a:r>
            <a:rPr lang="pt-BR" sz="1200" b="1">
              <a:solidFill>
                <a:srgbClr val="FF0000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Obs.: A receita do segmento de logística de veículos divulgada inclui os outros serviços que não somente o de transporte, que podem variar com uma outra dinâmica. Portanto, a estimativa não é 100% precisa, mas como grande parte da receita provém do </a:t>
          </a:r>
          <a:br>
            <a:rPr lang="pt-BR" sz="1200" b="1">
              <a:solidFill>
                <a:srgbClr val="FF0000"/>
              </a:solidFill>
              <a:effectLst/>
              <a:latin typeface="Montserrat" panose="00000500000000000000" pitchFamily="2" charset="0"/>
              <a:ea typeface="+mn-ea"/>
              <a:cs typeface="+mn-cs"/>
            </a:rPr>
          </a:br>
          <a:r>
            <a:rPr lang="pt-BR" sz="1200" b="1">
              <a:solidFill>
                <a:srgbClr val="FF0000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transporte, ela deve ser bem próxima. </a:t>
          </a:r>
        </a:p>
      </xdr:txBody>
    </xdr:sp>
    <xdr:clientData/>
  </xdr:oneCellAnchor>
  <xdr:oneCellAnchor>
    <xdr:from>
      <xdr:col>1</xdr:col>
      <xdr:colOff>42334</xdr:colOff>
      <xdr:row>19</xdr:row>
      <xdr:rowOff>63500</xdr:rowOff>
    </xdr:from>
    <xdr:ext cx="8117417" cy="962828"/>
    <xdr:sp macro="" textlink="">
      <xdr:nvSpPr>
        <xdr:cNvPr id="23" name="CaixaDeTexto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SpPr txBox="1"/>
      </xdr:nvSpPr>
      <xdr:spPr>
        <a:xfrm>
          <a:off x="656167" y="3683000"/>
          <a:ext cx="8117417" cy="962828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>
            <a:spcBef>
              <a:spcPts val="600"/>
            </a:spcBef>
          </a:pP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2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Uma maneira de projetar a receita da operação de logística de veículos seria 1: projetar a quantidade de veículos transportados; 2: estimar a km média; 3: estimar a tarifa de transporte (que depende da inflação de logística e de negociações comerciais); 4: multiplicar a distância total (veículos transportados x km média).</a:t>
          </a:r>
        </a:p>
      </xdr:txBody>
    </xdr:sp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Automotiva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243417</xdr:colOff>
      <xdr:row>3</xdr:row>
      <xdr:rowOff>65174</xdr:rowOff>
    </xdr:from>
    <xdr:ext cx="9609666" cy="4125825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 txBox="1"/>
      </xdr:nvSpPr>
      <xdr:spPr>
        <a:xfrm>
          <a:off x="243417" y="636674"/>
          <a:ext cx="9609666" cy="41258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pt-BR" sz="13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Custos dos serviços prestados </a:t>
          </a:r>
        </a:p>
        <a:p>
          <a:pPr>
            <a:spcBef>
              <a:spcPts val="600"/>
            </a:spcBef>
          </a:pP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Os </a:t>
          </a:r>
          <a:r>
            <a:rPr lang="pt-BR" sz="13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custos dos serviços prestados</a:t>
          </a: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da divisão correspondem majoritariamente ao frete que a Tegma paga aos caminhoneiros terceirizados, responsáveis pela entrega final dos veículos até as concessionárias ou até os portos. </a:t>
          </a:r>
        </a:p>
        <a:p>
          <a:pPr>
            <a:spcBef>
              <a:spcPts val="600"/>
            </a:spcBef>
          </a:pP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Os custos variáveis correspondem a fretes, combustíveis, créditos de PIS/Cofins e outros custos variáveis. Os custos variáveis nos últimos 5 anos corresponderam a em média </a:t>
          </a:r>
          <a:r>
            <a:rPr kumimoji="0" lang="pt-BR" sz="1300" b="1" i="0" u="none" strike="noStrike" kern="0" cap="none" spc="0" normalizeH="0" baseline="0">
              <a:ln>
                <a:noFill/>
              </a:ln>
              <a:solidFill>
                <a:srgbClr val="EA7423"/>
              </a:solidFill>
              <a:effectLst/>
              <a:uLnTx/>
              <a:uFillTx/>
              <a:latin typeface="Montserrat" panose="00000500000000000000" pitchFamily="2" charset="0"/>
              <a:ea typeface="+mn-ea"/>
              <a:cs typeface="+mn-cs"/>
            </a:rPr>
            <a:t>64,1% da receita Líquida</a:t>
          </a: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</a:p>
        <a:p>
          <a:pPr>
            <a:spcBef>
              <a:spcPts val="600"/>
            </a:spcBef>
          </a:pP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Os custos fixos correspondem a custos com pessoal operacional (principalmente dos responsáveis por fazer o manuseio dos veículos nos pátios de consolidação), depreciação e outros custos como manutenção da frota própria, vigilância, seguros, combustíveis (usados pela frota própria, que representa cerca de 7% da frota total), entre outros. Os custos fixos nos últimos 5 anos corresponderam a em média </a:t>
          </a:r>
          <a:r>
            <a:rPr kumimoji="0" lang="pt-BR" sz="1300" b="1" i="0" u="none" strike="noStrike" kern="0" cap="none" spc="0" normalizeH="0" baseline="0">
              <a:ln>
                <a:noFill/>
              </a:ln>
              <a:solidFill>
                <a:srgbClr val="EA7423"/>
              </a:solidFill>
              <a:effectLst/>
              <a:uLnTx/>
              <a:uFillTx/>
              <a:latin typeface="Montserrat" panose="00000500000000000000" pitchFamily="2" charset="0"/>
              <a:ea typeface="+mn-ea"/>
              <a:cs typeface="+mn-cs"/>
            </a:rPr>
            <a:t>13,5% da receita Líquida</a:t>
          </a: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</a:p>
        <a:p>
          <a:pPr>
            <a:spcBef>
              <a:spcPts val="600"/>
            </a:spcBef>
          </a:pPr>
          <a:r>
            <a:rPr kumimoji="0" lang="pt-BR" sz="1300" b="1" i="0" u="none" strike="noStrike" kern="0" cap="none" spc="0" normalizeH="0" baseline="0" noProof="0">
              <a:ln>
                <a:noFill/>
              </a:ln>
              <a:solidFill>
                <a:srgbClr val="EA7423"/>
              </a:solidFill>
              <a:effectLst/>
              <a:uLnTx/>
              <a:uFillTx/>
              <a:latin typeface="Montserrat" panose="00000500000000000000" pitchFamily="2" charset="0"/>
              <a:ea typeface="+mn-ea"/>
              <a:cs typeface="+mn-cs"/>
            </a:rPr>
            <a:t>Despesas</a:t>
          </a:r>
          <a:endParaRPr lang="pt-BR" sz="1300">
            <a:solidFill>
              <a:srgbClr val="EA7423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  <a:p>
          <a:pPr>
            <a:spcBef>
              <a:spcPts val="600"/>
            </a:spcBef>
          </a:pP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As </a:t>
          </a:r>
          <a:r>
            <a:rPr lang="pt-BR" sz="13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despesas</a:t>
          </a: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da divisão incluem despesas gerais e administrativas e outras receitas e despesas.</a:t>
          </a:r>
        </a:p>
        <a:p>
          <a:pPr>
            <a:spcBef>
              <a:spcPts val="600"/>
            </a:spcBef>
          </a:pPr>
          <a:r>
            <a:rPr kumimoji="0" lang="pt-BR" sz="1300" b="1" i="0" u="none" strike="noStrike" kern="0" cap="none" spc="0" normalizeH="0" baseline="0" noProof="0">
              <a:ln>
                <a:noFill/>
              </a:ln>
              <a:solidFill>
                <a:srgbClr val="EA7423"/>
              </a:solidFill>
              <a:effectLst/>
              <a:uLnTx/>
              <a:uFillTx/>
              <a:latin typeface="Montserrat" panose="00000500000000000000" pitchFamily="2" charset="0"/>
              <a:ea typeface="+mn-ea"/>
              <a:cs typeface="+mn-cs"/>
            </a:rPr>
            <a:t>Depreciação/amortização</a:t>
          </a:r>
          <a:endParaRPr lang="pt-BR" sz="1300">
            <a:solidFill>
              <a:srgbClr val="EA7423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  <a:p>
          <a:pPr>
            <a:spcBef>
              <a:spcPts val="600"/>
            </a:spcBef>
          </a:pP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</a:t>
          </a:r>
          <a:r>
            <a:rPr lang="pt-BR" sz="13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depreciação/amortização</a:t>
          </a:r>
          <a:r>
            <a:rPr lang="pt-BR" sz="13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da divisão reflete principalmente a depreciação das benfeitorias em terrenos e equipamentos de transporte próprios, além da amortização do direito de uso dos imóveis alugados.</a:t>
          </a:r>
        </a:p>
      </xdr:txBody>
    </xdr:sp>
    <xdr:clientData/>
  </xdr:oneCellAnchor>
  <xdr:twoCellAnchor editAs="oneCell">
    <xdr:from>
      <xdr:col>15</xdr:col>
      <xdr:colOff>600075</xdr:colOff>
      <xdr:row>0</xdr:row>
      <xdr:rowOff>19050</xdr:rowOff>
    </xdr:from>
    <xdr:to>
      <xdr:col>19</xdr:col>
      <xdr:colOff>571500</xdr:colOff>
      <xdr:row>24</xdr:row>
      <xdr:rowOff>152400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5002"/>
        <a:stretch/>
      </xdr:blipFill>
      <xdr:spPr>
        <a:xfrm>
          <a:off x="9744075" y="19050"/>
          <a:ext cx="2409825" cy="4705350"/>
        </a:xfrm>
        <a:prstGeom prst="rect">
          <a:avLst/>
        </a:prstGeom>
      </xdr:spPr>
    </xdr:pic>
    <xdr:clientData/>
  </xdr:twoCellAnchor>
  <xdr:twoCellAnchor>
    <xdr:from>
      <xdr:col>15</xdr:col>
      <xdr:colOff>333375</xdr:colOff>
      <xdr:row>0</xdr:row>
      <xdr:rowOff>0</xdr:rowOff>
    </xdr:from>
    <xdr:to>
      <xdr:col>19</xdr:col>
      <xdr:colOff>535079</xdr:colOff>
      <xdr:row>25</xdr:row>
      <xdr:rowOff>0</xdr:rowOff>
    </xdr:to>
    <xdr:grpSp>
      <xdr:nvGrpSpPr>
        <xdr:cNvPr id="17" name="Agrupar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GrpSpPr/>
      </xdr:nvGrpSpPr>
      <xdr:grpSpPr>
        <a:xfrm>
          <a:off x="9540875" y="0"/>
          <a:ext cx="2657037" cy="4762500"/>
          <a:chOff x="5507735" y="2613621"/>
          <a:chExt cx="905725" cy="1632502"/>
        </a:xfrm>
      </xdr:grpSpPr>
      <xdr:sp macro="" textlink="">
        <xdr:nvSpPr>
          <xdr:cNvPr id="18" name="Forma Livre: Forma 34">
            <a:extLst>
              <a:ext uri="{FF2B5EF4-FFF2-40B4-BE49-F238E27FC236}">
                <a16:creationId xmlns:a16="http://schemas.microsoft.com/office/drawing/2014/main" id="{00000000-0008-0000-0800-000012000000}"/>
              </a:ext>
            </a:extLst>
          </xdr:cNvPr>
          <xdr:cNvSpPr/>
        </xdr:nvSpPr>
        <xdr:spPr>
          <a:xfrm>
            <a:off x="5507735" y="2613621"/>
            <a:ext cx="905725" cy="1569167"/>
          </a:xfrm>
          <a:custGeom>
            <a:avLst/>
            <a:gdLst>
              <a:gd name="connsiteX0" fmla="*/ 13463 w 1105698"/>
              <a:gd name="connsiteY0" fmla="*/ 1356408 h 1569167"/>
              <a:gd name="connsiteX1" fmla="*/ 132135 w 1105698"/>
              <a:gd name="connsiteY1" fmla="*/ 1569168 h 1569167"/>
              <a:gd name="connsiteX2" fmla="*/ 160663 w 1105698"/>
              <a:gd name="connsiteY2" fmla="*/ 833361 h 1569167"/>
              <a:gd name="connsiteX3" fmla="*/ 716999 w 1105698"/>
              <a:gd name="connsiteY3" fmla="*/ 223399 h 1569167"/>
              <a:gd name="connsiteX4" fmla="*/ 850349 w 1105698"/>
              <a:gd name="connsiteY4" fmla="*/ 384715 h 1569167"/>
              <a:gd name="connsiteX5" fmla="*/ 1104495 w 1105698"/>
              <a:gd name="connsiteY5" fmla="*/ 384191 h 1569167"/>
              <a:gd name="connsiteX6" fmla="*/ 817202 w 1105698"/>
              <a:gd name="connsiteY6" fmla="*/ 0 h 1569167"/>
              <a:gd name="connsiteX7" fmla="*/ 173359 w 1105698"/>
              <a:gd name="connsiteY7" fmla="*/ 553088 h 1569167"/>
              <a:gd name="connsiteX8" fmla="*/ 13463 w 1105698"/>
              <a:gd name="connsiteY8" fmla="*/ 1356408 h 156916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105698" h="1569167">
                <a:moveTo>
                  <a:pt x="13463" y="1356408"/>
                </a:moveTo>
                <a:cubicBezTo>
                  <a:pt x="35075" y="1474546"/>
                  <a:pt x="84005" y="1550013"/>
                  <a:pt x="132135" y="1569168"/>
                </a:cubicBezTo>
                <a:cubicBezTo>
                  <a:pt x="-329" y="1367247"/>
                  <a:pt x="75947" y="1042168"/>
                  <a:pt x="160663" y="833361"/>
                </a:cubicBezTo>
                <a:cubicBezTo>
                  <a:pt x="242444" y="631822"/>
                  <a:pt x="478359" y="244583"/>
                  <a:pt x="716999" y="223399"/>
                </a:cubicBezTo>
                <a:cubicBezTo>
                  <a:pt x="832432" y="217999"/>
                  <a:pt x="846777" y="293037"/>
                  <a:pt x="850349" y="384715"/>
                </a:cubicBezTo>
                <a:lnTo>
                  <a:pt x="1104495" y="384191"/>
                </a:lnTo>
                <a:cubicBezTo>
                  <a:pt x="1119240" y="225752"/>
                  <a:pt x="997101" y="-19"/>
                  <a:pt x="817202" y="0"/>
                </a:cubicBezTo>
                <a:cubicBezTo>
                  <a:pt x="524461" y="29"/>
                  <a:pt x="309176" y="313392"/>
                  <a:pt x="173359" y="553088"/>
                </a:cubicBezTo>
                <a:cubicBezTo>
                  <a:pt x="-30057" y="968016"/>
                  <a:pt x="-8149" y="1238269"/>
                  <a:pt x="13463" y="1356408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  <xdr:sp macro="" textlink="">
        <xdr:nvSpPr>
          <xdr:cNvPr id="19" name="Forma Livre: Forma 35">
            <a:extLst>
              <a:ext uri="{FF2B5EF4-FFF2-40B4-BE49-F238E27FC236}">
                <a16:creationId xmlns:a16="http://schemas.microsoft.com/office/drawing/2014/main" id="{00000000-0008-0000-0800-000013000000}"/>
              </a:ext>
            </a:extLst>
          </xdr:cNvPr>
          <xdr:cNvSpPr/>
        </xdr:nvSpPr>
        <xdr:spPr>
          <a:xfrm>
            <a:off x="5716749" y="3161194"/>
            <a:ext cx="689802" cy="1084929"/>
          </a:xfrm>
          <a:custGeom>
            <a:avLst/>
            <a:gdLst>
              <a:gd name="connsiteX0" fmla="*/ 524446 w 826817"/>
              <a:gd name="connsiteY0" fmla="*/ 758504 h 1084929"/>
              <a:gd name="connsiteX1" fmla="*/ 826541 w 826817"/>
              <a:gd name="connsiteY1" fmla="*/ 9011 h 1084929"/>
              <a:gd name="connsiteX2" fmla="*/ 826817 w 826817"/>
              <a:gd name="connsiteY2" fmla="*/ 933 h 1084929"/>
              <a:gd name="connsiteX3" fmla="*/ 359168 w 826817"/>
              <a:gd name="connsiteY3" fmla="*/ 0 h 1084929"/>
              <a:gd name="connsiteX4" fmla="*/ 332851 w 826817"/>
              <a:gd name="connsiteY4" fmla="*/ 176098 h 1084929"/>
              <a:gd name="connsiteX5" fmla="*/ 485803 w 826817"/>
              <a:gd name="connsiteY5" fmla="*/ 139427 h 1084929"/>
              <a:gd name="connsiteX6" fmla="*/ 547040 w 826817"/>
              <a:gd name="connsiteY6" fmla="*/ 268938 h 1084929"/>
              <a:gd name="connsiteX7" fmla="*/ 234324 w 826817"/>
              <a:gd name="connsiteY7" fmla="*/ 958691 h 1084929"/>
              <a:gd name="connsiteX8" fmla="*/ 247 w 826817"/>
              <a:gd name="connsiteY8" fmla="*/ 1082307 h 1084929"/>
              <a:gd name="connsiteX9" fmla="*/ 524446 w 826817"/>
              <a:gd name="connsiteY9" fmla="*/ 758504 h 108492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826817" h="1084929">
                <a:moveTo>
                  <a:pt x="524446" y="758504"/>
                </a:moveTo>
                <a:cubicBezTo>
                  <a:pt x="667207" y="561232"/>
                  <a:pt x="815340" y="257461"/>
                  <a:pt x="826541" y="9011"/>
                </a:cubicBezTo>
                <a:cubicBezTo>
                  <a:pt x="826694" y="5753"/>
                  <a:pt x="826694" y="3267"/>
                  <a:pt x="826817" y="933"/>
                </a:cubicBezTo>
                <a:cubicBezTo>
                  <a:pt x="671112" y="1867"/>
                  <a:pt x="510749" y="476"/>
                  <a:pt x="359168" y="0"/>
                </a:cubicBezTo>
                <a:cubicBezTo>
                  <a:pt x="350882" y="59865"/>
                  <a:pt x="340842" y="116148"/>
                  <a:pt x="332851" y="176098"/>
                </a:cubicBezTo>
                <a:cubicBezTo>
                  <a:pt x="344471" y="177451"/>
                  <a:pt x="413585" y="128664"/>
                  <a:pt x="485803" y="139427"/>
                </a:cubicBezTo>
                <a:cubicBezTo>
                  <a:pt x="548106" y="148723"/>
                  <a:pt x="546878" y="226171"/>
                  <a:pt x="547040" y="268938"/>
                </a:cubicBezTo>
                <a:cubicBezTo>
                  <a:pt x="528847" y="632050"/>
                  <a:pt x="351567" y="862289"/>
                  <a:pt x="234324" y="958691"/>
                </a:cubicBezTo>
                <a:cubicBezTo>
                  <a:pt x="117100" y="1055084"/>
                  <a:pt x="-6268" y="1081297"/>
                  <a:pt x="247" y="1082307"/>
                </a:cubicBezTo>
                <a:cubicBezTo>
                  <a:pt x="177327" y="1109539"/>
                  <a:pt x="408022" y="919372"/>
                  <a:pt x="524446" y="758504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</xdr:grpSp>
    <xdr:clientData/>
  </xdr:twoCellAnchor>
  <xdr:twoCellAnchor editAs="oneCell">
    <xdr:from>
      <xdr:col>18</xdr:col>
      <xdr:colOff>383967</xdr:colOff>
      <xdr:row>0</xdr:row>
      <xdr:rowOff>176493</xdr:rowOff>
    </xdr:from>
    <xdr:to>
      <xdr:col>19</xdr:col>
      <xdr:colOff>177612</xdr:colOff>
      <xdr:row>3</xdr:row>
      <xdr:rowOff>62193</xdr:rowOff>
    </xdr:to>
    <xdr:pic>
      <xdr:nvPicPr>
        <xdr:cNvPr id="13" name="Imagem 12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6767" y="176493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272863</xdr:colOff>
      <xdr:row>3</xdr:row>
      <xdr:rowOff>71716</xdr:rowOff>
    </xdr:from>
    <xdr:to>
      <xdr:col>19</xdr:col>
      <xdr:colOff>463363</xdr:colOff>
      <xdr:row>4</xdr:row>
      <xdr:rowOff>157441</xdr:rowOff>
    </xdr:to>
    <xdr:sp macro="" textlink="">
      <xdr:nvSpPr>
        <xdr:cNvPr id="14" name="CaixaDeTexto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SpPr txBox="1"/>
      </xdr:nvSpPr>
      <xdr:spPr>
        <a:xfrm>
          <a:off x="11245663" y="643216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465897</xdr:colOff>
      <xdr:row>20</xdr:row>
      <xdr:rowOff>76200</xdr:rowOff>
    </xdr:from>
    <xdr:to>
      <xdr:col>19</xdr:col>
      <xdr:colOff>161925</xdr:colOff>
      <xdr:row>22</xdr:row>
      <xdr:rowOff>95250</xdr:rowOff>
    </xdr:to>
    <xdr:pic>
      <xdr:nvPicPr>
        <xdr:cNvPr id="15" name="Imagem 14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8697" y="38862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523047</xdr:colOff>
      <xdr:row>20</xdr:row>
      <xdr:rowOff>76200</xdr:rowOff>
    </xdr:from>
    <xdr:to>
      <xdr:col>18</xdr:col>
      <xdr:colOff>219075</xdr:colOff>
      <xdr:row>22</xdr:row>
      <xdr:rowOff>95250</xdr:rowOff>
    </xdr:to>
    <xdr:pic>
      <xdr:nvPicPr>
        <xdr:cNvPr id="20" name="Imagem 19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86247" y="38862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342900</xdr:colOff>
      <xdr:row>22</xdr:row>
      <xdr:rowOff>66674</xdr:rowOff>
    </xdr:from>
    <xdr:to>
      <xdr:col>19</xdr:col>
      <xdr:colOff>533400</xdr:colOff>
      <xdr:row>23</xdr:row>
      <xdr:rowOff>152399</xdr:rowOff>
    </xdr:to>
    <xdr:sp macro="" textlink="">
      <xdr:nvSpPr>
        <xdr:cNvPr id="21" name="CaixaDeTexto 2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SpPr txBox="1"/>
      </xdr:nvSpPr>
      <xdr:spPr>
        <a:xfrm>
          <a:off x="11315700" y="425767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190500</xdr:colOff>
      <xdr:row>22</xdr:row>
      <xdr:rowOff>66674</xdr:rowOff>
    </xdr:from>
    <xdr:to>
      <xdr:col>18</xdr:col>
      <xdr:colOff>419100</xdr:colOff>
      <xdr:row>23</xdr:row>
      <xdr:rowOff>183444</xdr:rowOff>
    </xdr:to>
    <xdr:sp macro="" textlink="">
      <xdr:nvSpPr>
        <xdr:cNvPr id="22" name="CaixaDeTexto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SpPr txBox="1"/>
      </xdr:nvSpPr>
      <xdr:spPr>
        <a:xfrm>
          <a:off x="11105444" y="4257674"/>
          <a:ext cx="870656" cy="3072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Automotiva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279885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SpPr txBox="1"/>
      </xdr:nvSpPr>
      <xdr:spPr>
        <a:xfrm>
          <a:off x="285750" y="742509"/>
          <a:ext cx="7877734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Demonstração de Resultado </a:t>
          </a:r>
          <a:r>
            <a:rPr lang="pt-BR" sz="1200" b="1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(R$ mil)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</xdr:txBody>
    </xdr:sp>
    <xdr:clientData/>
  </xdr:oneCellAnchor>
  <xdr:twoCellAnchor editAs="oneCell">
    <xdr:from>
      <xdr:col>14</xdr:col>
      <xdr:colOff>600075</xdr:colOff>
      <xdr:row>0</xdr:row>
      <xdr:rowOff>19050</xdr:rowOff>
    </xdr:from>
    <xdr:to>
      <xdr:col>19</xdr:col>
      <xdr:colOff>554162</xdr:colOff>
      <xdr:row>24</xdr:row>
      <xdr:rowOff>171450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88853" y="19050"/>
          <a:ext cx="3164365" cy="4724400"/>
        </a:xfrm>
        <a:prstGeom prst="rect">
          <a:avLst/>
        </a:prstGeom>
      </xdr:spPr>
    </xdr:pic>
    <xdr:clientData/>
  </xdr:twoCellAnchor>
  <xdr:twoCellAnchor editAs="oneCell">
    <xdr:from>
      <xdr:col>18</xdr:col>
      <xdr:colOff>196829</xdr:colOff>
      <xdr:row>1</xdr:row>
      <xdr:rowOff>0</xdr:rowOff>
    </xdr:from>
    <xdr:to>
      <xdr:col>18</xdr:col>
      <xdr:colOff>600074</xdr:colOff>
      <xdr:row>3</xdr:row>
      <xdr:rowOff>76200</xdr:rowOff>
    </xdr:to>
    <xdr:pic>
      <xdr:nvPicPr>
        <xdr:cNvPr id="11" name="Imagem 10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9629" y="190500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3</xdr:row>
      <xdr:rowOff>85723</xdr:rowOff>
    </xdr:from>
    <xdr:to>
      <xdr:col>19</xdr:col>
      <xdr:colOff>276225</xdr:colOff>
      <xdr:row>4</xdr:row>
      <xdr:rowOff>171448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SpPr txBox="1"/>
      </xdr:nvSpPr>
      <xdr:spPr>
        <a:xfrm>
          <a:off x="11058525" y="657223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294447</xdr:colOff>
      <xdr:row>20</xdr:row>
      <xdr:rowOff>76200</xdr:rowOff>
    </xdr:from>
    <xdr:to>
      <xdr:col>18</xdr:col>
      <xdr:colOff>600075</xdr:colOff>
      <xdr:row>22</xdr:row>
      <xdr:rowOff>95250</xdr:rowOff>
    </xdr:to>
    <xdr:pic>
      <xdr:nvPicPr>
        <xdr:cNvPr id="18" name="Imagem 17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67247" y="38862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351597</xdr:colOff>
      <xdr:row>20</xdr:row>
      <xdr:rowOff>76200</xdr:rowOff>
    </xdr:from>
    <xdr:to>
      <xdr:col>18</xdr:col>
      <xdr:colOff>47625</xdr:colOff>
      <xdr:row>22</xdr:row>
      <xdr:rowOff>95250</xdr:rowOff>
    </xdr:to>
    <xdr:pic>
      <xdr:nvPicPr>
        <xdr:cNvPr id="19" name="Imagem 18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714797" y="38862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171450</xdr:colOff>
      <xdr:row>22</xdr:row>
      <xdr:rowOff>66674</xdr:rowOff>
    </xdr:from>
    <xdr:to>
      <xdr:col>19</xdr:col>
      <xdr:colOff>361950</xdr:colOff>
      <xdr:row>23</xdr:row>
      <xdr:rowOff>152399</xdr:rowOff>
    </xdr:to>
    <xdr:sp macro="" textlink="">
      <xdr:nvSpPr>
        <xdr:cNvPr id="20" name="CaixaDeTexto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SpPr txBox="1"/>
      </xdr:nvSpPr>
      <xdr:spPr>
        <a:xfrm>
          <a:off x="11144250" y="425767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7056</xdr:colOff>
      <xdr:row>22</xdr:row>
      <xdr:rowOff>66675</xdr:rowOff>
    </xdr:from>
    <xdr:to>
      <xdr:col>18</xdr:col>
      <xdr:colOff>247650</xdr:colOff>
      <xdr:row>23</xdr:row>
      <xdr:rowOff>91723</xdr:rowOff>
    </xdr:to>
    <xdr:sp macro="" textlink="">
      <xdr:nvSpPr>
        <xdr:cNvPr id="21" name="CaixaDeTexto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SpPr txBox="1"/>
      </xdr:nvSpPr>
      <xdr:spPr>
        <a:xfrm>
          <a:off x="10922000" y="4257675"/>
          <a:ext cx="882650" cy="2155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28600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>
          <a:spLocks/>
        </xdr:cNvSpPr>
      </xdr:nvSpPr>
      <xdr:spPr>
        <a:xfrm>
          <a:off x="1339663" y="271743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de Logística Integrada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222516</xdr:colOff>
      <xdr:row>4</xdr:row>
      <xdr:rowOff>114460</xdr:rowOff>
    </xdr:from>
    <xdr:ext cx="7108205" cy="3461332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 txBox="1"/>
      </xdr:nvSpPr>
      <xdr:spPr>
        <a:xfrm>
          <a:off x="222516" y="876460"/>
          <a:ext cx="7108205" cy="34613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marL="0" indent="0"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receita bruta da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armazenagem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depende principalmente da demanda por gestão de estoques. A cobrança é realizada a partir do volume de pico contratado pelos clientes em um certo período.</a:t>
          </a:r>
        </a:p>
        <a:p>
          <a:pPr marL="0" indent="0"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receita bruta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logística industrial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, por sua vez tem operações voltadas para dois segmentos: o setor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químicos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e o setor de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eletrodomésticos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</a:t>
          </a:r>
        </a:p>
        <a:p>
          <a:pPr marL="0" indent="0"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faturamento da logística industrial voltado para o setor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químico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depende da tonelagem de produtos químicos transportados e armazenados entre o Porto de Santos/SP, o armazém em Cubatão/SP e as respectivas fábricas. A dinâmica de crescimento desse negócio depende das vendas de produtos essenciais de cuidados pessoais e da produção de vidros no país (ambas indústrias que dependem da matéria prima que a Tegma administra).</a:t>
          </a:r>
        </a:p>
        <a:p>
          <a:pPr marL="0" indent="0"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receita bruta da logística industrial voltada para o setor de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eletrodomésticos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depende, por sua vez, i) da quantidade de viagens para coletar peças entre os diversos fornecedores e levar até as fábricas dos clientes e ii)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da remuneração dos investimentos realizados na aquisição de embalagens para acomodar as peças durante a logística, baseado em uma taxa de administração desse serviço. A dinâmica de crescimento desse negócio depende principalmente das vendas de eletrodomésticos no país.</a:t>
          </a:r>
        </a:p>
      </xdr:txBody>
    </xdr:sp>
    <xdr:clientData/>
  </xdr:oneCellAnchor>
  <xdr:twoCellAnchor editAs="oneCell">
    <xdr:from>
      <xdr:col>16384</xdr:col>
      <xdr:colOff>298480</xdr:colOff>
      <xdr:row>0</xdr:row>
      <xdr:rowOff>170661</xdr:rowOff>
    </xdr:from>
    <xdr:to>
      <xdr:col>16384</xdr:col>
      <xdr:colOff>604958</xdr:colOff>
      <xdr:row>2</xdr:row>
      <xdr:rowOff>41357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28580" y="170661"/>
          <a:ext cx="306478" cy="251696"/>
        </a:xfrm>
        <a:prstGeom prst="rect">
          <a:avLst/>
        </a:prstGeom>
      </xdr:spPr>
    </xdr:pic>
    <xdr:clientData/>
  </xdr:twoCellAnchor>
  <xdr:twoCellAnchor>
    <xdr:from>
      <xdr:col>11</xdr:col>
      <xdr:colOff>135031</xdr:colOff>
      <xdr:row>0</xdr:row>
      <xdr:rowOff>0</xdr:rowOff>
    </xdr:from>
    <xdr:to>
      <xdr:col>15</xdr:col>
      <xdr:colOff>336735</xdr:colOff>
      <xdr:row>25</xdr:row>
      <xdr:rowOff>0</xdr:rowOff>
    </xdr:to>
    <xdr:grpSp>
      <xdr:nvGrpSpPr>
        <xdr:cNvPr id="9" name="Agrupar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pSpPr/>
      </xdr:nvGrpSpPr>
      <xdr:grpSpPr>
        <a:xfrm>
          <a:off x="6887198" y="0"/>
          <a:ext cx="2657037" cy="4762500"/>
          <a:chOff x="5507735" y="2613621"/>
          <a:chExt cx="905725" cy="1632502"/>
        </a:xfrm>
      </xdr:grpSpPr>
      <xdr:sp macro="" textlink="">
        <xdr:nvSpPr>
          <xdr:cNvPr id="10" name="Forma Livre: Forma 34">
            <a:extLst>
              <a:ext uri="{FF2B5EF4-FFF2-40B4-BE49-F238E27FC236}">
                <a16:creationId xmlns:a16="http://schemas.microsoft.com/office/drawing/2014/main" id="{00000000-0008-0000-0A00-00000A000000}"/>
              </a:ext>
            </a:extLst>
          </xdr:cNvPr>
          <xdr:cNvSpPr/>
        </xdr:nvSpPr>
        <xdr:spPr>
          <a:xfrm>
            <a:off x="5507735" y="2613621"/>
            <a:ext cx="905725" cy="1569167"/>
          </a:xfrm>
          <a:custGeom>
            <a:avLst/>
            <a:gdLst>
              <a:gd name="connsiteX0" fmla="*/ 13463 w 1105698"/>
              <a:gd name="connsiteY0" fmla="*/ 1356408 h 1569167"/>
              <a:gd name="connsiteX1" fmla="*/ 132135 w 1105698"/>
              <a:gd name="connsiteY1" fmla="*/ 1569168 h 1569167"/>
              <a:gd name="connsiteX2" fmla="*/ 160663 w 1105698"/>
              <a:gd name="connsiteY2" fmla="*/ 833361 h 1569167"/>
              <a:gd name="connsiteX3" fmla="*/ 716999 w 1105698"/>
              <a:gd name="connsiteY3" fmla="*/ 223399 h 1569167"/>
              <a:gd name="connsiteX4" fmla="*/ 850349 w 1105698"/>
              <a:gd name="connsiteY4" fmla="*/ 384715 h 1569167"/>
              <a:gd name="connsiteX5" fmla="*/ 1104495 w 1105698"/>
              <a:gd name="connsiteY5" fmla="*/ 384191 h 1569167"/>
              <a:gd name="connsiteX6" fmla="*/ 817202 w 1105698"/>
              <a:gd name="connsiteY6" fmla="*/ 0 h 1569167"/>
              <a:gd name="connsiteX7" fmla="*/ 173359 w 1105698"/>
              <a:gd name="connsiteY7" fmla="*/ 553088 h 1569167"/>
              <a:gd name="connsiteX8" fmla="*/ 13463 w 1105698"/>
              <a:gd name="connsiteY8" fmla="*/ 1356408 h 156916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105698" h="1569167">
                <a:moveTo>
                  <a:pt x="13463" y="1356408"/>
                </a:moveTo>
                <a:cubicBezTo>
                  <a:pt x="35075" y="1474546"/>
                  <a:pt x="84005" y="1550013"/>
                  <a:pt x="132135" y="1569168"/>
                </a:cubicBezTo>
                <a:cubicBezTo>
                  <a:pt x="-329" y="1367247"/>
                  <a:pt x="75947" y="1042168"/>
                  <a:pt x="160663" y="833361"/>
                </a:cubicBezTo>
                <a:cubicBezTo>
                  <a:pt x="242444" y="631822"/>
                  <a:pt x="478359" y="244583"/>
                  <a:pt x="716999" y="223399"/>
                </a:cubicBezTo>
                <a:cubicBezTo>
                  <a:pt x="832432" y="217999"/>
                  <a:pt x="846777" y="293037"/>
                  <a:pt x="850349" y="384715"/>
                </a:cubicBezTo>
                <a:lnTo>
                  <a:pt x="1104495" y="384191"/>
                </a:lnTo>
                <a:cubicBezTo>
                  <a:pt x="1119240" y="225752"/>
                  <a:pt x="997101" y="-19"/>
                  <a:pt x="817202" y="0"/>
                </a:cubicBezTo>
                <a:cubicBezTo>
                  <a:pt x="524461" y="29"/>
                  <a:pt x="309176" y="313392"/>
                  <a:pt x="173359" y="553088"/>
                </a:cubicBezTo>
                <a:cubicBezTo>
                  <a:pt x="-30057" y="968016"/>
                  <a:pt x="-8149" y="1238269"/>
                  <a:pt x="13463" y="1356408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  <xdr:sp macro="" textlink="">
        <xdr:nvSpPr>
          <xdr:cNvPr id="11" name="Forma Livre: Forma 35">
            <a:extLst>
              <a:ext uri="{FF2B5EF4-FFF2-40B4-BE49-F238E27FC236}">
                <a16:creationId xmlns:a16="http://schemas.microsoft.com/office/drawing/2014/main" id="{00000000-0008-0000-0A00-00000B000000}"/>
              </a:ext>
            </a:extLst>
          </xdr:cNvPr>
          <xdr:cNvSpPr/>
        </xdr:nvSpPr>
        <xdr:spPr>
          <a:xfrm>
            <a:off x="5716749" y="3161194"/>
            <a:ext cx="689802" cy="1084929"/>
          </a:xfrm>
          <a:custGeom>
            <a:avLst/>
            <a:gdLst>
              <a:gd name="connsiteX0" fmla="*/ 524446 w 826817"/>
              <a:gd name="connsiteY0" fmla="*/ 758504 h 1084929"/>
              <a:gd name="connsiteX1" fmla="*/ 826541 w 826817"/>
              <a:gd name="connsiteY1" fmla="*/ 9011 h 1084929"/>
              <a:gd name="connsiteX2" fmla="*/ 826817 w 826817"/>
              <a:gd name="connsiteY2" fmla="*/ 933 h 1084929"/>
              <a:gd name="connsiteX3" fmla="*/ 359168 w 826817"/>
              <a:gd name="connsiteY3" fmla="*/ 0 h 1084929"/>
              <a:gd name="connsiteX4" fmla="*/ 332851 w 826817"/>
              <a:gd name="connsiteY4" fmla="*/ 176098 h 1084929"/>
              <a:gd name="connsiteX5" fmla="*/ 485803 w 826817"/>
              <a:gd name="connsiteY5" fmla="*/ 139427 h 1084929"/>
              <a:gd name="connsiteX6" fmla="*/ 547040 w 826817"/>
              <a:gd name="connsiteY6" fmla="*/ 268938 h 1084929"/>
              <a:gd name="connsiteX7" fmla="*/ 234324 w 826817"/>
              <a:gd name="connsiteY7" fmla="*/ 958691 h 1084929"/>
              <a:gd name="connsiteX8" fmla="*/ 247 w 826817"/>
              <a:gd name="connsiteY8" fmla="*/ 1082307 h 1084929"/>
              <a:gd name="connsiteX9" fmla="*/ 524446 w 826817"/>
              <a:gd name="connsiteY9" fmla="*/ 758504 h 108492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826817" h="1084929">
                <a:moveTo>
                  <a:pt x="524446" y="758504"/>
                </a:moveTo>
                <a:cubicBezTo>
                  <a:pt x="667207" y="561232"/>
                  <a:pt x="815340" y="257461"/>
                  <a:pt x="826541" y="9011"/>
                </a:cubicBezTo>
                <a:cubicBezTo>
                  <a:pt x="826694" y="5753"/>
                  <a:pt x="826694" y="3267"/>
                  <a:pt x="826817" y="933"/>
                </a:cubicBezTo>
                <a:cubicBezTo>
                  <a:pt x="671112" y="1867"/>
                  <a:pt x="510749" y="476"/>
                  <a:pt x="359168" y="0"/>
                </a:cubicBezTo>
                <a:cubicBezTo>
                  <a:pt x="350882" y="59865"/>
                  <a:pt x="340842" y="116148"/>
                  <a:pt x="332851" y="176098"/>
                </a:cubicBezTo>
                <a:cubicBezTo>
                  <a:pt x="344471" y="177451"/>
                  <a:pt x="413585" y="128664"/>
                  <a:pt x="485803" y="139427"/>
                </a:cubicBezTo>
                <a:cubicBezTo>
                  <a:pt x="548106" y="148723"/>
                  <a:pt x="546878" y="226171"/>
                  <a:pt x="547040" y="268938"/>
                </a:cubicBezTo>
                <a:cubicBezTo>
                  <a:pt x="528847" y="632050"/>
                  <a:pt x="351567" y="862289"/>
                  <a:pt x="234324" y="958691"/>
                </a:cubicBezTo>
                <a:cubicBezTo>
                  <a:pt x="117100" y="1055084"/>
                  <a:pt x="-6268" y="1081297"/>
                  <a:pt x="247" y="1082307"/>
                </a:cubicBezTo>
                <a:cubicBezTo>
                  <a:pt x="177327" y="1109539"/>
                  <a:pt x="408022" y="919372"/>
                  <a:pt x="524446" y="758504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</xdr:grpSp>
    <xdr:clientData/>
  </xdr:twoCellAnchor>
  <xdr:twoCellAnchor>
    <xdr:from>
      <xdr:col>11</xdr:col>
      <xdr:colOff>437031</xdr:colOff>
      <xdr:row>0</xdr:row>
      <xdr:rowOff>47225</xdr:rowOff>
    </xdr:from>
    <xdr:to>
      <xdr:col>16</xdr:col>
      <xdr:colOff>108857</xdr:colOff>
      <xdr:row>24</xdr:row>
      <xdr:rowOff>181695</xdr:rowOff>
    </xdr:to>
    <xdr:sp macro="" textlink="">
      <xdr:nvSpPr>
        <xdr:cNvPr id="12" name="Retângulo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/>
      </xdr:nvSpPr>
      <xdr:spPr>
        <a:xfrm>
          <a:off x="7142631" y="47225"/>
          <a:ext cx="2719826" cy="4715995"/>
        </a:xfrm>
        <a:prstGeom prst="rect">
          <a:avLst/>
        </a:prstGeom>
        <a:solidFill>
          <a:srgbClr val="EA7423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pt-BR" sz="1800" b="0" i="0" u="none" strike="noStrike" kern="1200" cap="none" spc="0" normalizeH="0" baseline="0">
            <a:ln>
              <a:noFill/>
            </a:ln>
            <a:solidFill>
              <a:prstClr val="white"/>
            </a:solidFill>
            <a:effectLst/>
            <a:uLnTx/>
            <a:uFillTx/>
            <a:latin typeface="Montserrat Medium" pitchFamily="2" charset="77"/>
            <a:ea typeface="+mn-ea"/>
            <a:cs typeface="+mn-cs"/>
          </a:endParaRPr>
        </a:p>
      </xdr:txBody>
    </xdr:sp>
    <xdr:clientData/>
  </xdr:twoCellAnchor>
  <xdr:twoCellAnchor editAs="oneCell">
    <xdr:from>
      <xdr:col>15</xdr:col>
      <xdr:colOff>542984</xdr:colOff>
      <xdr:row>0</xdr:row>
      <xdr:rowOff>47625</xdr:rowOff>
    </xdr:from>
    <xdr:to>
      <xdr:col>16383</xdr:col>
      <xdr:colOff>9525</xdr:colOff>
      <xdr:row>24</xdr:row>
      <xdr:rowOff>171450</xdr:rowOff>
    </xdr:to>
    <xdr:pic>
      <xdr:nvPicPr>
        <xdr:cNvPr id="14" name="Imagem 13" descr="Uma imagem contendo edifício, ao ar livre, caminhão, rua&#10;&#10;Descrição gerada automaticamente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1250" r="17165"/>
        <a:stretch/>
      </xdr:blipFill>
      <xdr:spPr>
        <a:xfrm>
          <a:off x="9686984" y="47625"/>
          <a:ext cx="2514541" cy="4695825"/>
        </a:xfrm>
        <a:prstGeom prst="rect">
          <a:avLst/>
        </a:prstGeom>
      </xdr:spPr>
    </xdr:pic>
    <xdr:clientData/>
  </xdr:twoCellAnchor>
  <xdr:twoCellAnchor editAs="oneCell">
    <xdr:from>
      <xdr:col>18</xdr:col>
      <xdr:colOff>215879</xdr:colOff>
      <xdr:row>1</xdr:row>
      <xdr:rowOff>123825</xdr:rowOff>
    </xdr:from>
    <xdr:to>
      <xdr:col>19</xdr:col>
      <xdr:colOff>9524</xdr:colOff>
      <xdr:row>4</xdr:row>
      <xdr:rowOff>9525</xdr:rowOff>
    </xdr:to>
    <xdr:pic>
      <xdr:nvPicPr>
        <xdr:cNvPr id="13" name="Imagem 12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8679" y="323850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104775</xdr:colOff>
      <xdr:row>4</xdr:row>
      <xdr:rowOff>19048</xdr:rowOff>
    </xdr:from>
    <xdr:to>
      <xdr:col>19</xdr:col>
      <xdr:colOff>295275</xdr:colOff>
      <xdr:row>5</xdr:row>
      <xdr:rowOff>104773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SpPr txBox="1"/>
      </xdr:nvSpPr>
      <xdr:spPr>
        <a:xfrm>
          <a:off x="11077575" y="790573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521928</xdr:colOff>
      <xdr:row>20</xdr:row>
      <xdr:rowOff>180575</xdr:rowOff>
    </xdr:from>
    <xdr:to>
      <xdr:col>19</xdr:col>
      <xdr:colOff>217956</xdr:colOff>
      <xdr:row>23</xdr:row>
      <xdr:rowOff>9125</xdr:rowOff>
    </xdr:to>
    <xdr:pic>
      <xdr:nvPicPr>
        <xdr:cNvPr id="16" name="Imagem 15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4728" y="399057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579078</xdr:colOff>
      <xdr:row>20</xdr:row>
      <xdr:rowOff>180575</xdr:rowOff>
    </xdr:from>
    <xdr:to>
      <xdr:col>18</xdr:col>
      <xdr:colOff>275106</xdr:colOff>
      <xdr:row>23</xdr:row>
      <xdr:rowOff>9125</xdr:rowOff>
    </xdr:to>
    <xdr:pic>
      <xdr:nvPicPr>
        <xdr:cNvPr id="17" name="Imagem 16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942278" y="399057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398931</xdr:colOff>
      <xdr:row>22</xdr:row>
      <xdr:rowOff>171049</xdr:rowOff>
    </xdr:from>
    <xdr:to>
      <xdr:col>19</xdr:col>
      <xdr:colOff>589431</xdr:colOff>
      <xdr:row>24</xdr:row>
      <xdr:rowOff>66274</xdr:rowOff>
    </xdr:to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SpPr txBox="1"/>
      </xdr:nvSpPr>
      <xdr:spPr>
        <a:xfrm>
          <a:off x="11371731" y="436204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254001</xdr:colOff>
      <xdr:row>22</xdr:row>
      <xdr:rowOff>183444</xdr:rowOff>
    </xdr:from>
    <xdr:to>
      <xdr:col>18</xdr:col>
      <xdr:colOff>475131</xdr:colOff>
      <xdr:row>24</xdr:row>
      <xdr:rowOff>66274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SpPr txBox="1"/>
      </xdr:nvSpPr>
      <xdr:spPr>
        <a:xfrm>
          <a:off x="11168945" y="4374444"/>
          <a:ext cx="863186" cy="2638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de Logística Integrada</a:t>
          </a: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twoCellAnchor editAs="oneCell">
    <xdr:from>
      <xdr:col>17</xdr:col>
      <xdr:colOff>108088</xdr:colOff>
      <xdr:row>0</xdr:row>
      <xdr:rowOff>0</xdr:rowOff>
    </xdr:from>
    <xdr:to>
      <xdr:col>16383</xdr:col>
      <xdr:colOff>15019</xdr:colOff>
      <xdr:row>25</xdr:row>
      <xdr:rowOff>0</xdr:rowOff>
    </xdr:to>
    <xdr:pic>
      <xdr:nvPicPr>
        <xdr:cNvPr id="12" name="Imagem 11" descr="Uma imagem contendo ao ar livre, edifício, cheio, trem&#10;&#10;Descrição gerada automaticamente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1288" y="0"/>
          <a:ext cx="1735731" cy="4762500"/>
        </a:xfrm>
        <a:prstGeom prst="rect">
          <a:avLst/>
        </a:prstGeom>
      </xdr:spPr>
    </xdr:pic>
    <xdr:clientData/>
  </xdr:twoCellAnchor>
  <xdr:twoCellAnchor>
    <xdr:from>
      <xdr:col>15</xdr:col>
      <xdr:colOff>38100</xdr:colOff>
      <xdr:row>1</xdr:row>
      <xdr:rowOff>121228</xdr:rowOff>
    </xdr:from>
    <xdr:to>
      <xdr:col>19</xdr:col>
      <xdr:colOff>568751</xdr:colOff>
      <xdr:row>23</xdr:row>
      <xdr:rowOff>1</xdr:rowOff>
    </xdr:to>
    <xdr:grpSp>
      <xdr:nvGrpSpPr>
        <xdr:cNvPr id="13" name="Agrupar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GrpSpPr>
          <a:grpSpLocks noChangeAspect="1"/>
        </xdr:cNvGrpSpPr>
      </xdr:nvGrpSpPr>
      <xdr:grpSpPr>
        <a:xfrm>
          <a:off x="9245600" y="311728"/>
          <a:ext cx="2985984" cy="4069773"/>
          <a:chOff x="5307763" y="2613621"/>
          <a:chExt cx="1105698" cy="1632502"/>
        </a:xfrm>
      </xdr:grpSpPr>
      <xdr:sp macro="" textlink="">
        <xdr:nvSpPr>
          <xdr:cNvPr id="14" name="Forma Livre: Forma 28">
            <a:extLst>
              <a:ext uri="{FF2B5EF4-FFF2-40B4-BE49-F238E27FC236}">
                <a16:creationId xmlns:a16="http://schemas.microsoft.com/office/drawing/2014/main" id="{00000000-0008-0000-0B00-00000E000000}"/>
              </a:ext>
            </a:extLst>
          </xdr:cNvPr>
          <xdr:cNvSpPr/>
        </xdr:nvSpPr>
        <xdr:spPr>
          <a:xfrm>
            <a:off x="5307763" y="2613621"/>
            <a:ext cx="1105698" cy="1569167"/>
          </a:xfrm>
          <a:custGeom>
            <a:avLst/>
            <a:gdLst>
              <a:gd name="connsiteX0" fmla="*/ 13463 w 1105698"/>
              <a:gd name="connsiteY0" fmla="*/ 1356408 h 1569167"/>
              <a:gd name="connsiteX1" fmla="*/ 132135 w 1105698"/>
              <a:gd name="connsiteY1" fmla="*/ 1569168 h 1569167"/>
              <a:gd name="connsiteX2" fmla="*/ 160663 w 1105698"/>
              <a:gd name="connsiteY2" fmla="*/ 833361 h 1569167"/>
              <a:gd name="connsiteX3" fmla="*/ 716999 w 1105698"/>
              <a:gd name="connsiteY3" fmla="*/ 223399 h 1569167"/>
              <a:gd name="connsiteX4" fmla="*/ 850349 w 1105698"/>
              <a:gd name="connsiteY4" fmla="*/ 384715 h 1569167"/>
              <a:gd name="connsiteX5" fmla="*/ 1104495 w 1105698"/>
              <a:gd name="connsiteY5" fmla="*/ 384191 h 1569167"/>
              <a:gd name="connsiteX6" fmla="*/ 817202 w 1105698"/>
              <a:gd name="connsiteY6" fmla="*/ 0 h 1569167"/>
              <a:gd name="connsiteX7" fmla="*/ 173359 w 1105698"/>
              <a:gd name="connsiteY7" fmla="*/ 553088 h 1569167"/>
              <a:gd name="connsiteX8" fmla="*/ 13463 w 1105698"/>
              <a:gd name="connsiteY8" fmla="*/ 1356408 h 156916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105698" h="1569167">
                <a:moveTo>
                  <a:pt x="13463" y="1356408"/>
                </a:moveTo>
                <a:cubicBezTo>
                  <a:pt x="35075" y="1474546"/>
                  <a:pt x="84005" y="1550013"/>
                  <a:pt x="132135" y="1569168"/>
                </a:cubicBezTo>
                <a:cubicBezTo>
                  <a:pt x="-329" y="1367247"/>
                  <a:pt x="75947" y="1042168"/>
                  <a:pt x="160663" y="833361"/>
                </a:cubicBezTo>
                <a:cubicBezTo>
                  <a:pt x="242444" y="631822"/>
                  <a:pt x="478359" y="244583"/>
                  <a:pt x="716999" y="223399"/>
                </a:cubicBezTo>
                <a:cubicBezTo>
                  <a:pt x="832432" y="217999"/>
                  <a:pt x="846777" y="293037"/>
                  <a:pt x="850349" y="384715"/>
                </a:cubicBezTo>
                <a:lnTo>
                  <a:pt x="1104495" y="384191"/>
                </a:lnTo>
                <a:cubicBezTo>
                  <a:pt x="1119240" y="225752"/>
                  <a:pt x="997101" y="-19"/>
                  <a:pt x="817202" y="0"/>
                </a:cubicBezTo>
                <a:cubicBezTo>
                  <a:pt x="524461" y="29"/>
                  <a:pt x="309176" y="313392"/>
                  <a:pt x="173359" y="553088"/>
                </a:cubicBezTo>
                <a:cubicBezTo>
                  <a:pt x="-30057" y="968016"/>
                  <a:pt x="-8149" y="1238269"/>
                  <a:pt x="13463" y="1356408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/>
          </a:p>
        </xdr:txBody>
      </xdr:sp>
      <xdr:sp macro="" textlink="">
        <xdr:nvSpPr>
          <xdr:cNvPr id="15" name="Forma Livre: Forma 29">
            <a:extLst>
              <a:ext uri="{FF2B5EF4-FFF2-40B4-BE49-F238E27FC236}">
                <a16:creationId xmlns:a16="http://schemas.microsoft.com/office/drawing/2014/main" id="{00000000-0008-0000-0B00-00000F000000}"/>
              </a:ext>
            </a:extLst>
          </xdr:cNvPr>
          <xdr:cNvSpPr/>
        </xdr:nvSpPr>
        <xdr:spPr>
          <a:xfrm>
            <a:off x="5579735" y="3161194"/>
            <a:ext cx="826817" cy="1084929"/>
          </a:xfrm>
          <a:custGeom>
            <a:avLst/>
            <a:gdLst>
              <a:gd name="connsiteX0" fmla="*/ 524446 w 826817"/>
              <a:gd name="connsiteY0" fmla="*/ 758504 h 1084929"/>
              <a:gd name="connsiteX1" fmla="*/ 826541 w 826817"/>
              <a:gd name="connsiteY1" fmla="*/ 9011 h 1084929"/>
              <a:gd name="connsiteX2" fmla="*/ 826817 w 826817"/>
              <a:gd name="connsiteY2" fmla="*/ 933 h 1084929"/>
              <a:gd name="connsiteX3" fmla="*/ 359168 w 826817"/>
              <a:gd name="connsiteY3" fmla="*/ 0 h 1084929"/>
              <a:gd name="connsiteX4" fmla="*/ 332851 w 826817"/>
              <a:gd name="connsiteY4" fmla="*/ 176098 h 1084929"/>
              <a:gd name="connsiteX5" fmla="*/ 485803 w 826817"/>
              <a:gd name="connsiteY5" fmla="*/ 139427 h 1084929"/>
              <a:gd name="connsiteX6" fmla="*/ 547040 w 826817"/>
              <a:gd name="connsiteY6" fmla="*/ 268938 h 1084929"/>
              <a:gd name="connsiteX7" fmla="*/ 234324 w 826817"/>
              <a:gd name="connsiteY7" fmla="*/ 958691 h 1084929"/>
              <a:gd name="connsiteX8" fmla="*/ 247 w 826817"/>
              <a:gd name="connsiteY8" fmla="*/ 1082307 h 1084929"/>
              <a:gd name="connsiteX9" fmla="*/ 524446 w 826817"/>
              <a:gd name="connsiteY9" fmla="*/ 758504 h 108492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826817" h="1084929">
                <a:moveTo>
                  <a:pt x="524446" y="758504"/>
                </a:moveTo>
                <a:cubicBezTo>
                  <a:pt x="667207" y="561232"/>
                  <a:pt x="815340" y="257461"/>
                  <a:pt x="826541" y="9011"/>
                </a:cubicBezTo>
                <a:cubicBezTo>
                  <a:pt x="826694" y="5753"/>
                  <a:pt x="826694" y="3267"/>
                  <a:pt x="826817" y="933"/>
                </a:cubicBezTo>
                <a:cubicBezTo>
                  <a:pt x="671112" y="1867"/>
                  <a:pt x="510749" y="476"/>
                  <a:pt x="359168" y="0"/>
                </a:cubicBezTo>
                <a:cubicBezTo>
                  <a:pt x="350882" y="59865"/>
                  <a:pt x="340842" y="116148"/>
                  <a:pt x="332851" y="176098"/>
                </a:cubicBezTo>
                <a:cubicBezTo>
                  <a:pt x="344471" y="177451"/>
                  <a:pt x="413585" y="128664"/>
                  <a:pt x="485803" y="139427"/>
                </a:cubicBezTo>
                <a:cubicBezTo>
                  <a:pt x="548106" y="148723"/>
                  <a:pt x="546878" y="226171"/>
                  <a:pt x="547040" y="268938"/>
                </a:cubicBezTo>
                <a:cubicBezTo>
                  <a:pt x="528847" y="632050"/>
                  <a:pt x="351567" y="862289"/>
                  <a:pt x="234324" y="958691"/>
                </a:cubicBezTo>
                <a:cubicBezTo>
                  <a:pt x="117100" y="1055084"/>
                  <a:pt x="-6268" y="1081297"/>
                  <a:pt x="247" y="1082307"/>
                </a:cubicBezTo>
                <a:cubicBezTo>
                  <a:pt x="177327" y="1109539"/>
                  <a:pt x="408022" y="919372"/>
                  <a:pt x="524446" y="758504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/>
          </a:p>
        </xdr:txBody>
      </xdr:sp>
    </xdr:grpSp>
    <xdr:clientData/>
  </xdr:twoCellAnchor>
  <xdr:twoCellAnchor editAs="oneCell">
    <xdr:from>
      <xdr:col>18</xdr:col>
      <xdr:colOff>301604</xdr:colOff>
      <xdr:row>0</xdr:row>
      <xdr:rowOff>161925</xdr:rowOff>
    </xdr:from>
    <xdr:to>
      <xdr:col>19</xdr:col>
      <xdr:colOff>95249</xdr:colOff>
      <xdr:row>3</xdr:row>
      <xdr:rowOff>47625</xdr:rowOff>
    </xdr:to>
    <xdr:pic>
      <xdr:nvPicPr>
        <xdr:cNvPr id="10" name="Imagem 9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4404" y="161925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190500</xdr:colOff>
      <xdr:row>3</xdr:row>
      <xdr:rowOff>57148</xdr:rowOff>
    </xdr:from>
    <xdr:to>
      <xdr:col>19</xdr:col>
      <xdr:colOff>381000</xdr:colOff>
      <xdr:row>4</xdr:row>
      <xdr:rowOff>142873</xdr:rowOff>
    </xdr:to>
    <xdr:sp macro="" textlink="">
      <xdr:nvSpPr>
        <xdr:cNvPr id="11" name="CaixaDeTexto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 txBox="1"/>
      </xdr:nvSpPr>
      <xdr:spPr>
        <a:xfrm>
          <a:off x="11163300" y="628648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446847</xdr:colOff>
      <xdr:row>19</xdr:row>
      <xdr:rowOff>161925</xdr:rowOff>
    </xdr:from>
    <xdr:to>
      <xdr:col>19</xdr:col>
      <xdr:colOff>142875</xdr:colOff>
      <xdr:row>21</xdr:row>
      <xdr:rowOff>180975</xdr:rowOff>
    </xdr:to>
    <xdr:pic>
      <xdr:nvPicPr>
        <xdr:cNvPr id="16" name="Imagem 15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19647" y="37814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503997</xdr:colOff>
      <xdr:row>19</xdr:row>
      <xdr:rowOff>161925</xdr:rowOff>
    </xdr:from>
    <xdr:to>
      <xdr:col>18</xdr:col>
      <xdr:colOff>200025</xdr:colOff>
      <xdr:row>21</xdr:row>
      <xdr:rowOff>180975</xdr:rowOff>
    </xdr:to>
    <xdr:pic>
      <xdr:nvPicPr>
        <xdr:cNvPr id="17" name="Imagem 16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67197" y="37814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323850</xdr:colOff>
      <xdr:row>21</xdr:row>
      <xdr:rowOff>152399</xdr:rowOff>
    </xdr:from>
    <xdr:to>
      <xdr:col>19</xdr:col>
      <xdr:colOff>514350</xdr:colOff>
      <xdr:row>23</xdr:row>
      <xdr:rowOff>47624</xdr:rowOff>
    </xdr:to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SpPr txBox="1"/>
      </xdr:nvSpPr>
      <xdr:spPr>
        <a:xfrm>
          <a:off x="11296650" y="41528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176389</xdr:colOff>
      <xdr:row>21</xdr:row>
      <xdr:rowOff>152399</xdr:rowOff>
    </xdr:from>
    <xdr:to>
      <xdr:col>18</xdr:col>
      <xdr:colOff>400050</xdr:colOff>
      <xdr:row>23</xdr:row>
      <xdr:rowOff>28222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SpPr txBox="1"/>
      </xdr:nvSpPr>
      <xdr:spPr>
        <a:xfrm>
          <a:off x="11091333" y="4152899"/>
          <a:ext cx="865717" cy="25682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0</xdr:col>
      <xdr:colOff>285750</xdr:colOff>
      <xdr:row>3</xdr:row>
      <xdr:rowOff>171008</xdr:rowOff>
    </xdr:from>
    <xdr:ext cx="9448800" cy="3753291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 txBox="1"/>
      </xdr:nvSpPr>
      <xdr:spPr>
        <a:xfrm>
          <a:off x="285750" y="742508"/>
          <a:ext cx="9448800" cy="375329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pt-BR" sz="16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Custos dos serviços prestados </a:t>
          </a:r>
        </a:p>
        <a:p>
          <a:pPr>
            <a:spcBef>
              <a:spcPts val="600"/>
            </a:spcBef>
          </a:pP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Os </a:t>
          </a:r>
          <a:r>
            <a:rPr lang="pt-BR" sz="16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custos dos serviços prestados </a:t>
          </a: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da divisão correspondem a: (i) repasse de fretes de operadores logísticos terceirizados; (ii) custos de aluguel de armazéns, e (iii) demais custos fixos como manutenção de imóveis, vigilância, entre outros. Os custos variáveis correspondem a fretes, créditos de PIS/Cofins e outros custos variáveis.</a:t>
          </a:r>
        </a:p>
        <a:p>
          <a:pPr>
            <a:spcBef>
              <a:spcPts val="600"/>
            </a:spcBef>
          </a:pPr>
          <a:r>
            <a:rPr kumimoji="0" lang="pt-BR" sz="1600" b="1" i="0" u="none" strike="noStrike" kern="0" cap="none" spc="0" normalizeH="0" baseline="0" noProof="0">
              <a:ln>
                <a:noFill/>
              </a:ln>
              <a:solidFill>
                <a:srgbClr val="EA7423"/>
              </a:solidFill>
              <a:effectLst/>
              <a:uLnTx/>
              <a:uFillTx/>
              <a:latin typeface="Montserrat" panose="00000500000000000000" pitchFamily="2" charset="0"/>
              <a:ea typeface="+mn-ea"/>
              <a:cs typeface="+mn-cs"/>
            </a:rPr>
            <a:t>Despesas</a:t>
          </a:r>
          <a:endParaRPr lang="pt-BR" sz="1600">
            <a:solidFill>
              <a:srgbClr val="EA7423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  <a:p>
          <a:pPr>
            <a:spcBef>
              <a:spcPts val="600"/>
            </a:spcBef>
          </a:pP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As </a:t>
          </a:r>
          <a:r>
            <a:rPr lang="pt-BR" sz="16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despesas</a:t>
          </a: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da divisão correspondem a poucas áreas dedicadas da divisão.</a:t>
          </a:r>
        </a:p>
        <a:p>
          <a:pPr>
            <a:spcBef>
              <a:spcPts val="600"/>
            </a:spcBef>
          </a:pPr>
          <a:r>
            <a:rPr kumimoji="0" lang="pt-BR" sz="1600" b="1" i="0" u="none" strike="noStrike" kern="0" cap="none" spc="0" normalizeH="0" baseline="0" noProof="0">
              <a:ln>
                <a:noFill/>
              </a:ln>
              <a:solidFill>
                <a:srgbClr val="EA7423"/>
              </a:solidFill>
              <a:effectLst/>
              <a:uLnTx/>
              <a:uFillTx/>
              <a:latin typeface="Montserrat" panose="00000500000000000000" pitchFamily="2" charset="0"/>
              <a:ea typeface="+mn-ea"/>
              <a:cs typeface="+mn-cs"/>
            </a:rPr>
            <a:t>Depreciação/amortização</a:t>
          </a:r>
          <a:endParaRPr lang="pt-BR" sz="1600">
            <a:solidFill>
              <a:srgbClr val="EA7423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  <a:p>
          <a:pPr>
            <a:spcBef>
              <a:spcPts val="600"/>
            </a:spcBef>
          </a:pP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d</a:t>
          </a:r>
          <a:r>
            <a:rPr lang="pt-BR" sz="16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epreciação/amortização</a:t>
          </a:r>
          <a:r>
            <a:rPr lang="pt-BR" sz="16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da divisão reflete principalmente os ativos como benfeitorias em armazéns e equipamentos de transporte próprios, além da amortização do direito de uso dos imóveis alugados.</a:t>
          </a: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da Divisão de Logística Integrada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twoCellAnchor editAs="oneCell">
    <xdr:from>
      <xdr:col>16</xdr:col>
      <xdr:colOff>228601</xdr:colOff>
      <xdr:row>0</xdr:row>
      <xdr:rowOff>0</xdr:rowOff>
    </xdr:from>
    <xdr:to>
      <xdr:col>19</xdr:col>
      <xdr:colOff>590443</xdr:colOff>
      <xdr:row>24</xdr:row>
      <xdr:rowOff>161926</xdr:rowOff>
    </xdr:to>
    <xdr:pic>
      <xdr:nvPicPr>
        <xdr:cNvPr id="9" name="Imagem 8" descr="Caminhão de lixo&#10;&#10;Descrição gerada automaticamente com confiança média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82201" y="0"/>
          <a:ext cx="2190642" cy="4733926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279885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SpPr txBox="1"/>
      </xdr:nvSpPr>
      <xdr:spPr>
        <a:xfrm>
          <a:off x="285750" y="742509"/>
          <a:ext cx="7877734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Demonstração de Resultado </a:t>
          </a:r>
          <a:r>
            <a:rPr lang="pt-BR" sz="1200" b="1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(R$ mil)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</xdr:txBody>
    </xdr:sp>
    <xdr:clientData/>
  </xdr:oneCellAnchor>
  <xdr:twoCellAnchor>
    <xdr:from>
      <xdr:col>15</xdr:col>
      <xdr:colOff>47625</xdr:colOff>
      <xdr:row>2</xdr:row>
      <xdr:rowOff>95250</xdr:rowOff>
    </xdr:from>
    <xdr:to>
      <xdr:col>19</xdr:col>
      <xdr:colOff>578276</xdr:colOff>
      <xdr:row>23</xdr:row>
      <xdr:rowOff>164523</xdr:rowOff>
    </xdr:to>
    <xdr:grpSp>
      <xdr:nvGrpSpPr>
        <xdr:cNvPr id="11" name="Agrupar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GrpSpPr>
          <a:grpSpLocks noChangeAspect="1"/>
        </xdr:cNvGrpSpPr>
      </xdr:nvGrpSpPr>
      <xdr:grpSpPr>
        <a:xfrm>
          <a:off x="9255125" y="476250"/>
          <a:ext cx="2985984" cy="4069773"/>
          <a:chOff x="5307763" y="2613621"/>
          <a:chExt cx="1105698" cy="1632502"/>
        </a:xfrm>
      </xdr:grpSpPr>
      <xdr:sp macro="" textlink="">
        <xdr:nvSpPr>
          <xdr:cNvPr id="12" name="Forma Livre: Forma 28">
            <a:extLst>
              <a:ext uri="{FF2B5EF4-FFF2-40B4-BE49-F238E27FC236}">
                <a16:creationId xmlns:a16="http://schemas.microsoft.com/office/drawing/2014/main" id="{00000000-0008-0000-0C00-00000C000000}"/>
              </a:ext>
            </a:extLst>
          </xdr:cNvPr>
          <xdr:cNvSpPr/>
        </xdr:nvSpPr>
        <xdr:spPr>
          <a:xfrm>
            <a:off x="5307763" y="2613621"/>
            <a:ext cx="1105698" cy="1569167"/>
          </a:xfrm>
          <a:custGeom>
            <a:avLst/>
            <a:gdLst>
              <a:gd name="connsiteX0" fmla="*/ 13463 w 1105698"/>
              <a:gd name="connsiteY0" fmla="*/ 1356408 h 1569167"/>
              <a:gd name="connsiteX1" fmla="*/ 132135 w 1105698"/>
              <a:gd name="connsiteY1" fmla="*/ 1569168 h 1569167"/>
              <a:gd name="connsiteX2" fmla="*/ 160663 w 1105698"/>
              <a:gd name="connsiteY2" fmla="*/ 833361 h 1569167"/>
              <a:gd name="connsiteX3" fmla="*/ 716999 w 1105698"/>
              <a:gd name="connsiteY3" fmla="*/ 223399 h 1569167"/>
              <a:gd name="connsiteX4" fmla="*/ 850349 w 1105698"/>
              <a:gd name="connsiteY4" fmla="*/ 384715 h 1569167"/>
              <a:gd name="connsiteX5" fmla="*/ 1104495 w 1105698"/>
              <a:gd name="connsiteY5" fmla="*/ 384191 h 1569167"/>
              <a:gd name="connsiteX6" fmla="*/ 817202 w 1105698"/>
              <a:gd name="connsiteY6" fmla="*/ 0 h 1569167"/>
              <a:gd name="connsiteX7" fmla="*/ 173359 w 1105698"/>
              <a:gd name="connsiteY7" fmla="*/ 553088 h 1569167"/>
              <a:gd name="connsiteX8" fmla="*/ 13463 w 1105698"/>
              <a:gd name="connsiteY8" fmla="*/ 1356408 h 156916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105698" h="1569167">
                <a:moveTo>
                  <a:pt x="13463" y="1356408"/>
                </a:moveTo>
                <a:cubicBezTo>
                  <a:pt x="35075" y="1474546"/>
                  <a:pt x="84005" y="1550013"/>
                  <a:pt x="132135" y="1569168"/>
                </a:cubicBezTo>
                <a:cubicBezTo>
                  <a:pt x="-329" y="1367247"/>
                  <a:pt x="75947" y="1042168"/>
                  <a:pt x="160663" y="833361"/>
                </a:cubicBezTo>
                <a:cubicBezTo>
                  <a:pt x="242444" y="631822"/>
                  <a:pt x="478359" y="244583"/>
                  <a:pt x="716999" y="223399"/>
                </a:cubicBezTo>
                <a:cubicBezTo>
                  <a:pt x="832432" y="217999"/>
                  <a:pt x="846777" y="293037"/>
                  <a:pt x="850349" y="384715"/>
                </a:cubicBezTo>
                <a:lnTo>
                  <a:pt x="1104495" y="384191"/>
                </a:lnTo>
                <a:cubicBezTo>
                  <a:pt x="1119240" y="225752"/>
                  <a:pt x="997101" y="-19"/>
                  <a:pt x="817202" y="0"/>
                </a:cubicBezTo>
                <a:cubicBezTo>
                  <a:pt x="524461" y="29"/>
                  <a:pt x="309176" y="313392"/>
                  <a:pt x="173359" y="553088"/>
                </a:cubicBezTo>
                <a:cubicBezTo>
                  <a:pt x="-30057" y="968016"/>
                  <a:pt x="-8149" y="1238269"/>
                  <a:pt x="13463" y="1356408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/>
          </a:p>
        </xdr:txBody>
      </xdr:sp>
      <xdr:sp macro="" textlink="">
        <xdr:nvSpPr>
          <xdr:cNvPr id="13" name="Forma Livre: Forma 29">
            <a:extLst>
              <a:ext uri="{FF2B5EF4-FFF2-40B4-BE49-F238E27FC236}">
                <a16:creationId xmlns:a16="http://schemas.microsoft.com/office/drawing/2014/main" id="{00000000-0008-0000-0C00-00000D000000}"/>
              </a:ext>
            </a:extLst>
          </xdr:cNvPr>
          <xdr:cNvSpPr/>
        </xdr:nvSpPr>
        <xdr:spPr>
          <a:xfrm>
            <a:off x="5579735" y="3161194"/>
            <a:ext cx="826817" cy="1084929"/>
          </a:xfrm>
          <a:custGeom>
            <a:avLst/>
            <a:gdLst>
              <a:gd name="connsiteX0" fmla="*/ 524446 w 826817"/>
              <a:gd name="connsiteY0" fmla="*/ 758504 h 1084929"/>
              <a:gd name="connsiteX1" fmla="*/ 826541 w 826817"/>
              <a:gd name="connsiteY1" fmla="*/ 9011 h 1084929"/>
              <a:gd name="connsiteX2" fmla="*/ 826817 w 826817"/>
              <a:gd name="connsiteY2" fmla="*/ 933 h 1084929"/>
              <a:gd name="connsiteX3" fmla="*/ 359168 w 826817"/>
              <a:gd name="connsiteY3" fmla="*/ 0 h 1084929"/>
              <a:gd name="connsiteX4" fmla="*/ 332851 w 826817"/>
              <a:gd name="connsiteY4" fmla="*/ 176098 h 1084929"/>
              <a:gd name="connsiteX5" fmla="*/ 485803 w 826817"/>
              <a:gd name="connsiteY5" fmla="*/ 139427 h 1084929"/>
              <a:gd name="connsiteX6" fmla="*/ 547040 w 826817"/>
              <a:gd name="connsiteY6" fmla="*/ 268938 h 1084929"/>
              <a:gd name="connsiteX7" fmla="*/ 234324 w 826817"/>
              <a:gd name="connsiteY7" fmla="*/ 958691 h 1084929"/>
              <a:gd name="connsiteX8" fmla="*/ 247 w 826817"/>
              <a:gd name="connsiteY8" fmla="*/ 1082307 h 1084929"/>
              <a:gd name="connsiteX9" fmla="*/ 524446 w 826817"/>
              <a:gd name="connsiteY9" fmla="*/ 758504 h 108492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826817" h="1084929">
                <a:moveTo>
                  <a:pt x="524446" y="758504"/>
                </a:moveTo>
                <a:cubicBezTo>
                  <a:pt x="667207" y="561232"/>
                  <a:pt x="815340" y="257461"/>
                  <a:pt x="826541" y="9011"/>
                </a:cubicBezTo>
                <a:cubicBezTo>
                  <a:pt x="826694" y="5753"/>
                  <a:pt x="826694" y="3267"/>
                  <a:pt x="826817" y="933"/>
                </a:cubicBezTo>
                <a:cubicBezTo>
                  <a:pt x="671112" y="1867"/>
                  <a:pt x="510749" y="476"/>
                  <a:pt x="359168" y="0"/>
                </a:cubicBezTo>
                <a:cubicBezTo>
                  <a:pt x="350882" y="59865"/>
                  <a:pt x="340842" y="116148"/>
                  <a:pt x="332851" y="176098"/>
                </a:cubicBezTo>
                <a:cubicBezTo>
                  <a:pt x="344471" y="177451"/>
                  <a:pt x="413585" y="128664"/>
                  <a:pt x="485803" y="139427"/>
                </a:cubicBezTo>
                <a:cubicBezTo>
                  <a:pt x="548106" y="148723"/>
                  <a:pt x="546878" y="226171"/>
                  <a:pt x="547040" y="268938"/>
                </a:cubicBezTo>
                <a:cubicBezTo>
                  <a:pt x="528847" y="632050"/>
                  <a:pt x="351567" y="862289"/>
                  <a:pt x="234324" y="958691"/>
                </a:cubicBezTo>
                <a:cubicBezTo>
                  <a:pt x="117100" y="1055084"/>
                  <a:pt x="-6268" y="1081297"/>
                  <a:pt x="247" y="1082307"/>
                </a:cubicBezTo>
                <a:cubicBezTo>
                  <a:pt x="177327" y="1109539"/>
                  <a:pt x="408022" y="919372"/>
                  <a:pt x="524446" y="758504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/>
          </a:p>
        </xdr:txBody>
      </xdr:sp>
    </xdr:grpSp>
    <xdr:clientData/>
  </xdr:twoCellAnchor>
  <xdr:twoCellAnchor editAs="oneCell">
    <xdr:from>
      <xdr:col>18</xdr:col>
      <xdr:colOff>368279</xdr:colOff>
      <xdr:row>0</xdr:row>
      <xdr:rowOff>152400</xdr:rowOff>
    </xdr:from>
    <xdr:to>
      <xdr:col>19</xdr:col>
      <xdr:colOff>161924</xdr:colOff>
      <xdr:row>3</xdr:row>
      <xdr:rowOff>38100</xdr:rowOff>
    </xdr:to>
    <xdr:pic>
      <xdr:nvPicPr>
        <xdr:cNvPr id="14" name="Imagem 13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41079" y="152400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257175</xdr:colOff>
      <xdr:row>3</xdr:row>
      <xdr:rowOff>47623</xdr:rowOff>
    </xdr:from>
    <xdr:to>
      <xdr:col>19</xdr:col>
      <xdr:colOff>447675</xdr:colOff>
      <xdr:row>4</xdr:row>
      <xdr:rowOff>133348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SpPr txBox="1"/>
      </xdr:nvSpPr>
      <xdr:spPr>
        <a:xfrm>
          <a:off x="11229975" y="619123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408747</xdr:colOff>
      <xdr:row>20</xdr:row>
      <xdr:rowOff>85725</xdr:rowOff>
    </xdr:from>
    <xdr:to>
      <xdr:col>19</xdr:col>
      <xdr:colOff>104775</xdr:colOff>
      <xdr:row>22</xdr:row>
      <xdr:rowOff>104775</xdr:rowOff>
    </xdr:to>
    <xdr:pic>
      <xdr:nvPicPr>
        <xdr:cNvPr id="16" name="Imagem 15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81547" y="38957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465897</xdr:colOff>
      <xdr:row>20</xdr:row>
      <xdr:rowOff>85725</xdr:rowOff>
    </xdr:from>
    <xdr:to>
      <xdr:col>18</xdr:col>
      <xdr:colOff>161925</xdr:colOff>
      <xdr:row>22</xdr:row>
      <xdr:rowOff>104775</xdr:rowOff>
    </xdr:to>
    <xdr:pic>
      <xdr:nvPicPr>
        <xdr:cNvPr id="17" name="Imagem 16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29097" y="38957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285750</xdr:colOff>
      <xdr:row>22</xdr:row>
      <xdr:rowOff>76199</xdr:rowOff>
    </xdr:from>
    <xdr:to>
      <xdr:col>19</xdr:col>
      <xdr:colOff>476250</xdr:colOff>
      <xdr:row>23</xdr:row>
      <xdr:rowOff>161924</xdr:rowOff>
    </xdr:to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SpPr txBox="1"/>
      </xdr:nvSpPr>
      <xdr:spPr>
        <a:xfrm>
          <a:off x="11258550" y="42671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134056</xdr:colOff>
      <xdr:row>22</xdr:row>
      <xdr:rowOff>76199</xdr:rowOff>
    </xdr:from>
    <xdr:to>
      <xdr:col>18</xdr:col>
      <xdr:colOff>361950</xdr:colOff>
      <xdr:row>23</xdr:row>
      <xdr:rowOff>176389</xdr:rowOff>
    </xdr:to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SpPr txBox="1"/>
      </xdr:nvSpPr>
      <xdr:spPr>
        <a:xfrm>
          <a:off x="11049000" y="4267199"/>
          <a:ext cx="869950" cy="29069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12</xdr:col>
      <xdr:colOff>444500</xdr:colOff>
      <xdr:row>5</xdr:row>
      <xdr:rowOff>91723</xdr:rowOff>
    </xdr:from>
    <xdr:ext cx="1989666" cy="3083278"/>
    <xdr:sp macro="" textlink="">
      <xdr:nvSpPr>
        <xdr:cNvPr id="22" name="CaixaDeTexto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SpPr txBox="1"/>
      </xdr:nvSpPr>
      <xdr:spPr>
        <a:xfrm>
          <a:off x="8149167" y="1044223"/>
          <a:ext cx="1989666" cy="3083278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>
            <a:spcBef>
              <a:spcPts val="600"/>
            </a:spcBef>
          </a:pP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2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  <a:p>
          <a:pPr algn="ctr">
            <a:spcBef>
              <a:spcPts val="600"/>
            </a:spcBef>
          </a:pP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projeção da Divisão de Logística Integrada não tem um referencial como a divisão automotiva que tem a quantidade de veículos, distância e tarifa. Portanto a recomendação é projetar a receita pela inflação + PIB e verificar constantemente com o RI se há algum fato que possa alterar no futuro o comportamento das margens da operação em relação ao passado.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552450</xdr:colOff>
      <xdr:row>4</xdr:row>
      <xdr:rowOff>142876</xdr:rowOff>
    </xdr:from>
    <xdr:to>
      <xdr:col>19</xdr:col>
      <xdr:colOff>438150</xdr:colOff>
      <xdr:row>17</xdr:row>
      <xdr:rowOff>114300</xdr:rowOff>
    </xdr:to>
    <xdr:sp macro="" textlink="">
      <xdr:nvSpPr>
        <xdr:cNvPr id="22" name="Retângulo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SpPr/>
      </xdr:nvSpPr>
      <xdr:spPr>
        <a:xfrm>
          <a:off x="7867650" y="904876"/>
          <a:ext cx="4152900" cy="2447924"/>
        </a:xfrm>
        <a:prstGeom prst="rect">
          <a:avLst/>
        </a:prstGeom>
        <a:noFill/>
        <a:ln w="28575">
          <a:solidFill>
            <a:srgbClr val="EA7423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pt-BR"/>
        </a:p>
      </xdr:txBody>
    </xdr:sp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Consolidados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279885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SpPr txBox="1"/>
      </xdr:nvSpPr>
      <xdr:spPr>
        <a:xfrm>
          <a:off x="285750" y="742509"/>
          <a:ext cx="7877734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Demonstração de Resultado </a:t>
          </a:r>
          <a:r>
            <a:rPr lang="pt-BR" sz="1200" b="1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(R$ mil)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</xdr:txBody>
    </xdr:sp>
    <xdr:clientData/>
  </xdr:oneCellAnchor>
  <xdr:twoCellAnchor editAs="oneCell">
    <xdr:from>
      <xdr:col>18</xdr:col>
      <xdr:colOff>155367</xdr:colOff>
      <xdr:row>0</xdr:row>
      <xdr:rowOff>186018</xdr:rowOff>
    </xdr:from>
    <xdr:to>
      <xdr:col>18</xdr:col>
      <xdr:colOff>558612</xdr:colOff>
      <xdr:row>3</xdr:row>
      <xdr:rowOff>71718</xdr:rowOff>
    </xdr:to>
    <xdr:pic>
      <xdr:nvPicPr>
        <xdr:cNvPr id="10" name="Imagem 9" descr="https://cdn-icons-png.flaticon.com/512/1946/1946488.png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8167" y="186018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44263</xdr:colOff>
      <xdr:row>3</xdr:row>
      <xdr:rowOff>81241</xdr:rowOff>
    </xdr:from>
    <xdr:to>
      <xdr:col>19</xdr:col>
      <xdr:colOff>234763</xdr:colOff>
      <xdr:row>4</xdr:row>
      <xdr:rowOff>166966</xdr:rowOff>
    </xdr:to>
    <xdr:sp macro="" textlink="">
      <xdr:nvSpPr>
        <xdr:cNvPr id="11" name="CaixaDeTexto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SpPr txBox="1"/>
      </xdr:nvSpPr>
      <xdr:spPr>
        <a:xfrm>
          <a:off x="11017063" y="652741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122997</xdr:colOff>
      <xdr:row>20</xdr:row>
      <xdr:rowOff>38100</xdr:rowOff>
    </xdr:from>
    <xdr:to>
      <xdr:col>18</xdr:col>
      <xdr:colOff>428625</xdr:colOff>
      <xdr:row>22</xdr:row>
      <xdr:rowOff>57150</xdr:rowOff>
    </xdr:to>
    <xdr:pic>
      <xdr:nvPicPr>
        <xdr:cNvPr id="12" name="Imagem 11" descr="https://cdn-icons-png.flaticon.com/512/591/591855.png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95797" y="38481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180147</xdr:colOff>
      <xdr:row>20</xdr:row>
      <xdr:rowOff>38100</xdr:rowOff>
    </xdr:from>
    <xdr:to>
      <xdr:col>17</xdr:col>
      <xdr:colOff>485775</xdr:colOff>
      <xdr:row>22</xdr:row>
      <xdr:rowOff>57150</xdr:rowOff>
    </xdr:to>
    <xdr:pic>
      <xdr:nvPicPr>
        <xdr:cNvPr id="13" name="Imagem 12" descr="https://cdn-icons-png.flaticon.com/512/591/591855.p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543347" y="38481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0</xdr:colOff>
      <xdr:row>22</xdr:row>
      <xdr:rowOff>28574</xdr:rowOff>
    </xdr:from>
    <xdr:to>
      <xdr:col>19</xdr:col>
      <xdr:colOff>190500</xdr:colOff>
      <xdr:row>23</xdr:row>
      <xdr:rowOff>114299</xdr:rowOff>
    </xdr:to>
    <xdr:sp macro="" textlink="">
      <xdr:nvSpPr>
        <xdr:cNvPr id="14" name="CaixaDeTexto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SpPr txBox="1"/>
      </xdr:nvSpPr>
      <xdr:spPr>
        <a:xfrm>
          <a:off x="10972800" y="421957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16</xdr:col>
      <xdr:colOff>495300</xdr:colOff>
      <xdr:row>22</xdr:row>
      <xdr:rowOff>28574</xdr:rowOff>
    </xdr:from>
    <xdr:to>
      <xdr:col>18</xdr:col>
      <xdr:colOff>76200</xdr:colOff>
      <xdr:row>23</xdr:row>
      <xdr:rowOff>114299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SpPr txBox="1"/>
      </xdr:nvSpPr>
      <xdr:spPr>
        <a:xfrm>
          <a:off x="10248900" y="421957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15</xdr:col>
      <xdr:colOff>471998</xdr:colOff>
      <xdr:row>4</xdr:row>
      <xdr:rowOff>161925</xdr:rowOff>
    </xdr:from>
    <xdr:to>
      <xdr:col>19</xdr:col>
      <xdr:colOff>438150</xdr:colOff>
      <xdr:row>13</xdr:row>
      <xdr:rowOff>61295</xdr:rowOff>
    </xdr:to>
    <xdr:pic>
      <xdr:nvPicPr>
        <xdr:cNvPr id="19" name="Imagem 18" descr="Carro estacionado na rua&#10;&#10;Descrição gerada automaticamente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5998" y="923925"/>
          <a:ext cx="2404552" cy="1613870"/>
        </a:xfrm>
        <a:prstGeom prst="rect">
          <a:avLst/>
        </a:prstGeom>
      </xdr:spPr>
    </xdr:pic>
    <xdr:clientData/>
  </xdr:twoCellAnchor>
  <xdr:twoCellAnchor editAs="oneCell">
    <xdr:from>
      <xdr:col>15</xdr:col>
      <xdr:colOff>481648</xdr:colOff>
      <xdr:row>13</xdr:row>
      <xdr:rowOff>117210</xdr:rowOff>
    </xdr:from>
    <xdr:to>
      <xdr:col>19</xdr:col>
      <xdr:colOff>439989</xdr:colOff>
      <xdr:row>17</xdr:row>
      <xdr:rowOff>104775</xdr:rowOff>
    </xdr:to>
    <xdr:pic>
      <xdr:nvPicPr>
        <xdr:cNvPr id="20" name="Imagem 19" descr="Uma imagem contendo edifício&#10;&#10;Descrição gerada automaticamente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5648" y="2593710"/>
          <a:ext cx="2396741" cy="749565"/>
        </a:xfrm>
        <a:prstGeom prst="rect">
          <a:avLst/>
        </a:prstGeom>
      </xdr:spPr>
    </xdr:pic>
    <xdr:clientData/>
  </xdr:twoCellAnchor>
  <xdr:twoCellAnchor editAs="oneCell">
    <xdr:from>
      <xdr:col>12</xdr:col>
      <xdr:colOff>571359</xdr:colOff>
      <xdr:row>4</xdr:row>
      <xdr:rowOff>171449</xdr:rowOff>
    </xdr:from>
    <xdr:to>
      <xdr:col>15</xdr:col>
      <xdr:colOff>421138</xdr:colOff>
      <xdr:row>17</xdr:row>
      <xdr:rowOff>106949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86559" y="933449"/>
          <a:ext cx="1678579" cy="2412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Consolidados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171008</xdr:rowOff>
    </xdr:from>
    <xdr:ext cx="7877734" cy="1130741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 txBox="1"/>
      </xdr:nvSpPr>
      <xdr:spPr>
        <a:xfrm>
          <a:off x="285750" y="742508"/>
          <a:ext cx="7877734" cy="11307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Resultado Financeiro </a:t>
          </a:r>
        </a:p>
        <a:p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resultado financeiro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consolidado decorre das dívidas e aplicações financeiras que são detalhadas na seção de caixa/aplicações e dívidas financeiras. Abaixo, a evolução do resultado financeiro.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custo médio de dívida no final de 2024 era de CDI + 1,6% a.a.</a:t>
          </a:r>
        </a:p>
      </xdr:txBody>
    </xdr:sp>
    <xdr:clientData/>
  </xdr:oneCellAnchor>
  <xdr:twoCellAnchor editAs="oneCell">
    <xdr:from>
      <xdr:col>14</xdr:col>
      <xdr:colOff>251781</xdr:colOff>
      <xdr:row>0</xdr:row>
      <xdr:rowOff>3142</xdr:rowOff>
    </xdr:from>
    <xdr:to>
      <xdr:col>19</xdr:col>
      <xdr:colOff>601807</xdr:colOff>
      <xdr:row>24</xdr:row>
      <xdr:rowOff>171450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86181" y="3142"/>
          <a:ext cx="3398026" cy="4740308"/>
        </a:xfrm>
        <a:prstGeom prst="rect">
          <a:avLst/>
        </a:prstGeom>
      </xdr:spPr>
    </xdr:pic>
    <xdr:clientData/>
  </xdr:twoCellAnchor>
  <xdr:twoCellAnchor editAs="oneCell">
    <xdr:from>
      <xdr:col>18</xdr:col>
      <xdr:colOff>206354</xdr:colOff>
      <xdr:row>0</xdr:row>
      <xdr:rowOff>104334</xdr:rowOff>
    </xdr:from>
    <xdr:to>
      <xdr:col>18</xdr:col>
      <xdr:colOff>609599</xdr:colOff>
      <xdr:row>2</xdr:row>
      <xdr:rowOff>180534</xdr:rowOff>
    </xdr:to>
    <xdr:pic>
      <xdr:nvPicPr>
        <xdr:cNvPr id="7" name="Imagem 6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79154" y="104334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95250</xdr:colOff>
      <xdr:row>2</xdr:row>
      <xdr:rowOff>190057</xdr:rowOff>
    </xdr:from>
    <xdr:to>
      <xdr:col>19</xdr:col>
      <xdr:colOff>285750</xdr:colOff>
      <xdr:row>4</xdr:row>
      <xdr:rowOff>85282</xdr:rowOff>
    </xdr:to>
    <xdr:sp macro="" textlink="">
      <xdr:nvSpPr>
        <xdr:cNvPr id="8" name="CaixaDeTexto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SpPr txBox="1"/>
      </xdr:nvSpPr>
      <xdr:spPr>
        <a:xfrm>
          <a:off x="11068050" y="571057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408747</xdr:colOff>
      <xdr:row>19</xdr:row>
      <xdr:rowOff>171450</xdr:rowOff>
    </xdr:from>
    <xdr:to>
      <xdr:col>19</xdr:col>
      <xdr:colOff>104775</xdr:colOff>
      <xdr:row>22</xdr:row>
      <xdr:rowOff>0</xdr:rowOff>
    </xdr:to>
    <xdr:pic>
      <xdr:nvPicPr>
        <xdr:cNvPr id="10" name="Imagem 9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81547" y="37909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465897</xdr:colOff>
      <xdr:row>19</xdr:row>
      <xdr:rowOff>171450</xdr:rowOff>
    </xdr:from>
    <xdr:to>
      <xdr:col>18</xdr:col>
      <xdr:colOff>161925</xdr:colOff>
      <xdr:row>22</xdr:row>
      <xdr:rowOff>0</xdr:rowOff>
    </xdr:to>
    <xdr:pic>
      <xdr:nvPicPr>
        <xdr:cNvPr id="11" name="Imagem 10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29097" y="37909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285750</xdr:colOff>
      <xdr:row>21</xdr:row>
      <xdr:rowOff>161924</xdr:rowOff>
    </xdr:from>
    <xdr:to>
      <xdr:col>19</xdr:col>
      <xdr:colOff>476250</xdr:colOff>
      <xdr:row>23</xdr:row>
      <xdr:rowOff>57149</xdr:rowOff>
    </xdr:to>
    <xdr:sp macro="" textlink="">
      <xdr:nvSpPr>
        <xdr:cNvPr id="12" name="CaixaDeTexto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SpPr txBox="1"/>
      </xdr:nvSpPr>
      <xdr:spPr>
        <a:xfrm>
          <a:off x="11258550" y="416242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119945</xdr:colOff>
      <xdr:row>21</xdr:row>
      <xdr:rowOff>161924</xdr:rowOff>
    </xdr:from>
    <xdr:to>
      <xdr:col>18</xdr:col>
      <xdr:colOff>361950</xdr:colOff>
      <xdr:row>23</xdr:row>
      <xdr:rowOff>49389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SpPr txBox="1"/>
      </xdr:nvSpPr>
      <xdr:spPr>
        <a:xfrm>
          <a:off x="11034889" y="4162424"/>
          <a:ext cx="884061" cy="2684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0</xdr:col>
      <xdr:colOff>603250</xdr:colOff>
      <xdr:row>16</xdr:row>
      <xdr:rowOff>179918</xdr:rowOff>
    </xdr:from>
    <xdr:ext cx="7027334" cy="920750"/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SpPr txBox="1"/>
      </xdr:nvSpPr>
      <xdr:spPr>
        <a:xfrm>
          <a:off x="603250" y="3227918"/>
          <a:ext cx="7027334" cy="920750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>
            <a:spcBef>
              <a:spcPts val="600"/>
            </a:spcBef>
          </a:pPr>
          <a:r>
            <a:rPr lang="pt-BR" sz="11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1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1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projeção, é importante levar em consideração que quase 100% das disponibilidades de caixa da Tegma são aplicadas em Bancos de 1ª linha a taxas de remuneração próximas de 100% do CDI e que as receitas financeiras são tributadas pelo PIS COFINS em 4,65% a.a.</a:t>
          </a:r>
        </a:p>
        <a:p>
          <a:pPr algn="ctr">
            <a:spcBef>
              <a:spcPts val="600"/>
            </a:spcBef>
          </a:pPr>
          <a:r>
            <a:rPr lang="pt-BR" sz="11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empresa também tem outras despesas financeiras que costumam corresponder a R$ 800 mil reais por ano.</a:t>
          </a:r>
        </a:p>
        <a:p>
          <a:pPr algn="ctr">
            <a:spcBef>
              <a:spcPts val="600"/>
            </a:spcBef>
          </a:pPr>
          <a:r>
            <a:rPr lang="pt-BR" sz="11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Consolidados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285749</xdr:colOff>
      <xdr:row>3</xdr:row>
      <xdr:rowOff>171008</xdr:rowOff>
    </xdr:from>
    <xdr:ext cx="9292168" cy="2629341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SpPr txBox="1"/>
      </xdr:nvSpPr>
      <xdr:spPr>
        <a:xfrm>
          <a:off x="285749" y="742508"/>
          <a:ext cx="9292168" cy="26293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Equivalência Patrimonial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equivalência patrimonial da Tegma atualmente</a:t>
          </a:r>
          <a:r>
            <a:rPr lang="pt-BR" sz="1200" b="1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corresponde a 50% da Joint Venture GDL (operações de armazenagem geral e alfandegada do Espírito Santo) e 16% da Rabbot, startup investida da Corporate Venture Capital tegUP. Até o 4T21 eram considerados ainda 10% da startup Frete Rápido (investimento realizado pela aceleradora de startup tegUP que se tratava de um marketplace de transporte para varejistas online), e, até o 2T22, 49% da empresa não-operacional Catlog.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GDL é uma Joint Venture da Tegma com o Grupo Silotec e atua em Cariacica/ES, atendendo aos principais serviços de armazenagem aduaneira, centro de distribuição, automotivo e PDI. É responsável por atender os principais canais do mercado, entre eles: inbound e outbound, operações B2B (trade, lojas e boutiques, distribuidores), B2C e cross-docking.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Principais segmentos: bens de consumo, fármacos e cosméticos, home’n care, moda, químicos, máquinas e veículos importados. Área de mais de 1 milhão m², distribuídos em armazéns cobertos e pátios para veículos. e containers em geral.</a:t>
          </a:r>
        </a:p>
      </xdr:txBody>
    </xdr:sp>
    <xdr:clientData/>
  </xdr:oneCellAnchor>
  <xdr:twoCellAnchor editAs="oneCell">
    <xdr:from>
      <xdr:col>16</xdr:col>
      <xdr:colOff>103259</xdr:colOff>
      <xdr:row>0</xdr:row>
      <xdr:rowOff>28575</xdr:rowOff>
    </xdr:from>
    <xdr:to>
      <xdr:col>19</xdr:col>
      <xdr:colOff>571500</xdr:colOff>
      <xdr:row>24</xdr:row>
      <xdr:rowOff>170299</xdr:rowOff>
    </xdr:to>
    <xdr:pic>
      <xdr:nvPicPr>
        <xdr:cNvPr id="8" name="Imagem 7" descr="Uma imagem contendo no interior, teto, quarto, mesa&#10;&#10;Descrição gerada automaticamente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5479" r="27752"/>
        <a:stretch/>
      </xdr:blipFill>
      <xdr:spPr>
        <a:xfrm>
          <a:off x="9856859" y="28575"/>
          <a:ext cx="2297041" cy="4713724"/>
        </a:xfrm>
        <a:prstGeom prst="rect">
          <a:avLst/>
        </a:prstGeom>
      </xdr:spPr>
    </xdr:pic>
    <xdr:clientData/>
  </xdr:twoCellAnchor>
  <xdr:twoCellAnchor>
    <xdr:from>
      <xdr:col>14</xdr:col>
      <xdr:colOff>276225</xdr:colOff>
      <xdr:row>1</xdr:row>
      <xdr:rowOff>78858</xdr:rowOff>
    </xdr:from>
    <xdr:to>
      <xdr:col>19</xdr:col>
      <xdr:colOff>266050</xdr:colOff>
      <xdr:row>24</xdr:row>
      <xdr:rowOff>182538</xdr:rowOff>
    </xdr:to>
    <xdr:grpSp>
      <xdr:nvGrpSpPr>
        <xdr:cNvPr id="9" name="Agrupar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GrpSpPr>
          <a:grpSpLocks noChangeAspect="1"/>
        </xdr:cNvGrpSpPr>
      </xdr:nvGrpSpPr>
      <xdr:grpSpPr>
        <a:xfrm>
          <a:off x="8747872" y="269358"/>
          <a:ext cx="3015413" cy="4485180"/>
          <a:chOff x="5307763" y="2613621"/>
          <a:chExt cx="1105698" cy="1632502"/>
        </a:xfrm>
      </xdr:grpSpPr>
      <xdr:sp macro="" textlink="">
        <xdr:nvSpPr>
          <xdr:cNvPr id="10" name="Forma Livre: Forma 34">
            <a:extLst>
              <a:ext uri="{FF2B5EF4-FFF2-40B4-BE49-F238E27FC236}">
                <a16:creationId xmlns:a16="http://schemas.microsoft.com/office/drawing/2014/main" id="{00000000-0008-0000-0F00-00000A000000}"/>
              </a:ext>
            </a:extLst>
          </xdr:cNvPr>
          <xdr:cNvSpPr/>
        </xdr:nvSpPr>
        <xdr:spPr>
          <a:xfrm>
            <a:off x="5307763" y="2613621"/>
            <a:ext cx="1105698" cy="1569167"/>
          </a:xfrm>
          <a:custGeom>
            <a:avLst/>
            <a:gdLst>
              <a:gd name="connsiteX0" fmla="*/ 13463 w 1105698"/>
              <a:gd name="connsiteY0" fmla="*/ 1356408 h 1569167"/>
              <a:gd name="connsiteX1" fmla="*/ 132135 w 1105698"/>
              <a:gd name="connsiteY1" fmla="*/ 1569168 h 1569167"/>
              <a:gd name="connsiteX2" fmla="*/ 160663 w 1105698"/>
              <a:gd name="connsiteY2" fmla="*/ 833361 h 1569167"/>
              <a:gd name="connsiteX3" fmla="*/ 716999 w 1105698"/>
              <a:gd name="connsiteY3" fmla="*/ 223399 h 1569167"/>
              <a:gd name="connsiteX4" fmla="*/ 850349 w 1105698"/>
              <a:gd name="connsiteY4" fmla="*/ 384715 h 1569167"/>
              <a:gd name="connsiteX5" fmla="*/ 1104495 w 1105698"/>
              <a:gd name="connsiteY5" fmla="*/ 384191 h 1569167"/>
              <a:gd name="connsiteX6" fmla="*/ 817202 w 1105698"/>
              <a:gd name="connsiteY6" fmla="*/ 0 h 1569167"/>
              <a:gd name="connsiteX7" fmla="*/ 173359 w 1105698"/>
              <a:gd name="connsiteY7" fmla="*/ 553088 h 1569167"/>
              <a:gd name="connsiteX8" fmla="*/ 13463 w 1105698"/>
              <a:gd name="connsiteY8" fmla="*/ 1356408 h 156916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1105698" h="1569167">
                <a:moveTo>
                  <a:pt x="13463" y="1356408"/>
                </a:moveTo>
                <a:cubicBezTo>
                  <a:pt x="35075" y="1474546"/>
                  <a:pt x="84005" y="1550013"/>
                  <a:pt x="132135" y="1569168"/>
                </a:cubicBezTo>
                <a:cubicBezTo>
                  <a:pt x="-329" y="1367247"/>
                  <a:pt x="75947" y="1042168"/>
                  <a:pt x="160663" y="833361"/>
                </a:cubicBezTo>
                <a:cubicBezTo>
                  <a:pt x="242444" y="631822"/>
                  <a:pt x="478359" y="244583"/>
                  <a:pt x="716999" y="223399"/>
                </a:cubicBezTo>
                <a:cubicBezTo>
                  <a:pt x="832432" y="217999"/>
                  <a:pt x="846777" y="293037"/>
                  <a:pt x="850349" y="384715"/>
                </a:cubicBezTo>
                <a:lnTo>
                  <a:pt x="1104495" y="384191"/>
                </a:lnTo>
                <a:cubicBezTo>
                  <a:pt x="1119240" y="225752"/>
                  <a:pt x="997101" y="-19"/>
                  <a:pt x="817202" y="0"/>
                </a:cubicBezTo>
                <a:cubicBezTo>
                  <a:pt x="524461" y="29"/>
                  <a:pt x="309176" y="313392"/>
                  <a:pt x="173359" y="553088"/>
                </a:cubicBezTo>
                <a:cubicBezTo>
                  <a:pt x="-30057" y="968016"/>
                  <a:pt x="-8149" y="1238269"/>
                  <a:pt x="13463" y="1356408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  <xdr:sp macro="" textlink="">
        <xdr:nvSpPr>
          <xdr:cNvPr id="11" name="Forma Livre: Forma 35">
            <a:extLst>
              <a:ext uri="{FF2B5EF4-FFF2-40B4-BE49-F238E27FC236}">
                <a16:creationId xmlns:a16="http://schemas.microsoft.com/office/drawing/2014/main" id="{00000000-0008-0000-0F00-00000B000000}"/>
              </a:ext>
            </a:extLst>
          </xdr:cNvPr>
          <xdr:cNvSpPr/>
        </xdr:nvSpPr>
        <xdr:spPr>
          <a:xfrm>
            <a:off x="5579735" y="3161194"/>
            <a:ext cx="826817" cy="1084929"/>
          </a:xfrm>
          <a:custGeom>
            <a:avLst/>
            <a:gdLst>
              <a:gd name="connsiteX0" fmla="*/ 524446 w 826817"/>
              <a:gd name="connsiteY0" fmla="*/ 758504 h 1084929"/>
              <a:gd name="connsiteX1" fmla="*/ 826541 w 826817"/>
              <a:gd name="connsiteY1" fmla="*/ 9011 h 1084929"/>
              <a:gd name="connsiteX2" fmla="*/ 826817 w 826817"/>
              <a:gd name="connsiteY2" fmla="*/ 933 h 1084929"/>
              <a:gd name="connsiteX3" fmla="*/ 359168 w 826817"/>
              <a:gd name="connsiteY3" fmla="*/ 0 h 1084929"/>
              <a:gd name="connsiteX4" fmla="*/ 332851 w 826817"/>
              <a:gd name="connsiteY4" fmla="*/ 176098 h 1084929"/>
              <a:gd name="connsiteX5" fmla="*/ 485803 w 826817"/>
              <a:gd name="connsiteY5" fmla="*/ 139427 h 1084929"/>
              <a:gd name="connsiteX6" fmla="*/ 547040 w 826817"/>
              <a:gd name="connsiteY6" fmla="*/ 268938 h 1084929"/>
              <a:gd name="connsiteX7" fmla="*/ 234324 w 826817"/>
              <a:gd name="connsiteY7" fmla="*/ 958691 h 1084929"/>
              <a:gd name="connsiteX8" fmla="*/ 247 w 826817"/>
              <a:gd name="connsiteY8" fmla="*/ 1082307 h 1084929"/>
              <a:gd name="connsiteX9" fmla="*/ 524446 w 826817"/>
              <a:gd name="connsiteY9" fmla="*/ 758504 h 108492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826817" h="1084929">
                <a:moveTo>
                  <a:pt x="524446" y="758504"/>
                </a:moveTo>
                <a:cubicBezTo>
                  <a:pt x="667207" y="561232"/>
                  <a:pt x="815340" y="257461"/>
                  <a:pt x="826541" y="9011"/>
                </a:cubicBezTo>
                <a:cubicBezTo>
                  <a:pt x="826694" y="5753"/>
                  <a:pt x="826694" y="3267"/>
                  <a:pt x="826817" y="933"/>
                </a:cubicBezTo>
                <a:cubicBezTo>
                  <a:pt x="671112" y="1867"/>
                  <a:pt x="510749" y="476"/>
                  <a:pt x="359168" y="0"/>
                </a:cubicBezTo>
                <a:cubicBezTo>
                  <a:pt x="350882" y="59865"/>
                  <a:pt x="340842" y="116148"/>
                  <a:pt x="332851" y="176098"/>
                </a:cubicBezTo>
                <a:cubicBezTo>
                  <a:pt x="344471" y="177451"/>
                  <a:pt x="413585" y="128664"/>
                  <a:pt x="485803" y="139427"/>
                </a:cubicBezTo>
                <a:cubicBezTo>
                  <a:pt x="548106" y="148723"/>
                  <a:pt x="546878" y="226171"/>
                  <a:pt x="547040" y="268938"/>
                </a:cubicBezTo>
                <a:cubicBezTo>
                  <a:pt x="528847" y="632050"/>
                  <a:pt x="351567" y="862289"/>
                  <a:pt x="234324" y="958691"/>
                </a:cubicBezTo>
                <a:cubicBezTo>
                  <a:pt x="117100" y="1055084"/>
                  <a:pt x="-6268" y="1081297"/>
                  <a:pt x="247" y="1082307"/>
                </a:cubicBezTo>
                <a:cubicBezTo>
                  <a:pt x="177327" y="1109539"/>
                  <a:pt x="408022" y="919372"/>
                  <a:pt x="524446" y="758504"/>
                </a:cubicBezTo>
              </a:path>
            </a:pathLst>
          </a:custGeom>
          <a:solidFill>
            <a:srgbClr val="FFFFFF">
              <a:alpha val="36000"/>
            </a:srgbClr>
          </a:solidFill>
          <a:ln>
            <a:noFill/>
          </a:ln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pt-BR"/>
            </a:defPPr>
            <a:lvl1pPr marL="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277200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5544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8316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108801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13860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1663202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19404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2217603" algn="l" defTabSz="554401" rtl="0" eaLnBrk="1" latinLnBrk="0" hangingPunct="1">
              <a:defRPr sz="1091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pt-BR">
              <a:latin typeface="Montserrat Medium" pitchFamily="2" charset="77"/>
            </a:endParaRPr>
          </a:p>
        </xdr:txBody>
      </xdr:sp>
    </xdr:grpSp>
    <xdr:clientData/>
  </xdr:twoCellAnchor>
  <xdr:twoCellAnchor editAs="oneCell">
    <xdr:from>
      <xdr:col>18</xdr:col>
      <xdr:colOff>454003</xdr:colOff>
      <xdr:row>0</xdr:row>
      <xdr:rowOff>142433</xdr:rowOff>
    </xdr:from>
    <xdr:to>
      <xdr:col>19</xdr:col>
      <xdr:colOff>247648</xdr:colOff>
      <xdr:row>3</xdr:row>
      <xdr:rowOff>28133</xdr:rowOff>
    </xdr:to>
    <xdr:pic>
      <xdr:nvPicPr>
        <xdr:cNvPr id="12" name="Imagem 11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6803" y="142433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342899</xdr:colOff>
      <xdr:row>3</xdr:row>
      <xdr:rowOff>37656</xdr:rowOff>
    </xdr:from>
    <xdr:to>
      <xdr:col>19</xdr:col>
      <xdr:colOff>533399</xdr:colOff>
      <xdr:row>4</xdr:row>
      <xdr:rowOff>123381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SpPr txBox="1"/>
      </xdr:nvSpPr>
      <xdr:spPr>
        <a:xfrm>
          <a:off x="11315699" y="609156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427797</xdr:colOff>
      <xdr:row>20</xdr:row>
      <xdr:rowOff>126483</xdr:rowOff>
    </xdr:from>
    <xdr:to>
      <xdr:col>19</xdr:col>
      <xdr:colOff>123825</xdr:colOff>
      <xdr:row>22</xdr:row>
      <xdr:rowOff>145533</xdr:rowOff>
    </xdr:to>
    <xdr:pic>
      <xdr:nvPicPr>
        <xdr:cNvPr id="14" name="Imagem 13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00597" y="3936483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484947</xdr:colOff>
      <xdr:row>20</xdr:row>
      <xdr:rowOff>126483</xdr:rowOff>
    </xdr:from>
    <xdr:to>
      <xdr:col>18</xdr:col>
      <xdr:colOff>180975</xdr:colOff>
      <xdr:row>22</xdr:row>
      <xdr:rowOff>145533</xdr:rowOff>
    </xdr:to>
    <xdr:pic>
      <xdr:nvPicPr>
        <xdr:cNvPr id="15" name="Imagem 14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48147" y="3936483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304800</xdr:colOff>
      <xdr:row>22</xdr:row>
      <xdr:rowOff>116957</xdr:rowOff>
    </xdr:from>
    <xdr:to>
      <xdr:col>19</xdr:col>
      <xdr:colOff>495300</xdr:colOff>
      <xdr:row>24</xdr:row>
      <xdr:rowOff>12182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SpPr txBox="1"/>
      </xdr:nvSpPr>
      <xdr:spPr>
        <a:xfrm>
          <a:off x="11277600" y="4307957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148167</xdr:colOff>
      <xdr:row>22</xdr:row>
      <xdr:rowOff>116957</xdr:rowOff>
    </xdr:from>
    <xdr:to>
      <xdr:col>18</xdr:col>
      <xdr:colOff>381000</xdr:colOff>
      <xdr:row>23</xdr:row>
      <xdr:rowOff>183444</xdr:rowOff>
    </xdr:to>
    <xdr:sp macro="" textlink="">
      <xdr:nvSpPr>
        <xdr:cNvPr id="17" name="CaixaDeTexto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SpPr txBox="1"/>
      </xdr:nvSpPr>
      <xdr:spPr>
        <a:xfrm>
          <a:off x="11063111" y="4307957"/>
          <a:ext cx="874889" cy="25698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10</xdr:col>
      <xdr:colOff>127002</xdr:colOff>
      <xdr:row>18</xdr:row>
      <xdr:rowOff>63499</xdr:rowOff>
    </xdr:from>
    <xdr:ext cx="2709334" cy="762001"/>
    <xdr:sp macro="" textlink="">
      <xdr:nvSpPr>
        <xdr:cNvPr id="19" name="CaixaDeTexto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SpPr txBox="1"/>
      </xdr:nvSpPr>
      <xdr:spPr>
        <a:xfrm>
          <a:off x="6547558" y="3492499"/>
          <a:ext cx="2709334" cy="762001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>
            <a:spcBef>
              <a:spcPts val="600"/>
            </a:spcBef>
          </a:pP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2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não há referências que sirvam de premissas para esse negócio.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323850</xdr:colOff>
      <xdr:row>6</xdr:row>
      <xdr:rowOff>95250</xdr:rowOff>
    </xdr:from>
    <xdr:to>
      <xdr:col>18</xdr:col>
      <xdr:colOff>139900</xdr:colOff>
      <xdr:row>23</xdr:row>
      <xdr:rowOff>28575</xdr:rowOff>
    </xdr:to>
    <xdr:sp macro="" textlink="">
      <xdr:nvSpPr>
        <xdr:cNvPr id="2" name="Retângulo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/>
      </xdr:nvSpPr>
      <xdr:spPr>
        <a:xfrm>
          <a:off x="7639050" y="1238250"/>
          <a:ext cx="3473650" cy="3171825"/>
        </a:xfrm>
        <a:prstGeom prst="rect">
          <a:avLst/>
        </a:prstGeom>
        <a:solidFill>
          <a:schemeClr val="accent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pt-BR"/>
        </a:p>
      </xdr:txBody>
    </xdr:sp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4" name="Título 1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Resultado | </a:t>
          </a:r>
        </a:p>
        <a:p>
          <a:pPr lvl="0" algn="l">
            <a:lnSpc>
              <a:spcPts val="1000"/>
            </a:lnSpc>
            <a:spcBef>
              <a:spcPts val="0"/>
            </a:spcBef>
            <a:defRPr/>
          </a:pPr>
          <a:r>
            <a:rPr lang="pt-BR" sz="14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Resultados Consolidados</a:t>
          </a:r>
          <a:endParaRPr lang="pt-BR" sz="2800" b="1">
            <a:solidFill>
              <a:srgbClr val="EA7423"/>
            </a:solidFill>
            <a:latin typeface="Montserrat"/>
            <a:ea typeface="Verdana" panose="020B060403050404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279885"/>
    <xdr:sp macro="" textlink="">
      <xdr:nvSpPr>
        <xdr:cNvPr id="6" name="CaixaDeTexto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SpPr txBox="1"/>
      </xdr:nvSpPr>
      <xdr:spPr>
        <a:xfrm>
          <a:off x="285750" y="742509"/>
          <a:ext cx="7877734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Demonstração de Resultado </a:t>
          </a:r>
          <a:r>
            <a:rPr lang="pt-BR" sz="1200" b="1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(R$ mil)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</xdr:txBody>
    </xdr:sp>
    <xdr:clientData/>
  </xdr:oneCellAnchor>
  <xdr:oneCellAnchor>
    <xdr:from>
      <xdr:col>12</xdr:col>
      <xdr:colOff>523875</xdr:colOff>
      <xdr:row>5</xdr:row>
      <xdr:rowOff>9525</xdr:rowOff>
    </xdr:from>
    <xdr:ext cx="4267199" cy="3228975"/>
    <xdr:sp macro="" textlink="">
      <xdr:nvSpPr>
        <xdr:cNvPr id="7" name="CaixaDeTexto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SpPr txBox="1"/>
      </xdr:nvSpPr>
      <xdr:spPr>
        <a:xfrm>
          <a:off x="7839075" y="962025"/>
          <a:ext cx="4267199" cy="3228975"/>
        </a:xfrm>
        <a:prstGeom prst="rect">
          <a:avLst/>
        </a:prstGeom>
        <a:solidFill>
          <a:schemeClr val="bg1"/>
        </a:solidFill>
        <a:ln>
          <a:solidFill>
            <a:srgbClr val="ED77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>
            <a:spcBef>
              <a:spcPts val="600"/>
            </a:spcBef>
          </a:pPr>
          <a:r>
            <a:rPr lang="pt-BR" sz="1400" b="1" kern="1200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Imposto de renda e contribuição social sobre o lucro líquido</a:t>
          </a:r>
        </a:p>
        <a:p>
          <a:pPr>
            <a:spcBef>
              <a:spcPts val="600"/>
            </a:spcBef>
          </a:pPr>
          <a:r>
            <a:rPr lang="pt-BR" sz="14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alíquota de imposto de renda e contribuição social sobre o lucro líquido da Companhia são respectivamente 25% e 9%. Até 2024, o que se excluiu da base tributável foi: equivalência patrimonial, benefício fiscal do pagamento de JC e diferenças permanentes. </a:t>
          </a:r>
        </a:p>
      </xdr:txBody>
    </xdr:sp>
    <xdr:clientData/>
  </xdr:oneCellAnchor>
  <xdr:twoCellAnchor editAs="oneCell">
    <xdr:from>
      <xdr:col>18</xdr:col>
      <xdr:colOff>155367</xdr:colOff>
      <xdr:row>0</xdr:row>
      <xdr:rowOff>186018</xdr:rowOff>
    </xdr:from>
    <xdr:to>
      <xdr:col>18</xdr:col>
      <xdr:colOff>558612</xdr:colOff>
      <xdr:row>3</xdr:row>
      <xdr:rowOff>71718</xdr:rowOff>
    </xdr:to>
    <xdr:pic>
      <xdr:nvPicPr>
        <xdr:cNvPr id="8" name="Imagem 7" descr="https://cdn-icons-png.flaticon.com/512/1946/1946488.png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8167" y="186018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44263</xdr:colOff>
      <xdr:row>3</xdr:row>
      <xdr:rowOff>81241</xdr:rowOff>
    </xdr:from>
    <xdr:to>
      <xdr:col>19</xdr:col>
      <xdr:colOff>234763</xdr:colOff>
      <xdr:row>4</xdr:row>
      <xdr:rowOff>166966</xdr:rowOff>
    </xdr:to>
    <xdr:sp macro="" textlink="">
      <xdr:nvSpPr>
        <xdr:cNvPr id="9" name="CaixaDeTexto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SpPr txBox="1"/>
      </xdr:nvSpPr>
      <xdr:spPr>
        <a:xfrm>
          <a:off x="11017063" y="652741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103947</xdr:colOff>
      <xdr:row>18</xdr:row>
      <xdr:rowOff>47625</xdr:rowOff>
    </xdr:from>
    <xdr:to>
      <xdr:col>18</xdr:col>
      <xdr:colOff>409575</xdr:colOff>
      <xdr:row>20</xdr:row>
      <xdr:rowOff>66675</xdr:rowOff>
    </xdr:to>
    <xdr:pic>
      <xdr:nvPicPr>
        <xdr:cNvPr id="10" name="Imagem 9" descr="https://cdn-icons-png.flaticon.com/512/591/591855.png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76747" y="34766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161097</xdr:colOff>
      <xdr:row>18</xdr:row>
      <xdr:rowOff>47625</xdr:rowOff>
    </xdr:from>
    <xdr:to>
      <xdr:col>17</xdr:col>
      <xdr:colOff>466725</xdr:colOff>
      <xdr:row>20</xdr:row>
      <xdr:rowOff>66675</xdr:rowOff>
    </xdr:to>
    <xdr:pic>
      <xdr:nvPicPr>
        <xdr:cNvPr id="11" name="Imagem 10" descr="https://cdn-icons-png.flaticon.com/512/591/591855.p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524297" y="34766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590550</xdr:colOff>
      <xdr:row>20</xdr:row>
      <xdr:rowOff>38099</xdr:rowOff>
    </xdr:from>
    <xdr:to>
      <xdr:col>19</xdr:col>
      <xdr:colOff>171450</xdr:colOff>
      <xdr:row>21</xdr:row>
      <xdr:rowOff>123824</xdr:rowOff>
    </xdr:to>
    <xdr:sp macro="" textlink="">
      <xdr:nvSpPr>
        <xdr:cNvPr id="12" name="CaixaDeTexto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SpPr txBox="1"/>
      </xdr:nvSpPr>
      <xdr:spPr>
        <a:xfrm>
          <a:off x="10953750" y="38480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16</xdr:col>
      <xdr:colOff>476250</xdr:colOff>
      <xdr:row>20</xdr:row>
      <xdr:rowOff>38099</xdr:rowOff>
    </xdr:from>
    <xdr:to>
      <xdr:col>18</xdr:col>
      <xdr:colOff>57150</xdr:colOff>
      <xdr:row>21</xdr:row>
      <xdr:rowOff>123824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SpPr txBox="1"/>
      </xdr:nvSpPr>
      <xdr:spPr>
        <a:xfrm>
          <a:off x="10229850" y="38480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13</xdr:col>
      <xdr:colOff>65048</xdr:colOff>
      <xdr:row>18</xdr:row>
      <xdr:rowOff>97512</xdr:rowOff>
    </xdr:from>
    <xdr:to>
      <xdr:col>14</xdr:col>
      <xdr:colOff>31750</xdr:colOff>
      <xdr:row>21</xdr:row>
      <xdr:rowOff>95249</xdr:rowOff>
    </xdr:to>
    <xdr:pic>
      <xdr:nvPicPr>
        <xdr:cNvPr id="14" name="Imagem 13" descr="https://cdn-icons-png.flaticon.com/512/4334/4334610.png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4881" y="3526512"/>
          <a:ext cx="580536" cy="56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444501</xdr:colOff>
      <xdr:row>17</xdr:row>
      <xdr:rowOff>12976</xdr:rowOff>
    </xdr:from>
    <xdr:ext cx="4833056" cy="1200580"/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SpPr txBox="1"/>
      </xdr:nvSpPr>
      <xdr:spPr>
        <a:xfrm>
          <a:off x="444501" y="3251476"/>
          <a:ext cx="4833056" cy="120058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>
            <a:spcBef>
              <a:spcPts val="600"/>
            </a:spcBef>
          </a:pPr>
          <a:r>
            <a:rPr lang="pt-BR" sz="9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* Em conformidade com o Convênio CONFAZ ICMS 106/96, a Tegma dispôs de um crédito de 20% sobre o valor do ICMS devido relativo à prestação de serviços de transporte. Esse benefício esteve vigente até</a:t>
          </a:r>
          <a:r>
            <a:rPr lang="pt-BR" sz="9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o exercício de 2023 (inclusive)</a:t>
          </a:r>
          <a:r>
            <a:rPr lang="pt-BR" sz="9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A Lei 14.789 de 29 de dezembro de 2023, que entrou em vigor em 1º de janeiro de 2024, estabeleceu a tributação de quaisquer incentivos fiscais, inclusive o crédito presumido de ICMS, que </a:t>
          </a:r>
          <a:r>
            <a:rPr lang="pt-BR" sz="900" u="sng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passou a compor a base de cálculo do IRPJ/CSLL a partir</a:t>
          </a:r>
          <a:r>
            <a:rPr lang="pt-BR" sz="900" u="sng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de 2024</a:t>
          </a:r>
          <a:r>
            <a:rPr lang="pt-BR" sz="9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</a:t>
          </a:r>
        </a:p>
      </xdr:txBody>
    </xdr:sp>
    <xdr:clientData/>
  </xdr:oneCellAnchor>
  <xdr:oneCellAnchor>
    <xdr:from>
      <xdr:col>8</xdr:col>
      <xdr:colOff>402166</xdr:colOff>
      <xdr:row>17</xdr:row>
      <xdr:rowOff>144639</xdr:rowOff>
    </xdr:from>
    <xdr:ext cx="2286002" cy="1294694"/>
    <xdr:sp macro="" textlink="">
      <xdr:nvSpPr>
        <xdr:cNvPr id="20" name="CaixaDeTexto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SpPr txBox="1"/>
      </xdr:nvSpPr>
      <xdr:spPr>
        <a:xfrm>
          <a:off x="5312833" y="3383139"/>
          <a:ext cx="2286002" cy="1294694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>
            <a:spcBef>
              <a:spcPts val="600"/>
            </a:spcBef>
          </a:pPr>
          <a:r>
            <a:rPr lang="pt-BR" sz="11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1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  <a:p>
          <a:pPr algn="ctr">
            <a:spcBef>
              <a:spcPts val="600"/>
            </a:spcBef>
          </a:pPr>
          <a:r>
            <a:rPr lang="pt-BR" sz="11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Nos últimos 3 exercícios, o resultado de equivalência patrimonial e o pagamento de JCP reduziram a alíquota efetiva em 6 p.p, em média.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571501</xdr:colOff>
      <xdr:row>4</xdr:row>
      <xdr:rowOff>159327</xdr:rowOff>
    </xdr:from>
    <xdr:to>
      <xdr:col>19</xdr:col>
      <xdr:colOff>573033</xdr:colOff>
      <xdr:row>24</xdr:row>
      <xdr:rowOff>159327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40391"/>
        <a:stretch/>
      </xdr:blipFill>
      <xdr:spPr>
        <a:xfrm>
          <a:off x="7937501" y="921327"/>
          <a:ext cx="4298365" cy="38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Balanço Patrimonial</a:t>
          </a: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3</xdr:row>
      <xdr:rowOff>171009</xdr:rowOff>
    </xdr:from>
    <xdr:ext cx="6333067" cy="986102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 txBox="1"/>
      </xdr:nvSpPr>
      <xdr:spPr>
        <a:xfrm>
          <a:off x="228600" y="742509"/>
          <a:ext cx="6333067" cy="98610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Capital</a:t>
          </a:r>
          <a:r>
            <a:rPr lang="pt-BR" sz="1200" b="1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de Giro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capital de giro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da Tegma é concentrado no contas a receber de clientes, deduzido das contas fornecedores/fretes a pagar, uma vez que pela característica da operação da companhia a conta estoques é irrelevante. O capital de giro em 2024 correspondeu </a:t>
          </a:r>
          <a:r>
            <a:rPr lang="pt-BR" sz="1200">
              <a:solidFill>
                <a:sysClr val="windowText" lastClr="000000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</a:t>
          </a:r>
          <a:r>
            <a:rPr lang="pt-BR" sz="120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40 dias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</a:p>
      </xdr:txBody>
    </xdr:sp>
    <xdr:clientData/>
  </xdr:oneCellAnchor>
  <xdr:oneCellAnchor>
    <xdr:from>
      <xdr:col>0</xdr:col>
      <xdr:colOff>228600</xdr:colOff>
      <xdr:row>12</xdr:row>
      <xdr:rowOff>104775</xdr:rowOff>
    </xdr:from>
    <xdr:ext cx="6523567" cy="919482"/>
    <xdr:sp macro="" textlink="">
      <xdr:nvSpPr>
        <xdr:cNvPr id="7" name="CaixaDeTexto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SpPr txBox="1"/>
      </xdr:nvSpPr>
      <xdr:spPr>
        <a:xfrm>
          <a:off x="228600" y="2390775"/>
          <a:ext cx="6523567" cy="91948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Endividamento 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alavancagem financeira da companhia ao longo dos últimos 4 anos se reduziu em decorrência do fluxo de caixa livre positivo do período. As dívidas financeiras têm um custo médio em 31 de dezembro de 2024 de </a:t>
          </a:r>
          <a:r>
            <a:rPr lang="pt-BR" sz="120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CDI + 1,6%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</a:p>
      </xdr:txBody>
    </xdr:sp>
    <xdr:clientData/>
  </xdr:oneCellAnchor>
  <xdr:twoCellAnchor editAs="oneCell">
    <xdr:from>
      <xdr:col>18</xdr:col>
      <xdr:colOff>215879</xdr:colOff>
      <xdr:row>1</xdr:row>
      <xdr:rowOff>9525</xdr:rowOff>
    </xdr:from>
    <xdr:to>
      <xdr:col>19</xdr:col>
      <xdr:colOff>9524</xdr:colOff>
      <xdr:row>3</xdr:row>
      <xdr:rowOff>85725</xdr:rowOff>
    </xdr:to>
    <xdr:pic>
      <xdr:nvPicPr>
        <xdr:cNvPr id="9" name="Imagem 8" descr="https://cdn-icons-png.flaticon.com/512/1946/1946488.png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8679" y="200025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104775</xdr:colOff>
      <xdr:row>3</xdr:row>
      <xdr:rowOff>95248</xdr:rowOff>
    </xdr:from>
    <xdr:to>
      <xdr:col>19</xdr:col>
      <xdr:colOff>295275</xdr:colOff>
      <xdr:row>4</xdr:row>
      <xdr:rowOff>180973</xdr:rowOff>
    </xdr:to>
    <xdr:sp macro="" textlink="">
      <xdr:nvSpPr>
        <xdr:cNvPr id="10" name="CaixaDeTexto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SpPr txBox="1"/>
      </xdr:nvSpPr>
      <xdr:spPr>
        <a:xfrm>
          <a:off x="11077575" y="666748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ysClr val="windowText" lastClr="000000"/>
              </a:solidFill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427797</xdr:colOff>
      <xdr:row>19</xdr:row>
      <xdr:rowOff>140277</xdr:rowOff>
    </xdr:from>
    <xdr:to>
      <xdr:col>19</xdr:col>
      <xdr:colOff>123825</xdr:colOff>
      <xdr:row>21</xdr:row>
      <xdr:rowOff>159327</xdr:rowOff>
    </xdr:to>
    <xdr:pic>
      <xdr:nvPicPr>
        <xdr:cNvPr id="13" name="Imagem 12" descr="https://cdn-icons-png.flaticon.com/512/591/591855.png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00597" y="3759777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484947</xdr:colOff>
      <xdr:row>19</xdr:row>
      <xdr:rowOff>140277</xdr:rowOff>
    </xdr:from>
    <xdr:to>
      <xdr:col>18</xdr:col>
      <xdr:colOff>180975</xdr:colOff>
      <xdr:row>21</xdr:row>
      <xdr:rowOff>159327</xdr:rowOff>
    </xdr:to>
    <xdr:pic>
      <xdr:nvPicPr>
        <xdr:cNvPr id="14" name="Imagem 13" descr="https://cdn-icons-png.flaticon.com/512/591/591855.png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duotone>
            <a:schemeClr val="accent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48147" y="3759777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304800</xdr:colOff>
      <xdr:row>21</xdr:row>
      <xdr:rowOff>130751</xdr:rowOff>
    </xdr:from>
    <xdr:to>
      <xdr:col>19</xdr:col>
      <xdr:colOff>495300</xdr:colOff>
      <xdr:row>23</xdr:row>
      <xdr:rowOff>25976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SpPr txBox="1"/>
      </xdr:nvSpPr>
      <xdr:spPr>
        <a:xfrm>
          <a:off x="11277600" y="4131251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169334</xdr:colOff>
      <xdr:row>21</xdr:row>
      <xdr:rowOff>130752</xdr:rowOff>
    </xdr:from>
    <xdr:to>
      <xdr:col>18</xdr:col>
      <xdr:colOff>381000</xdr:colOff>
      <xdr:row>23</xdr:row>
      <xdr:rowOff>14112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SpPr txBox="1"/>
      </xdr:nvSpPr>
      <xdr:spPr>
        <a:xfrm>
          <a:off x="11084278" y="4131252"/>
          <a:ext cx="853722" cy="2643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solidFill>
                <a:schemeClr val="bg1"/>
              </a:solidFill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10</xdr:col>
      <xdr:colOff>359834</xdr:colOff>
      <xdr:row>3</xdr:row>
      <xdr:rowOff>72266</xdr:rowOff>
    </xdr:from>
    <xdr:ext cx="1905001" cy="806151"/>
    <xdr:sp macro="" textlink="">
      <xdr:nvSpPr>
        <xdr:cNvPr id="17" name="CaixaDeTexto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SpPr txBox="1"/>
      </xdr:nvSpPr>
      <xdr:spPr>
        <a:xfrm>
          <a:off x="6498167" y="643766"/>
          <a:ext cx="1905001" cy="806151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>
            <a:spcBef>
              <a:spcPts val="600"/>
            </a:spcBef>
          </a:pPr>
          <a:r>
            <a:rPr lang="pt-BR" sz="9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projeção:</a:t>
          </a:r>
          <a:r>
            <a:rPr lang="pt-BR" sz="9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O</a:t>
          </a:r>
          <a:r>
            <a:rPr lang="pt-BR" sz="9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patamar de dias do final de 2024 pode variar de acordo com negociações comerciais.</a:t>
          </a:r>
          <a:endParaRPr lang="pt-BR" sz="9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  <xdr:oneCellAnchor>
    <xdr:from>
      <xdr:col>11</xdr:col>
      <xdr:colOff>222249</xdr:colOff>
      <xdr:row>12</xdr:row>
      <xdr:rowOff>137583</xdr:rowOff>
    </xdr:from>
    <xdr:ext cx="1460501" cy="804334"/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SpPr txBox="1"/>
      </xdr:nvSpPr>
      <xdr:spPr>
        <a:xfrm>
          <a:off x="6974416" y="2423583"/>
          <a:ext cx="1460501" cy="804334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>
            <a:spcBef>
              <a:spcPts val="600"/>
            </a:spcBef>
          </a:pPr>
          <a:r>
            <a:rPr lang="pt-BR" sz="11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projeção:</a:t>
          </a:r>
          <a:r>
            <a:rPr lang="pt-BR" sz="11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1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depender de algum M&amp;A.</a:t>
          </a:r>
          <a:endParaRPr lang="pt-BR" sz="11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114300</xdr:colOff>
      <xdr:row>6</xdr:row>
      <xdr:rowOff>180975</xdr:rowOff>
    </xdr:from>
    <xdr:to>
      <xdr:col>17</xdr:col>
      <xdr:colOff>539950</xdr:colOff>
      <xdr:row>21</xdr:row>
      <xdr:rowOff>133350</xdr:rowOff>
    </xdr:to>
    <xdr:sp macro="" textlink="">
      <xdr:nvSpPr>
        <xdr:cNvPr id="17" name="Retângulo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SpPr/>
      </xdr:nvSpPr>
      <xdr:spPr>
        <a:xfrm>
          <a:off x="7429500" y="1323975"/>
          <a:ext cx="3473650" cy="2857500"/>
        </a:xfrm>
        <a:prstGeom prst="rect">
          <a:avLst/>
        </a:prstGeom>
        <a:solidFill>
          <a:schemeClr val="accent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pt-BR"/>
        </a:p>
      </xdr:txBody>
    </xdr:sp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Balanço Patrimonial</a:t>
          </a: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279885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 txBox="1"/>
      </xdr:nvSpPr>
      <xdr:spPr>
        <a:xfrm>
          <a:off x="285750" y="742509"/>
          <a:ext cx="7877734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CAPEX</a:t>
          </a:r>
        </a:p>
      </xdr:txBody>
    </xdr:sp>
    <xdr:clientData/>
  </xdr:oneCellAnchor>
  <xdr:oneCellAnchor>
    <xdr:from>
      <xdr:col>12</xdr:col>
      <xdr:colOff>295275</xdr:colOff>
      <xdr:row>4</xdr:row>
      <xdr:rowOff>19050</xdr:rowOff>
    </xdr:from>
    <xdr:ext cx="4629502" cy="3238500"/>
    <xdr:sp macro="" textlink="">
      <xdr:nvSpPr>
        <xdr:cNvPr id="6" name="CaixaDeTexto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SpPr txBox="1"/>
      </xdr:nvSpPr>
      <xdr:spPr>
        <a:xfrm>
          <a:off x="7999942" y="781050"/>
          <a:ext cx="4629502" cy="3238500"/>
        </a:xfrm>
        <a:prstGeom prst="rect">
          <a:avLst/>
        </a:prstGeom>
        <a:solidFill>
          <a:schemeClr val="bg1"/>
        </a:solidFill>
        <a:ln>
          <a:solidFill>
            <a:srgbClr val="EA7423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>
            <a:spcBef>
              <a:spcPts val="600"/>
            </a:spcBef>
          </a:pPr>
          <a:r>
            <a:rPr lang="pt-BR" sz="1400" b="1" kern="1200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Imobilizado e investimentos (CAPEX)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empresa é essencialmente asset light em decorrência do modelo de negócio de transporte terceirizado. No entanto, alguns investimentos estratégicos são necessários, como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pátios para estarmos próximos às montadoras atendidas, assim como benfeitorias em pátios de terceiros para as operações de veículos. Na Logística Integrada, se adquire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embalagens para a operação de eletrodomésticos e se adquire semi-reboques para o transporte de produtos químicos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 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Nos últimos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exercícios, o CAPEX esteve concentrado principalmente nas categorias destacadas na tabela à esquerda. O CAPEX consolidado representou nos últimos cinco anos entre </a:t>
          </a:r>
          <a:r>
            <a:rPr lang="pt-BR" sz="1200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1,6-2,7%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do faturamento bruto consolidado.</a:t>
          </a:r>
        </a:p>
      </xdr:txBody>
    </xdr:sp>
    <xdr:clientData/>
  </xdr:oneCellAnchor>
  <xdr:twoCellAnchor editAs="oneCell">
    <xdr:from>
      <xdr:col>18</xdr:col>
      <xdr:colOff>215879</xdr:colOff>
      <xdr:row>0</xdr:row>
      <xdr:rowOff>104334</xdr:rowOff>
    </xdr:from>
    <xdr:to>
      <xdr:col>19</xdr:col>
      <xdr:colOff>9524</xdr:colOff>
      <xdr:row>2</xdr:row>
      <xdr:rowOff>180534</xdr:rowOff>
    </xdr:to>
    <xdr:pic>
      <xdr:nvPicPr>
        <xdr:cNvPr id="7" name="Imagem 6" descr="https://cdn-icons-png.flaticon.com/512/1946/1946488.png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8679" y="104334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104775</xdr:colOff>
      <xdr:row>2</xdr:row>
      <xdr:rowOff>190057</xdr:rowOff>
    </xdr:from>
    <xdr:to>
      <xdr:col>19</xdr:col>
      <xdr:colOff>295275</xdr:colOff>
      <xdr:row>4</xdr:row>
      <xdr:rowOff>85282</xdr:rowOff>
    </xdr:to>
    <xdr:sp macro="" textlink="">
      <xdr:nvSpPr>
        <xdr:cNvPr id="8" name="CaixaDeTexto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SpPr txBox="1"/>
      </xdr:nvSpPr>
      <xdr:spPr>
        <a:xfrm>
          <a:off x="11077575" y="571057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532572</xdr:colOff>
      <xdr:row>21</xdr:row>
      <xdr:rowOff>38100</xdr:rowOff>
    </xdr:from>
    <xdr:to>
      <xdr:col>19</xdr:col>
      <xdr:colOff>228600</xdr:colOff>
      <xdr:row>23</xdr:row>
      <xdr:rowOff>57150</xdr:rowOff>
    </xdr:to>
    <xdr:pic>
      <xdr:nvPicPr>
        <xdr:cNvPr id="13" name="Imagem 12" descr="https://cdn-icons-png.flaticon.com/512/591/591855.png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5372" y="40386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589722</xdr:colOff>
      <xdr:row>21</xdr:row>
      <xdr:rowOff>38100</xdr:rowOff>
    </xdr:from>
    <xdr:to>
      <xdr:col>18</xdr:col>
      <xdr:colOff>285750</xdr:colOff>
      <xdr:row>23</xdr:row>
      <xdr:rowOff>57150</xdr:rowOff>
    </xdr:to>
    <xdr:pic>
      <xdr:nvPicPr>
        <xdr:cNvPr id="14" name="Imagem 13" descr="https://cdn-icons-png.flaticon.com/512/591/591855.p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952922" y="403860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409575</xdr:colOff>
      <xdr:row>23</xdr:row>
      <xdr:rowOff>28574</xdr:rowOff>
    </xdr:from>
    <xdr:to>
      <xdr:col>19</xdr:col>
      <xdr:colOff>600075</xdr:colOff>
      <xdr:row>25</xdr:row>
      <xdr:rowOff>38099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SpPr txBox="1"/>
      </xdr:nvSpPr>
      <xdr:spPr>
        <a:xfrm>
          <a:off x="11382375" y="4410074"/>
          <a:ext cx="800100" cy="390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218725</xdr:colOff>
      <xdr:row>23</xdr:row>
      <xdr:rowOff>28575</xdr:rowOff>
    </xdr:from>
    <xdr:to>
      <xdr:col>18</xdr:col>
      <xdr:colOff>521055</xdr:colOff>
      <xdr:row>24</xdr:row>
      <xdr:rowOff>162279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SpPr txBox="1"/>
      </xdr:nvSpPr>
      <xdr:spPr>
        <a:xfrm>
          <a:off x="11133669" y="4410075"/>
          <a:ext cx="944386" cy="32420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oneCellAnchor>
    <xdr:from>
      <xdr:col>5</xdr:col>
      <xdr:colOff>84667</xdr:colOff>
      <xdr:row>14</xdr:row>
      <xdr:rowOff>187430</xdr:rowOff>
    </xdr:from>
    <xdr:ext cx="2335388" cy="1154547"/>
    <xdr:sp macro="" textlink="">
      <xdr:nvSpPr>
        <xdr:cNvPr id="18" name="CaixaDeTexto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SpPr txBox="1"/>
      </xdr:nvSpPr>
      <xdr:spPr>
        <a:xfrm>
          <a:off x="3294945" y="2854430"/>
          <a:ext cx="2335388" cy="1154547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>
            <a:spcBef>
              <a:spcPts val="600"/>
            </a:spcBef>
          </a:pP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2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intervalo de 1,6-2,7% da receita bruta é uma indicação do passado mas não pode ser considerado uma garantia de que será cumprido.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Premissas do Balanço Patrimonial</a:t>
          </a: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1107034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 txBox="1"/>
      </xdr:nvSpPr>
      <xdr:spPr>
        <a:xfrm>
          <a:off x="285750" y="742509"/>
          <a:ext cx="7877734" cy="110703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Free cash flow to firm </a:t>
          </a:r>
        </a:p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O </a:t>
          </a:r>
          <a:r>
            <a:rPr lang="pt-BR" sz="1200" b="1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fluxo de caixa livre 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da empresa tem sido positivo em função do controle de custo realizado nos anos de crise e, adicionalmente, pela liberação de capital de giro nos anos com a queda da receita. A queda em 2021 ocorreu em função de uma negociação comercial que impactou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o capital de giro da Companhia e que foi solucionado em 2022.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  <xdr:twoCellAnchor editAs="oneCell">
    <xdr:from>
      <xdr:col>14</xdr:col>
      <xdr:colOff>371960</xdr:colOff>
      <xdr:row>6</xdr:row>
      <xdr:rowOff>107053</xdr:rowOff>
    </xdr:from>
    <xdr:to>
      <xdr:col>19</xdr:col>
      <xdr:colOff>600075</xdr:colOff>
      <xdr:row>18</xdr:row>
      <xdr:rowOff>144974</xdr:rowOff>
    </xdr:to>
    <xdr:pic>
      <xdr:nvPicPr>
        <xdr:cNvPr id="7" name="Imagem 6" descr="Uma imagem contendo caminhão, transporte, mesa, grande&#10;&#10;Descrição gerada automaticamente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906360" y="1250053"/>
          <a:ext cx="3276115" cy="2323921"/>
        </a:xfrm>
        <a:prstGeom prst="rect">
          <a:avLst/>
        </a:prstGeom>
      </xdr:spPr>
    </xdr:pic>
    <xdr:clientData/>
  </xdr:twoCellAnchor>
  <xdr:twoCellAnchor>
    <xdr:from>
      <xdr:col>12</xdr:col>
      <xdr:colOff>282516</xdr:colOff>
      <xdr:row>16</xdr:row>
      <xdr:rowOff>104775</xdr:rowOff>
    </xdr:from>
    <xdr:to>
      <xdr:col>17</xdr:col>
      <xdr:colOff>343921</xdr:colOff>
      <xdr:row>24</xdr:row>
      <xdr:rowOff>104775</xdr:rowOff>
    </xdr:to>
    <xdr:grpSp>
      <xdr:nvGrpSpPr>
        <xdr:cNvPr id="8" name="Agrupar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GrpSpPr/>
      </xdr:nvGrpSpPr>
      <xdr:grpSpPr>
        <a:xfrm>
          <a:off x="7648516" y="3152775"/>
          <a:ext cx="3130572" cy="1524000"/>
          <a:chOff x="3049304" y="9578501"/>
          <a:chExt cx="3254795" cy="1595259"/>
        </a:xfrm>
      </xdr:grpSpPr>
      <xdr:pic>
        <xdr:nvPicPr>
          <xdr:cNvPr id="9" name="Picture 5">
            <a:extLst>
              <a:ext uri="{FF2B5EF4-FFF2-40B4-BE49-F238E27FC236}">
                <a16:creationId xmlns:a16="http://schemas.microsoft.com/office/drawing/2014/main" id="{00000000-0008-0000-1300-00000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3049304" y="9578501"/>
            <a:ext cx="1620449" cy="1152894"/>
          </a:xfrm>
          <a:prstGeom prst="rect">
            <a:avLst/>
          </a:prstGeom>
          <a:noFill/>
        </xdr:spPr>
      </xdr:pic>
      <xdr:pic>
        <xdr:nvPicPr>
          <xdr:cNvPr id="10" name="Picture 1">
            <a:extLst>
              <a:ext uri="{FF2B5EF4-FFF2-40B4-BE49-F238E27FC236}">
                <a16:creationId xmlns:a16="http://schemas.microsoft.com/office/drawing/2014/main" id="{00000000-0008-0000-1300-00000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3993952" y="9724041"/>
            <a:ext cx="1347322" cy="1220469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pic>
        <xdr:nvPicPr>
          <xdr:cNvPr id="11" name="Picture 14" descr="Modelo 410 com Deslizador Plástico">
            <a:extLst>
              <a:ext uri="{FF2B5EF4-FFF2-40B4-BE49-F238E27FC236}">
                <a16:creationId xmlns:a16="http://schemas.microsoft.com/office/drawing/2014/main" id="{00000000-0008-0000-1300-00000B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5061534" y="10145148"/>
            <a:ext cx="1242565" cy="1028612"/>
          </a:xfrm>
          <a:prstGeom prst="rect">
            <a:avLst/>
          </a:prstGeom>
          <a:noFill/>
        </xdr:spPr>
      </xdr:pic>
    </xdr:grpSp>
    <xdr:clientData/>
  </xdr:twoCellAnchor>
  <xdr:twoCellAnchor editAs="oneCell">
    <xdr:from>
      <xdr:col>18</xdr:col>
      <xdr:colOff>330179</xdr:colOff>
      <xdr:row>0</xdr:row>
      <xdr:rowOff>152400</xdr:rowOff>
    </xdr:from>
    <xdr:to>
      <xdr:col>19</xdr:col>
      <xdr:colOff>123824</xdr:colOff>
      <xdr:row>3</xdr:row>
      <xdr:rowOff>38100</xdr:rowOff>
    </xdr:to>
    <xdr:pic>
      <xdr:nvPicPr>
        <xdr:cNvPr id="12" name="Imagem 11" descr="https://cdn-icons-png.flaticon.com/512/1946/1946488.p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2979" y="152400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219075</xdr:colOff>
      <xdr:row>3</xdr:row>
      <xdr:rowOff>47623</xdr:rowOff>
    </xdr:from>
    <xdr:to>
      <xdr:col>19</xdr:col>
      <xdr:colOff>409575</xdr:colOff>
      <xdr:row>4</xdr:row>
      <xdr:rowOff>133348</xdr:rowOff>
    </xdr:to>
    <xdr:sp macro="" textlink="">
      <xdr:nvSpPr>
        <xdr:cNvPr id="13" name="CaixaDeTexto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SpPr txBox="1"/>
      </xdr:nvSpPr>
      <xdr:spPr>
        <a:xfrm>
          <a:off x="11191875" y="619123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389697</xdr:colOff>
      <xdr:row>20</xdr:row>
      <xdr:rowOff>85725</xdr:rowOff>
    </xdr:from>
    <xdr:to>
      <xdr:col>19</xdr:col>
      <xdr:colOff>85725</xdr:colOff>
      <xdr:row>22</xdr:row>
      <xdr:rowOff>104775</xdr:rowOff>
    </xdr:to>
    <xdr:pic>
      <xdr:nvPicPr>
        <xdr:cNvPr id="14" name="Imagem 13" descr="https://cdn-icons-png.flaticon.com/512/591/591855.png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62497" y="38957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446847</xdr:colOff>
      <xdr:row>20</xdr:row>
      <xdr:rowOff>85725</xdr:rowOff>
    </xdr:from>
    <xdr:to>
      <xdr:col>18</xdr:col>
      <xdr:colOff>142875</xdr:colOff>
      <xdr:row>22</xdr:row>
      <xdr:rowOff>104775</xdr:rowOff>
    </xdr:to>
    <xdr:pic>
      <xdr:nvPicPr>
        <xdr:cNvPr id="15" name="Imagem 14" descr="https://cdn-icons-png.flaticon.com/512/591/591855.png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810047" y="389572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266700</xdr:colOff>
      <xdr:row>22</xdr:row>
      <xdr:rowOff>76199</xdr:rowOff>
    </xdr:from>
    <xdr:to>
      <xdr:col>19</xdr:col>
      <xdr:colOff>457200</xdr:colOff>
      <xdr:row>23</xdr:row>
      <xdr:rowOff>161924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SpPr txBox="1"/>
      </xdr:nvSpPr>
      <xdr:spPr>
        <a:xfrm>
          <a:off x="11239500" y="426719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17</xdr:col>
      <xdr:colOff>91723</xdr:colOff>
      <xdr:row>22</xdr:row>
      <xdr:rowOff>76199</xdr:rowOff>
    </xdr:from>
    <xdr:to>
      <xdr:col>18</xdr:col>
      <xdr:colOff>342900</xdr:colOff>
      <xdr:row>23</xdr:row>
      <xdr:rowOff>162278</xdr:rowOff>
    </xdr:to>
    <xdr:sp macro="" textlink="">
      <xdr:nvSpPr>
        <xdr:cNvPr id="17" name="CaixaDeTexto 16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SpPr txBox="1"/>
      </xdr:nvSpPr>
      <xdr:spPr>
        <a:xfrm>
          <a:off x="11006667" y="4267199"/>
          <a:ext cx="893233" cy="27657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542925</xdr:colOff>
      <xdr:row>6</xdr:row>
      <xdr:rowOff>57150</xdr:rowOff>
    </xdr:from>
    <xdr:to>
      <xdr:col>18</xdr:col>
      <xdr:colOff>358975</xdr:colOff>
      <xdr:row>18</xdr:row>
      <xdr:rowOff>180975</xdr:rowOff>
    </xdr:to>
    <xdr:sp macro="" textlink="">
      <xdr:nvSpPr>
        <xdr:cNvPr id="13" name="Retângulo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SpPr/>
      </xdr:nvSpPr>
      <xdr:spPr>
        <a:xfrm>
          <a:off x="8420100" y="1200150"/>
          <a:ext cx="3473650" cy="2409825"/>
        </a:xfrm>
        <a:prstGeom prst="rect">
          <a:avLst/>
        </a:prstGeom>
        <a:solidFill>
          <a:schemeClr val="accent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pt-BR"/>
        </a:p>
      </xdr:txBody>
    </xdr:sp>
    <xdr:clientData/>
  </xdr:twoCellAnchor>
  <xdr:twoCellAnchor editAs="oneCell">
    <xdr:from>
      <xdr:col>0</xdr:col>
      <xdr:colOff>76200</xdr:colOff>
      <xdr:row>1</xdr:row>
      <xdr:rowOff>28575</xdr:rowOff>
    </xdr:from>
    <xdr:to>
      <xdr:col>2</xdr:col>
      <xdr:colOff>184709</xdr:colOff>
      <xdr:row>2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219075"/>
          <a:ext cx="1327709" cy="342900"/>
        </a:xfrm>
        <a:prstGeom prst="rect">
          <a:avLst/>
        </a:prstGeom>
      </xdr:spPr>
    </xdr:pic>
    <xdr:clientData/>
  </xdr:twoCellAnchor>
  <xdr:twoCellAnchor>
    <xdr:from>
      <xdr:col>2</xdr:col>
      <xdr:colOff>120463</xdr:colOff>
      <xdr:row>1</xdr:row>
      <xdr:rowOff>71718</xdr:rowOff>
    </xdr:from>
    <xdr:to>
      <xdr:col>16</xdr:col>
      <xdr:colOff>233330</xdr:colOff>
      <xdr:row>3</xdr:row>
      <xdr:rowOff>43143</xdr:rowOff>
    </xdr:to>
    <xdr:sp macro="" textlink="">
      <xdr:nvSpPr>
        <xdr:cNvPr id="3" name="Título 1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 txBox="1">
          <a:spLocks/>
        </xdr:cNvSpPr>
      </xdr:nvSpPr>
      <xdr:spPr>
        <a:xfrm>
          <a:off x="1339663" y="262218"/>
          <a:ext cx="8647267" cy="352425"/>
        </a:xfrm>
        <a:prstGeom prst="rect">
          <a:avLst/>
        </a:prstGeom>
      </xdr:spPr>
      <xdr:txBody>
        <a:bodyPr vert="horz" wrap="square" anchor="ctr"/>
        <a:lstStyle>
          <a:defPPr>
            <a:defRPr lang="pt-BR"/>
          </a:defPPr>
          <a:lvl1pPr marL="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277200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5544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8316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108801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13860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1663202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19404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2217603" algn="l" defTabSz="554401" rtl="0" eaLnBrk="1" latinLnBrk="0" hangingPunct="1">
            <a:defRPr sz="1091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l">
            <a:lnSpc>
              <a:spcPts val="2500"/>
            </a:lnSpc>
            <a:spcBef>
              <a:spcPts val="0"/>
            </a:spcBef>
            <a:defRPr/>
          </a:pPr>
          <a:r>
            <a:rPr lang="pt-BR" sz="2800" b="1">
              <a:solidFill>
                <a:srgbClr val="EA7423"/>
              </a:solidFill>
              <a:latin typeface="Montserrat"/>
              <a:ea typeface="Verdana" panose="020B0604030504040204" pitchFamily="34" charset="0"/>
              <a:cs typeface="Arial" panose="020B0604020202020204" pitchFamily="34" charset="0"/>
            </a:rPr>
            <a:t>Dividendos/JSCP</a:t>
          </a:r>
        </a:p>
      </xdr:txBody>
    </xdr:sp>
    <xdr:clientData/>
  </xdr:twoCellAnchor>
  <xdr:twoCellAnchor editAs="oneCell">
    <xdr:from>
      <xdr:col>18</xdr:col>
      <xdr:colOff>515469</xdr:colOff>
      <xdr:row>0</xdr:row>
      <xdr:rowOff>82923</xdr:rowOff>
    </xdr:from>
    <xdr:to>
      <xdr:col>19</xdr:col>
      <xdr:colOff>502580</xdr:colOff>
      <xdr:row>1</xdr:row>
      <xdr:rowOff>142438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88269" y="82923"/>
          <a:ext cx="596711" cy="250015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</xdr:row>
      <xdr:rowOff>171009</xdr:rowOff>
    </xdr:from>
    <xdr:ext cx="7877734" cy="279885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SpPr txBox="1"/>
      </xdr:nvSpPr>
      <xdr:spPr>
        <a:xfrm>
          <a:off x="285750" y="742509"/>
          <a:ext cx="7877734" cy="2798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Histórico de proventos </a:t>
          </a:r>
          <a:r>
            <a:rPr lang="pt-BR" sz="1200" b="1" baseline="0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(R$ mil)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</a:t>
          </a:r>
        </a:p>
      </xdr:txBody>
    </xdr:sp>
    <xdr:clientData/>
  </xdr:oneCellAnchor>
  <xdr:oneCellAnchor>
    <xdr:from>
      <xdr:col>13</xdr:col>
      <xdr:colOff>133350</xdr:colOff>
      <xdr:row>4</xdr:row>
      <xdr:rowOff>171450</xdr:rowOff>
    </xdr:from>
    <xdr:ext cx="3676649" cy="2457449"/>
    <xdr:sp macro="" textlink="">
      <xdr:nvSpPr>
        <xdr:cNvPr id="6" name="CaixaDeTexto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SpPr txBox="1"/>
      </xdr:nvSpPr>
      <xdr:spPr>
        <a:xfrm>
          <a:off x="8620125" y="933450"/>
          <a:ext cx="3676649" cy="2457449"/>
        </a:xfrm>
        <a:prstGeom prst="rect">
          <a:avLst/>
        </a:prstGeom>
        <a:solidFill>
          <a:schemeClr val="bg1"/>
        </a:solidFill>
        <a:ln>
          <a:solidFill>
            <a:srgbClr val="ED77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>
            <a:spcBef>
              <a:spcPts val="600"/>
            </a:spcBef>
          </a:pP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A empresa tem uma política indicativa de distribuir pelo menos </a:t>
          </a: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50%</a:t>
          </a:r>
          <a:r>
            <a:rPr lang="pt-BR" sz="120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do lucro líquido do exercício com duas antecipações em agosto e novembro. A tabela ao lado mostra o histórico da distribuição de proventos. (Número de 2025 considera dividendos complementares a serem aprovados em AGO de 2025).</a:t>
          </a:r>
        </a:p>
      </xdr:txBody>
    </xdr:sp>
    <xdr:clientData/>
  </xdr:oneCellAnchor>
  <xdr:twoCellAnchor editAs="oneCell">
    <xdr:from>
      <xdr:col>18</xdr:col>
      <xdr:colOff>320654</xdr:colOff>
      <xdr:row>0</xdr:row>
      <xdr:rowOff>142434</xdr:rowOff>
    </xdr:from>
    <xdr:to>
      <xdr:col>19</xdr:col>
      <xdr:colOff>114299</xdr:colOff>
      <xdr:row>3</xdr:row>
      <xdr:rowOff>28134</xdr:rowOff>
    </xdr:to>
    <xdr:pic>
      <xdr:nvPicPr>
        <xdr:cNvPr id="7" name="Imagem 6" descr="https://cdn-icons-png.flaticon.com/512/1946/1946488.png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5429" y="142434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209550</xdr:colOff>
      <xdr:row>3</xdr:row>
      <xdr:rowOff>37657</xdr:rowOff>
    </xdr:from>
    <xdr:to>
      <xdr:col>19</xdr:col>
      <xdr:colOff>400050</xdr:colOff>
      <xdr:row>4</xdr:row>
      <xdr:rowOff>123382</xdr:rowOff>
    </xdr:to>
    <xdr:sp macro="" textlink="">
      <xdr:nvSpPr>
        <xdr:cNvPr id="8" name="CaixaDeTexto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SpPr txBox="1"/>
      </xdr:nvSpPr>
      <xdr:spPr>
        <a:xfrm>
          <a:off x="11744325" y="609157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218247</xdr:colOff>
      <xdr:row>20</xdr:row>
      <xdr:rowOff>57150</xdr:rowOff>
    </xdr:from>
    <xdr:to>
      <xdr:col>18</xdr:col>
      <xdr:colOff>523875</xdr:colOff>
      <xdr:row>22</xdr:row>
      <xdr:rowOff>76200</xdr:rowOff>
    </xdr:to>
    <xdr:pic>
      <xdr:nvPicPr>
        <xdr:cNvPr id="9" name="Imagem 8" descr="https://cdn-icons-png.flaticon.com/512/591/591855.png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022" y="410527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275397</xdr:colOff>
      <xdr:row>20</xdr:row>
      <xdr:rowOff>57150</xdr:rowOff>
    </xdr:from>
    <xdr:to>
      <xdr:col>17</xdr:col>
      <xdr:colOff>581025</xdr:colOff>
      <xdr:row>22</xdr:row>
      <xdr:rowOff>76200</xdr:rowOff>
    </xdr:to>
    <xdr:pic>
      <xdr:nvPicPr>
        <xdr:cNvPr id="10" name="Imagem 9" descr="https://cdn-icons-png.flaticon.com/512/591/591855.png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1200572" y="4105275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95250</xdr:colOff>
      <xdr:row>22</xdr:row>
      <xdr:rowOff>47624</xdr:rowOff>
    </xdr:from>
    <xdr:to>
      <xdr:col>19</xdr:col>
      <xdr:colOff>285750</xdr:colOff>
      <xdr:row>23</xdr:row>
      <xdr:rowOff>133349</xdr:rowOff>
    </xdr:to>
    <xdr:sp macro="" textlink="">
      <xdr:nvSpPr>
        <xdr:cNvPr id="11" name="CaixaDeTexto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SpPr txBox="1"/>
      </xdr:nvSpPr>
      <xdr:spPr>
        <a:xfrm>
          <a:off x="11630025" y="447674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Próximo</a:t>
          </a:r>
        </a:p>
      </xdr:txBody>
    </xdr:sp>
    <xdr:clientData/>
  </xdr:twoCellAnchor>
  <xdr:twoCellAnchor>
    <xdr:from>
      <xdr:col>16</xdr:col>
      <xdr:colOff>590550</xdr:colOff>
      <xdr:row>22</xdr:row>
      <xdr:rowOff>47624</xdr:rowOff>
    </xdr:from>
    <xdr:to>
      <xdr:col>18</xdr:col>
      <xdr:colOff>171450</xdr:colOff>
      <xdr:row>23</xdr:row>
      <xdr:rowOff>133349</xdr:rowOff>
    </xdr:to>
    <xdr:sp macro="" textlink="">
      <xdr:nvSpPr>
        <xdr:cNvPr id="12" name="CaixaDeTexto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SpPr txBox="1"/>
      </xdr:nvSpPr>
      <xdr:spPr>
        <a:xfrm>
          <a:off x="10906125" y="4476749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13</xdr:col>
      <xdr:colOff>238124</xdr:colOff>
      <xdr:row>13</xdr:row>
      <xdr:rowOff>9523</xdr:rowOff>
    </xdr:from>
    <xdr:to>
      <xdr:col>14</xdr:col>
      <xdr:colOff>515999</xdr:colOff>
      <xdr:row>17</xdr:row>
      <xdr:rowOff>134998</xdr:rowOff>
    </xdr:to>
    <xdr:pic>
      <xdr:nvPicPr>
        <xdr:cNvPr id="14" name="Imagem 13" descr="https://cdn-icons-png.flaticon.com/512/4256/4256832.png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4899" y="2486023"/>
          <a:ext cx="887475" cy="887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529166</xdr:colOff>
      <xdr:row>13</xdr:row>
      <xdr:rowOff>10583</xdr:rowOff>
    </xdr:from>
    <xdr:ext cx="1905001" cy="1612195"/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SpPr txBox="1"/>
      </xdr:nvSpPr>
      <xdr:spPr>
        <a:xfrm>
          <a:off x="6208888" y="2663472"/>
          <a:ext cx="1905001" cy="1612195"/>
        </a:xfrm>
        <a:prstGeom prst="rect">
          <a:avLst/>
        </a:prstGeom>
        <a:noFill/>
        <a:ln w="28575">
          <a:solidFill>
            <a:schemeClr val="accent2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>
            <a:spcBef>
              <a:spcPts val="600"/>
            </a:spcBef>
          </a:pPr>
          <a:r>
            <a:rPr lang="pt-BR" sz="1200" b="1">
              <a:solidFill>
                <a:srgbClr val="EA7423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Para fins de projeção</a:t>
          </a:r>
          <a:r>
            <a:rPr lang="pt-BR" sz="1200" b="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 Não há como sugerir nenhum padrão de payout futuro para a empresa, exceto pela política indicativa</a:t>
          </a:r>
          <a:r>
            <a:rPr lang="pt-BR" sz="1200" baseline="0">
              <a:solidFill>
                <a:schemeClr val="tx1"/>
              </a:solidFill>
              <a:effectLst/>
              <a:latin typeface="Montserrat" panose="00000500000000000000" pitchFamily="2" charset="0"/>
              <a:ea typeface="+mn-ea"/>
              <a:cs typeface="+mn-cs"/>
            </a:rPr>
            <a:t>.</a:t>
          </a:r>
          <a:endParaRPr lang="pt-BR" sz="1200">
            <a:solidFill>
              <a:schemeClr val="tx1"/>
            </a:solidFill>
            <a:effectLst/>
            <a:latin typeface="Montserrat" panose="00000500000000000000" pitchFamily="2" charset="0"/>
            <a:ea typeface="+mn-ea"/>
            <a:cs typeface="+mn-cs"/>
          </a:endParaRPr>
        </a:p>
      </xdr:txBody>
    </xdr:sp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301604</xdr:colOff>
      <xdr:row>1</xdr:row>
      <xdr:rowOff>19050</xdr:rowOff>
    </xdr:from>
    <xdr:to>
      <xdr:col>19</xdr:col>
      <xdr:colOff>95249</xdr:colOff>
      <xdr:row>3</xdr:row>
      <xdr:rowOff>95250</xdr:rowOff>
    </xdr:to>
    <xdr:pic>
      <xdr:nvPicPr>
        <xdr:cNvPr id="3" name="Imagem 2" descr="https://cdn-icons-png.flaticon.com/512/1946/1946488.png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6379" y="209550"/>
          <a:ext cx="403245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190500</xdr:colOff>
      <xdr:row>3</xdr:row>
      <xdr:rowOff>104773</xdr:rowOff>
    </xdr:from>
    <xdr:to>
      <xdr:col>19</xdr:col>
      <xdr:colOff>381000</xdr:colOff>
      <xdr:row>4</xdr:row>
      <xdr:rowOff>190498</xdr:rowOff>
    </xdr:to>
    <xdr:sp macro="" textlink="">
      <xdr:nvSpPr>
        <xdr:cNvPr id="4" name="CaixaDeTexto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 txBox="1"/>
      </xdr:nvSpPr>
      <xdr:spPr>
        <a:xfrm>
          <a:off x="11725275" y="676273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Menu</a:t>
          </a:r>
        </a:p>
      </xdr:txBody>
    </xdr:sp>
    <xdr:clientData/>
  </xdr:twoCellAnchor>
  <xdr:twoCellAnchor editAs="oneCell">
    <xdr:from>
      <xdr:col>18</xdr:col>
      <xdr:colOff>237297</xdr:colOff>
      <xdr:row>19</xdr:row>
      <xdr:rowOff>47625</xdr:rowOff>
    </xdr:from>
    <xdr:to>
      <xdr:col>18</xdr:col>
      <xdr:colOff>542925</xdr:colOff>
      <xdr:row>21</xdr:row>
      <xdr:rowOff>66675</xdr:rowOff>
    </xdr:to>
    <xdr:pic>
      <xdr:nvPicPr>
        <xdr:cNvPr id="6" name="Imagem 5" descr="https://cdn-icons-png.flaticon.com/512/591/591855.png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1772072" y="3905250"/>
          <a:ext cx="305628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552450</xdr:colOff>
      <xdr:row>21</xdr:row>
      <xdr:rowOff>38099</xdr:rowOff>
    </xdr:from>
    <xdr:to>
      <xdr:col>19</xdr:col>
      <xdr:colOff>133350</xdr:colOff>
      <xdr:row>22</xdr:row>
      <xdr:rowOff>123824</xdr:rowOff>
    </xdr:to>
    <xdr:sp macro="" textlink="">
      <xdr:nvSpPr>
        <xdr:cNvPr id="8" name="CaixaDeTexto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SpPr txBox="1"/>
      </xdr:nvSpPr>
      <xdr:spPr>
        <a:xfrm>
          <a:off x="11477625" y="4276724"/>
          <a:ext cx="8001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>
              <a:latin typeface="Montserrat" panose="00000500000000000000" pitchFamily="2" charset="0"/>
            </a:rPr>
            <a:t>Anterior</a:t>
          </a:r>
        </a:p>
      </xdr:txBody>
    </xdr:sp>
    <xdr:clientData/>
  </xdr:twoCellAnchor>
  <xdr:twoCellAnchor editAs="oneCell">
    <xdr:from>
      <xdr:col>0</xdr:col>
      <xdr:colOff>1</xdr:colOff>
      <xdr:row>0</xdr:row>
      <xdr:rowOff>0</xdr:rowOff>
    </xdr:from>
    <xdr:to>
      <xdr:col>12</xdr:col>
      <xdr:colOff>306918</xdr:colOff>
      <xdr:row>25</xdr:row>
      <xdr:rowOff>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72489B63-4F89-4CCC-21B6-BF3B90E9D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0"/>
          <a:ext cx="8223250" cy="47625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\\NIC-TGL-FS-01\Tegma\Financeiro\Investidores\RI\S&#201;RIE%20HIST&#211;RICA\Ve&#237;culos.xlsx" TargetMode="External"/><Relationship Id="rId1" Type="http://schemas.openxmlformats.org/officeDocument/2006/relationships/externalLinkPath" Target="file:///\\NIC-TGL-FS-01\Tegma\Financeiro\Investidores\RI\S&#201;RIE%20HIST&#211;RICA\Ve&#237;culos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\\NIC-TGL-FS-01\Tegma\Financeiro\Investidores\RI\S&#201;RIE%20HIST&#211;RICA\S&#233;rie%20historica-notas%20explicativas.xlsx" TargetMode="External"/><Relationship Id="rId1" Type="http://schemas.openxmlformats.org/officeDocument/2006/relationships/externalLinkPath" Target="file:///\\NIC-TGL-FS-01\Tegma\Financeiro\Investidores\RI\S&#201;RIE%20HIST&#211;RICA\S&#233;rie%20historica-notas%20explicativas.xlsx" TargetMode="External"/></Relationships>
</file>

<file path=xl/externalLinks/_rels/externalLink3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I:\RI\AN&#193;LISES\Valuation%20Assumptions%20Guide.xlsx" TargetMode="External"/><Relationship Id="rId1" Type="http://schemas.openxmlformats.org/officeDocument/2006/relationships/externalLinkPath" Target="Valuation%20Assumptions%20Guide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Guia%20de%20Valuation%20Novo%20layout%20v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Variações"/>
      <sheetName val="Gráficos"/>
      <sheetName val="Resumo"/>
      <sheetName val="Base"/>
      <sheetName val="Vendas por modelo"/>
      <sheetName val="Planilha1"/>
      <sheetName val="Planilha4"/>
      <sheetName val="Volumes NOVO"/>
      <sheetName val="Planilha2"/>
      <sheetName val="Atualização"/>
      <sheetName val="2013"/>
      <sheetName val="2014"/>
      <sheetName val="2015"/>
      <sheetName val="2017"/>
      <sheetName val="2017´"/>
      <sheetName val="2019´"/>
      <sheetName val="Mktshare"/>
      <sheetName val="2018´"/>
      <sheetName val="ANFAVEA"/>
      <sheetName val="2020´"/>
      <sheetName val="Ocupação Armazens"/>
      <sheetName val="Feriados"/>
      <sheetName val="Base NOVO"/>
      <sheetName val="Gráficos Mercado"/>
      <sheetName val="Vendas por modelo 2021"/>
      <sheetName val="2016"/>
    </sheetNames>
    <sheetDataSet>
      <sheetData sheetId="0"/>
      <sheetData sheetId="1"/>
      <sheetData sheetId="2"/>
      <sheetData sheetId="3">
        <row r="329">
          <cell r="G329">
            <v>627945</v>
          </cell>
          <cell r="H329">
            <v>83906</v>
          </cell>
          <cell r="Q329">
            <v>2487536</v>
          </cell>
          <cell r="R329">
            <v>375772</v>
          </cell>
        </row>
      </sheetData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Menu"/>
      <sheetName val="Análise Rápida"/>
      <sheetName val="Dados Operacionais Auto"/>
      <sheetName val="BP"/>
      <sheetName val="DRE"/>
      <sheetName val="Auto"/>
      <sheetName val="LI"/>
      <sheetName val="Consolidado"/>
      <sheetName val="DFC"/>
      <sheetName val="DVA"/>
      <sheetName val="DMPL"/>
      <sheetName val="Indicadores"/>
      <sheetName val="Dividendos"/>
      <sheetName val="Estimativas"/>
      <sheetName val="Dados Mercado"/>
      <sheetName val="Anexos"/>
      <sheetName val="Análise de Sensibilidade"/>
      <sheetName val="Risco de Liquidez"/>
      <sheetName val="Gestão de Capital"/>
      <sheetName val="Caixa e Equivalente de Caixa"/>
      <sheetName val="Contas a Receber"/>
      <sheetName val="Contas a Receber Aging"/>
      <sheetName val="Contas a Receber Mov PDD"/>
      <sheetName val="Demais Contas a Receber"/>
      <sheetName val="Impostos a Recuperar"/>
      <sheetName val="Investimentos A"/>
      <sheetName val="Investimentos C"/>
      <sheetName val="Investimentos E"/>
      <sheetName val="Investimentos F"/>
      <sheetName val="Imobilizado "/>
      <sheetName val="Empréstimos e Financiamentos"/>
      <sheetName val="Intangível"/>
      <sheetName val="Salários e Encargos Sociais"/>
      <sheetName val="Riscos Judiciais"/>
      <sheetName val="Despesas de IR e CSLL"/>
      <sheetName val="IR e CS Diferidos"/>
      <sheetName val="Demais Contas a Pagar"/>
      <sheetName val="Outras receitas e despesas"/>
      <sheetName val="Receita"/>
      <sheetName val="Despesas por Natureza"/>
      <sheetName val="Despesas por Natureza 1"/>
      <sheetName val="Resultado Financeiro"/>
      <sheetName val="Remuneração Administração"/>
      <sheetName val="Arrendamento Operacional"/>
      <sheetName val="Partes Relacionadas"/>
      <sheetName val="Direito de Uso"/>
      <sheetName val="Arrendamento Mercantil"/>
      <sheetName val="Operações Descontinuadas"/>
    </sheetNames>
    <sheetDataSet>
      <sheetData sheetId="0"/>
      <sheetData sheetId="1">
        <row r="8">
          <cell r="AR8">
            <v>2585223.7359999996</v>
          </cell>
        </row>
        <row r="9">
          <cell r="AR9">
            <v>-495096.3188699999</v>
          </cell>
        </row>
        <row r="20">
          <cell r="AR20">
            <v>-39903.686890000026</v>
          </cell>
        </row>
        <row r="67">
          <cell r="AR67">
            <v>2377964.3886100003</v>
          </cell>
        </row>
        <row r="68">
          <cell r="AR68">
            <v>-457904.62984999991</v>
          </cell>
        </row>
        <row r="82">
          <cell r="AR82">
            <v>-28751.122010000032</v>
          </cell>
        </row>
        <row r="93">
          <cell r="AR93">
            <v>872.82729000000108</v>
          </cell>
        </row>
        <row r="95">
          <cell r="AR95">
            <v>206386.52009999999</v>
          </cell>
        </row>
        <row r="98">
          <cell r="AR98">
            <v>-37191.689019999998</v>
          </cell>
        </row>
        <row r="107">
          <cell r="AR107">
            <v>-11152.56488</v>
          </cell>
        </row>
        <row r="111">
          <cell r="AR111">
            <v>-8349.8039500000014</v>
          </cell>
        </row>
        <row r="112">
          <cell r="AR112">
            <v>-8821.8229199999987</v>
          </cell>
        </row>
        <row r="151">
          <cell r="AR151">
            <v>262223</v>
          </cell>
        </row>
      </sheetData>
      <sheetData sheetId="2"/>
      <sheetData sheetId="3"/>
      <sheetData sheetId="4">
        <row r="11">
          <cell r="BF11">
            <v>-315601.6468300001</v>
          </cell>
          <cell r="BG11">
            <v>-376757.38668</v>
          </cell>
          <cell r="BH11">
            <v>-464225.44626999996</v>
          </cell>
          <cell r="BI11">
            <v>-482497.53223000001</v>
          </cell>
        </row>
        <row r="17">
          <cell r="BF17">
            <v>-28514.985760000007</v>
          </cell>
          <cell r="BG17">
            <v>-25062.511210000001</v>
          </cell>
          <cell r="BH17">
            <v>-26949.604289999996</v>
          </cell>
          <cell r="BI17">
            <v>-29886.641280000003</v>
          </cell>
        </row>
        <row r="18">
          <cell r="BF18">
            <v>-573.41901999999993</v>
          </cell>
          <cell r="BG18">
            <v>217.70587999999989</v>
          </cell>
          <cell r="BH18">
            <v>-850.78683999999998</v>
          </cell>
          <cell r="BI18">
            <v>4.1399699999992663</v>
          </cell>
        </row>
      </sheetData>
      <sheetData sheetId="5">
        <row r="12">
          <cell r="BA12">
            <v>-272212.08776000008</v>
          </cell>
          <cell r="BB12">
            <v>-330865.52973000001</v>
          </cell>
          <cell r="BC12">
            <v>-421044.66129999998</v>
          </cell>
          <cell r="BD12">
            <v>-438055.93491000007</v>
          </cell>
        </row>
        <row r="14">
          <cell r="BA14">
            <v>-25337.884590000005</v>
          </cell>
          <cell r="BB14">
            <v>-21782.948499999999</v>
          </cell>
          <cell r="BC14">
            <v>-23322.650829999999</v>
          </cell>
          <cell r="BD14">
            <v>-25002.788710000008</v>
          </cell>
        </row>
        <row r="37">
          <cell r="BA37">
            <v>-9533.8189899999979</v>
          </cell>
          <cell r="BB37">
            <v>-9539.9341300000015</v>
          </cell>
          <cell r="BC37">
            <v>-9412.5899100000006</v>
          </cell>
          <cell r="BD37">
            <v>-9977.5194800000008</v>
          </cell>
        </row>
        <row r="38">
          <cell r="BA38">
            <v>-8331.1583499999979</v>
          </cell>
          <cell r="BB38">
            <v>-8330.3485600000004</v>
          </cell>
          <cell r="BC38">
            <v>-8195.6965700000001</v>
          </cell>
          <cell r="BD38">
            <v>-8520.3460400000004</v>
          </cell>
        </row>
        <row r="39">
          <cell r="BA39">
            <v>-1202.6606400000001</v>
          </cell>
          <cell r="BB39">
            <v>-1209.5855700000002</v>
          </cell>
          <cell r="BC39">
            <v>-1216.8933400000001</v>
          </cell>
          <cell r="BD39">
            <v>-1457.17344</v>
          </cell>
        </row>
      </sheetData>
      <sheetData sheetId="6">
        <row r="13">
          <cell r="BA13">
            <v>-30761.998070000005</v>
          </cell>
          <cell r="BB13">
            <v>-33179.92899</v>
          </cell>
          <cell r="BC13">
            <v>-30561.183870000001</v>
          </cell>
          <cell r="BD13">
            <v>-31888.350020000002</v>
          </cell>
        </row>
        <row r="15">
          <cell r="BA15">
            <v>-2540.4430400000001</v>
          </cell>
          <cell r="BB15">
            <v>-1844.8559499999999</v>
          </cell>
          <cell r="BC15">
            <v>-3253.43165</v>
          </cell>
          <cell r="BD15">
            <v>-3407.9472599999999</v>
          </cell>
        </row>
        <row r="38">
          <cell r="BA38">
            <v>-4296.40265</v>
          </cell>
          <cell r="BB38">
            <v>-4381.5794000000005</v>
          </cell>
          <cell r="BC38">
            <v>-4423.9045299999998</v>
          </cell>
          <cell r="BD38">
            <v>-4032.9012599999996</v>
          </cell>
        </row>
        <row r="39">
          <cell r="BA39">
            <v>-7.4165100000000006</v>
          </cell>
          <cell r="BB39">
            <v>-7.4153099999999998</v>
          </cell>
          <cell r="BC39">
            <v>-7.4153099999999998</v>
          </cell>
          <cell r="BD39">
            <v>-14.591899999999999</v>
          </cell>
        </row>
      </sheetData>
      <sheetData sheetId="7">
        <row r="36">
          <cell r="BA36">
            <v>-13837.638149999999</v>
          </cell>
          <cell r="BB36">
            <v>-13928.92884</v>
          </cell>
          <cell r="BC36">
            <v>-13843.909750000001</v>
          </cell>
          <cell r="BD36">
            <v>-14025.012639999999</v>
          </cell>
        </row>
      </sheetData>
      <sheetData sheetId="8"/>
      <sheetData sheetId="9"/>
      <sheetData sheetId="10"/>
      <sheetData sheetId="11">
        <row r="12">
          <cell r="BD12">
            <v>105996</v>
          </cell>
        </row>
        <row r="13">
          <cell r="BD13">
            <v>241335</v>
          </cell>
        </row>
        <row r="39">
          <cell r="BA39">
            <v>1663</v>
          </cell>
          <cell r="BB39">
            <v>3371.5504099999926</v>
          </cell>
          <cell r="BC39">
            <v>6454.9132299999892</v>
          </cell>
          <cell r="BD39">
            <v>7131.5363600000201</v>
          </cell>
        </row>
        <row r="40">
          <cell r="BA40">
            <v>9320</v>
          </cell>
          <cell r="BB40">
            <v>5363.5993600000002</v>
          </cell>
          <cell r="BC40">
            <v>480</v>
          </cell>
          <cell r="BD40">
            <v>6715.4006399999998</v>
          </cell>
        </row>
        <row r="41">
          <cell r="BA41">
            <v>5153</v>
          </cell>
          <cell r="BB41">
            <v>3324.3858000000114</v>
          </cell>
          <cell r="BC41">
            <v>5639.2999999999975</v>
          </cell>
          <cell r="BD41">
            <v>2958.3141999999934</v>
          </cell>
        </row>
        <row r="49">
          <cell r="BD49">
            <v>437934</v>
          </cell>
        </row>
        <row r="51">
          <cell r="BD51">
            <v>62418</v>
          </cell>
        </row>
        <row r="53">
          <cell r="BD53">
            <v>39.521611918048322</v>
          </cell>
        </row>
        <row r="119">
          <cell r="AT119">
            <v>26571.047639999997</v>
          </cell>
          <cell r="AU119">
            <v>27331.937509999996</v>
          </cell>
          <cell r="AV119">
            <v>6052.8505499999965</v>
          </cell>
          <cell r="AW119">
            <v>6330.8441999999959</v>
          </cell>
          <cell r="AX119">
            <v>6330.8441999999959</v>
          </cell>
          <cell r="AY119">
            <v>6330.8441999999959</v>
          </cell>
          <cell r="AZ119">
            <v>6330.8441999999959</v>
          </cell>
          <cell r="BA119">
            <v>6330.84</v>
          </cell>
          <cell r="BB119">
            <v>11868.3</v>
          </cell>
        </row>
      </sheetData>
      <sheetData sheetId="12">
        <row r="6">
          <cell r="G6">
            <v>2.58</v>
          </cell>
          <cell r="J6">
            <v>170119.45176000003</v>
          </cell>
          <cell r="L6">
            <v>9.6711141442911819E-2</v>
          </cell>
          <cell r="M6">
            <v>0.66368312413362951</v>
          </cell>
        </row>
        <row r="7">
          <cell r="J7">
            <v>29012.61968</v>
          </cell>
        </row>
        <row r="9">
          <cell r="J9">
            <v>38243.907759999995</v>
          </cell>
        </row>
        <row r="11">
          <cell r="J11">
            <v>73850.304640000002</v>
          </cell>
        </row>
      </sheetData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>
        <row r="12">
          <cell r="AT12">
            <v>51826</v>
          </cell>
          <cell r="AU12">
            <v>70532</v>
          </cell>
          <cell r="AV12">
            <v>74528</v>
          </cell>
          <cell r="AW12">
            <v>65337</v>
          </cell>
        </row>
        <row r="13">
          <cell r="AT13">
            <v>-29352</v>
          </cell>
          <cell r="AU13">
            <v>-38343</v>
          </cell>
          <cell r="AV13">
            <v>-47138</v>
          </cell>
          <cell r="AW13">
            <v>-42628</v>
          </cell>
        </row>
        <row r="14">
          <cell r="AT14">
            <v>-2503</v>
          </cell>
          <cell r="AU14">
            <v>-3130</v>
          </cell>
          <cell r="AV14">
            <v>-3597</v>
          </cell>
          <cell r="AW14">
            <v>-3952</v>
          </cell>
        </row>
        <row r="18">
          <cell r="AT18">
            <v>13281</v>
          </cell>
          <cell r="AU18">
            <v>19196</v>
          </cell>
          <cell r="AV18">
            <v>15617</v>
          </cell>
          <cell r="AW18">
            <v>12500</v>
          </cell>
        </row>
      </sheetData>
      <sheetData sheetId="29"/>
      <sheetData sheetId="30"/>
      <sheetData sheetId="31"/>
      <sheetData sheetId="32"/>
      <sheetData sheetId="33"/>
      <sheetData sheetId="34">
        <row r="6">
          <cell r="AO6">
            <v>53124</v>
          </cell>
          <cell r="AP6">
            <v>84659</v>
          </cell>
          <cell r="AQ6">
            <v>120378</v>
          </cell>
          <cell r="AR6">
            <v>119307</v>
          </cell>
        </row>
        <row r="10">
          <cell r="AO10">
            <v>2245</v>
          </cell>
          <cell r="AP10">
            <v>3183</v>
          </cell>
          <cell r="AQ10">
            <v>2528</v>
          </cell>
          <cell r="AR10">
            <v>1994</v>
          </cell>
        </row>
        <row r="12">
          <cell r="AP12">
            <v>4035</v>
          </cell>
          <cell r="AQ12">
            <v>2242</v>
          </cell>
          <cell r="AR12">
            <v>4260</v>
          </cell>
        </row>
        <row r="14">
          <cell r="AO14">
            <v>208</v>
          </cell>
          <cell r="AP14">
            <v>422</v>
          </cell>
          <cell r="AQ14">
            <v>226</v>
          </cell>
          <cell r="AR14">
            <v>140</v>
          </cell>
        </row>
        <row r="21">
          <cell r="AO21">
            <v>-15609.16</v>
          </cell>
          <cell r="AP21">
            <v>-21144.06</v>
          </cell>
          <cell r="AQ21">
            <v>-35932.520000000004</v>
          </cell>
          <cell r="AR21">
            <v>-34170.380000000005</v>
          </cell>
        </row>
      </sheetData>
      <sheetData sheetId="35"/>
      <sheetData sheetId="36"/>
      <sheetData sheetId="37"/>
      <sheetData sheetId="38"/>
      <sheetData sheetId="39"/>
      <sheetData sheetId="40"/>
      <sheetData sheetId="41">
        <row r="6">
          <cell r="AS6">
            <v>7489</v>
          </cell>
          <cell r="AT6">
            <v>7313</v>
          </cell>
          <cell r="AU6">
            <v>6938</v>
          </cell>
          <cell r="AV6">
            <v>7133</v>
          </cell>
        </row>
        <row r="14">
          <cell r="AS14">
            <v>-3111</v>
          </cell>
          <cell r="AT14">
            <v>-2960</v>
          </cell>
          <cell r="AU14">
            <v>-3222</v>
          </cell>
          <cell r="AV14">
            <v>-3186</v>
          </cell>
        </row>
        <row r="16">
          <cell r="AS16">
            <v>-2389</v>
          </cell>
          <cell r="AT16">
            <v>-2352</v>
          </cell>
          <cell r="AU16">
            <v>-2229</v>
          </cell>
          <cell r="AV16">
            <v>-1867</v>
          </cell>
        </row>
        <row r="24">
          <cell r="AS24">
            <v>2039</v>
          </cell>
          <cell r="AT24">
            <v>4058</v>
          </cell>
          <cell r="AU24">
            <v>1217</v>
          </cell>
          <cell r="AV24">
            <v>1461</v>
          </cell>
        </row>
      </sheetData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"/>
      <sheetName val="Disclaimer"/>
      <sheetName val="Summary"/>
      <sheetName val="About Tegma"/>
      <sheetName val="Auto Results"/>
      <sheetName val="# Transported Vehicles"/>
      <sheetName val="Avg distance"/>
      <sheetName val="Avg tariff"/>
      <sheetName val="Costs &amp; Expenses - Auto"/>
      <sheetName val="Financial highlights - Auto"/>
      <sheetName val="Int. Log. results"/>
      <sheetName val="Costs &amp; Expenses - Int Log."/>
      <sheetName val="Financial Highlights - Int Log."/>
      <sheetName val="Consolidated Results"/>
      <sheetName val="Financial Result"/>
      <sheetName val="Equity Pickup"/>
      <sheetName val="Income tax and social contrib."/>
      <sheetName val="Balance Sheet"/>
      <sheetName val="CAPEX"/>
      <sheetName val="Free cash flow to firm"/>
      <sheetName val="Dividends &amp; IOE"/>
      <sheetName val="Conta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>
        <row r="7">
          <cell r="L7">
            <v>2585.2237359999995</v>
          </cell>
        </row>
        <row r="19">
          <cell r="L19">
            <v>395.0647919499994</v>
          </cell>
        </row>
      </sheetData>
      <sheetData sheetId="14"/>
      <sheetData sheetId="15"/>
      <sheetData sheetId="16"/>
      <sheetData sheetId="17"/>
      <sheetData sheetId="18">
        <row r="12">
          <cell r="H12">
            <v>19.771000000000001</v>
          </cell>
          <cell r="I12">
            <v>29.602</v>
          </cell>
          <cell r="J12">
            <v>44.977895719999992</v>
          </cell>
          <cell r="K12">
            <v>33.151860370000001</v>
          </cell>
          <cell r="L12">
            <v>57.575000000000003</v>
          </cell>
        </row>
      </sheetData>
      <sheetData sheetId="19"/>
      <sheetData sheetId="20"/>
      <sheetData sheetId="2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pa"/>
      <sheetName val="Disclaimer"/>
      <sheetName val="Sumário"/>
      <sheetName val="Sobre a Tegma"/>
      <sheetName val="Res Auto"/>
      <sheetName val="Vol. veículos transportados"/>
      <sheetName val="Distância média"/>
      <sheetName val="Ticket médio"/>
      <sheetName val="Custos e despesas - DLV"/>
      <sheetName val="Resumo financeiro - DLV"/>
      <sheetName val="Res Log. Int."/>
      <sheetName val="Custos e Despesas - DLI"/>
      <sheetName val="Resumo financeiro - DLI"/>
      <sheetName val="Res Consolidados"/>
      <sheetName val="Resultado financeiro"/>
      <sheetName val="Equivalência patrimonial"/>
      <sheetName val="IR e CSLL"/>
      <sheetName val="Balanço Patrimonial"/>
      <sheetName val="CAPEX"/>
      <sheetName val="Free cash flow to firm"/>
      <sheetName val="Dividendos e JSCP"/>
      <sheetName val="Contato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>
        <row r="11">
          <cell r="J11">
            <v>0</v>
          </cell>
          <cell r="K11">
            <v>0</v>
          </cell>
          <cell r="L11">
            <v>0</v>
          </cell>
          <cell r="M11"/>
        </row>
      </sheetData>
      <sheetData sheetId="19"/>
      <sheetData sheetId="20"/>
      <sheetData sheetId="21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mailto:ian.nunes@tegma.com.br" TargetMode="Externa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2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comments" Target="../comments3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Relationship Id="rId4" Type="http://schemas.openxmlformats.org/officeDocument/2006/relationships/comments" Target="../comments4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Relationship Id="rId4" Type="http://schemas.openxmlformats.org/officeDocument/2006/relationships/comments" Target="../comments5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FC25"/>
  <sheetViews>
    <sheetView showGridLines="0" tabSelected="1" zoomScale="77" zoomScaleNormal="90" workbookViewId="0">
      <selection activeCell="T25" sqref="T25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T6" s="5"/>
    </row>
    <row r="7" spans="1:20" ht="15" customHeight="1">
      <c r="A7" s="4"/>
      <c r="T7" s="5"/>
    </row>
    <row r="8" spans="1:20" ht="15" customHeight="1">
      <c r="A8" s="4"/>
      <c r="H8" s="9" t="s">
        <v>0</v>
      </c>
      <c r="T8" s="5"/>
    </row>
    <row r="9" spans="1:20" ht="15" customHeight="1">
      <c r="A9" s="4"/>
      <c r="H9" s="10"/>
      <c r="T9" s="5"/>
    </row>
    <row r="10" spans="1:20" ht="15" customHeight="1">
      <c r="A10" s="4"/>
      <c r="T10" s="5"/>
    </row>
    <row r="11" spans="1:20" ht="15" customHeight="1">
      <c r="A11" s="4"/>
      <c r="T11" s="5"/>
    </row>
    <row r="12" spans="1:20" ht="15" customHeight="1">
      <c r="A12" s="4"/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6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XFC25"/>
  <sheetViews>
    <sheetView showGridLines="0" showRowColHeaders="0" zoomScale="85" zoomScaleNormal="85" workbookViewId="0">
      <selection activeCell="P10" sqref="P10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.75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2" t="s">
        <v>99</v>
      </c>
    </row>
    <row r="2" spans="1:20">
      <c r="A2" s="4"/>
      <c r="T2" s="5"/>
    </row>
    <row r="3" spans="1:20">
      <c r="A3" s="4"/>
      <c r="T3" s="5"/>
    </row>
    <row r="4" spans="1:20">
      <c r="A4" s="4"/>
      <c r="T4" s="5"/>
    </row>
    <row r="5" spans="1:20">
      <c r="A5" s="4"/>
      <c r="T5" s="5"/>
    </row>
    <row r="6" spans="1:20">
      <c r="A6" s="4"/>
      <c r="T6" s="5"/>
    </row>
    <row r="7" spans="1:20" ht="15.75" thickBot="1">
      <c r="A7" s="4"/>
      <c r="T7" s="5"/>
    </row>
    <row r="8" spans="1:20" ht="15" customHeight="1" thickTop="1">
      <c r="A8" s="4"/>
      <c r="H8" s="9"/>
      <c r="P8" s="17" t="s">
        <v>1</v>
      </c>
      <c r="Q8" s="12"/>
      <c r="R8" s="12"/>
      <c r="S8" s="13"/>
      <c r="T8" s="5"/>
    </row>
    <row r="9" spans="1:20" ht="15" customHeight="1">
      <c r="A9" s="4"/>
      <c r="H9" s="10"/>
      <c r="P9" s="18" t="s">
        <v>2</v>
      </c>
      <c r="S9" s="14"/>
      <c r="T9" s="5"/>
    </row>
    <row r="10" spans="1:20" ht="15.75" thickBot="1">
      <c r="A10" s="4"/>
      <c r="P10" s="19"/>
      <c r="Q10" s="15"/>
      <c r="R10" s="15"/>
      <c r="S10" s="16"/>
      <c r="T10" s="5"/>
    </row>
    <row r="11" spans="1:20" ht="15.75" thickTop="1">
      <c r="A11" s="4"/>
      <c r="T11" s="5"/>
    </row>
    <row r="12" spans="1:20">
      <c r="A12" s="4"/>
      <c r="T12" s="5"/>
    </row>
    <row r="13" spans="1:20">
      <c r="A13" s="4"/>
      <c r="T13" s="5"/>
    </row>
    <row r="14" spans="1:20">
      <c r="A14" s="4"/>
      <c r="T14" s="5"/>
    </row>
    <row r="15" spans="1:20">
      <c r="A15" s="4"/>
      <c r="T15" s="5"/>
    </row>
    <row r="16" spans="1:20">
      <c r="A16" s="4"/>
      <c r="T16" s="5"/>
    </row>
    <row r="17" spans="1:20">
      <c r="A17" s="4"/>
      <c r="T17" s="5"/>
    </row>
    <row r="18" spans="1:20">
      <c r="A18" s="4"/>
      <c r="T18" s="5"/>
    </row>
    <row r="19" spans="1:20">
      <c r="A19" s="4"/>
      <c r="T19" s="5"/>
    </row>
    <row r="20" spans="1:20">
      <c r="A20" s="4"/>
      <c r="T20" s="5"/>
    </row>
    <row r="21" spans="1:20">
      <c r="A21" s="4"/>
      <c r="T21" s="5"/>
    </row>
    <row r="22" spans="1:20">
      <c r="A22" s="4"/>
      <c r="T22" s="5"/>
    </row>
    <row r="23" spans="1:20">
      <c r="A23" s="4"/>
      <c r="T23" s="5"/>
    </row>
    <row r="24" spans="1:20">
      <c r="A24" s="4"/>
      <c r="T24" s="5"/>
    </row>
    <row r="25" spans="1:20" ht="15.75" thickBot="1">
      <c r="A25" s="6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hyperlinks>
    <hyperlink ref="P9" r:id="rId1" display="mailto:ian.nunes@tegma.com.br" xr:uid="{00000000-0004-0000-0100-000000000000}"/>
  </hyperlinks>
  <pageMargins left="0.511811024" right="0.511811024" top="0.78740157499999996" bottom="0.78740157499999996" header="0.31496062000000002" footer="0.31496062000000002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XFC25"/>
  <sheetViews>
    <sheetView showGridLines="0" zoomScale="90" zoomScaleNormal="90" workbookViewId="0"/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B5" s="20"/>
      <c r="T5" s="5"/>
    </row>
    <row r="6" spans="1:20" ht="15" customHeight="1">
      <c r="A6" s="31"/>
      <c r="B6" s="11" t="s">
        <v>3</v>
      </c>
      <c r="C6" s="11"/>
      <c r="T6" s="5"/>
    </row>
    <row r="7" spans="1:20" ht="15" customHeight="1">
      <c r="A7" s="31"/>
      <c r="B7" s="11" t="s">
        <v>4</v>
      </c>
      <c r="C7" s="11"/>
      <c r="T7" s="5"/>
    </row>
    <row r="8" spans="1:20" ht="15" customHeight="1">
      <c r="A8" s="31"/>
      <c r="B8" s="21" t="s">
        <v>5</v>
      </c>
      <c r="C8" s="21"/>
      <c r="H8" s="9"/>
      <c r="T8" s="5"/>
    </row>
    <row r="9" spans="1:20" ht="15" customHeight="1">
      <c r="A9" s="31"/>
      <c r="B9" s="21" t="s">
        <v>6</v>
      </c>
      <c r="C9" s="21"/>
      <c r="H9" s="10"/>
      <c r="T9" s="5"/>
    </row>
    <row r="10" spans="1:20" ht="15" customHeight="1">
      <c r="A10" s="31"/>
      <c r="B10" s="21" t="s">
        <v>7</v>
      </c>
      <c r="C10" s="21"/>
      <c r="T10" s="5"/>
    </row>
    <row r="11" spans="1:20" ht="15" customHeight="1">
      <c r="A11" s="31"/>
      <c r="B11" s="21" t="s">
        <v>8</v>
      </c>
      <c r="C11" s="21"/>
      <c r="T11" s="5"/>
    </row>
    <row r="12" spans="1:20" ht="15" customHeight="1">
      <c r="A12" s="31"/>
      <c r="B12" s="21" t="s">
        <v>9</v>
      </c>
      <c r="C12" s="21"/>
      <c r="T12" s="5"/>
    </row>
    <row r="13" spans="1:20" ht="15" customHeight="1">
      <c r="A13" s="31"/>
      <c r="B13" s="21" t="s">
        <v>98</v>
      </c>
      <c r="C13" s="21"/>
      <c r="T13" s="5"/>
    </row>
    <row r="14" spans="1:20" ht="15" customHeight="1">
      <c r="A14" s="31"/>
      <c r="B14" s="11" t="s">
        <v>10</v>
      </c>
      <c r="C14" s="11"/>
      <c r="T14" s="5"/>
    </row>
    <row r="15" spans="1:20" ht="15" customHeight="1">
      <c r="A15" s="31"/>
      <c r="B15" s="21" t="s">
        <v>71</v>
      </c>
      <c r="C15" s="21"/>
      <c r="T15" s="5"/>
    </row>
    <row r="16" spans="1:20" ht="15" customHeight="1">
      <c r="A16" s="31"/>
      <c r="B16" s="21" t="s">
        <v>11</v>
      </c>
      <c r="C16" s="21"/>
      <c r="T16" s="5"/>
    </row>
    <row r="17" spans="1:20" ht="15" customHeight="1">
      <c r="A17" s="31"/>
      <c r="B17" s="21" t="s">
        <v>12</v>
      </c>
      <c r="C17" s="21"/>
      <c r="T17" s="5"/>
    </row>
    <row r="18" spans="1:20" ht="15" customHeight="1">
      <c r="A18" s="31"/>
      <c r="B18" s="21" t="s">
        <v>13</v>
      </c>
      <c r="C18" s="21"/>
      <c r="T18" s="5"/>
    </row>
    <row r="19" spans="1:20" ht="15" customHeight="1">
      <c r="A19" s="31"/>
      <c r="B19" s="11" t="s">
        <v>88</v>
      </c>
      <c r="C19" s="21"/>
      <c r="T19" s="5"/>
    </row>
    <row r="20" spans="1:20" ht="15" customHeight="1">
      <c r="A20" s="31"/>
      <c r="B20" s="32"/>
      <c r="T20" s="5"/>
    </row>
    <row r="21" spans="1:20" ht="15" customHeight="1">
      <c r="A21" s="31"/>
      <c r="B21" s="33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100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hyperlinks>
    <hyperlink ref="B6" location="'Sobre a Tegma'!A1" display="Sobre a Tegma" xr:uid="{00000000-0004-0000-0200-000000000000}"/>
    <hyperlink ref="B7" location="'Res Auto'!A1" display="Premissas do Resultado" xr:uid="{00000000-0004-0000-0200-000001000000}"/>
    <hyperlink ref="B8" location="'Res Auto'!A1" display="Resultados da divisão automotiva" xr:uid="{00000000-0004-0000-0200-000002000000}"/>
    <hyperlink ref="B9" location="'Res Log. Int.'!A1" display="Resultados da divisão de Logística Integrada" xr:uid="{00000000-0004-0000-0200-000003000000}"/>
    <hyperlink ref="B10" location="'Res Consolidados'!A1" display="Resultados Consolidados" xr:uid="{00000000-0004-0000-0200-000004000000}"/>
    <hyperlink ref="B11" location="'Resultado financeiro'!A1" display="Resultado financeiro consolidado" xr:uid="{00000000-0004-0000-0200-000005000000}"/>
    <hyperlink ref="B12" location="'Equivalência patrimonial'!A1" display="Equivalência patrimonial" xr:uid="{00000000-0004-0000-0200-000006000000}"/>
    <hyperlink ref="B14" location="'Balanço Patrimonial'!A1" display="Premissas do Balanço Patrimonial" xr:uid="{00000000-0004-0000-0200-000007000000}"/>
    <hyperlink ref="B15" location="'Balanço Patrimonial'!A1" display="Capital de giro e endividamento" xr:uid="{00000000-0004-0000-0200-000008000000}"/>
    <hyperlink ref="B16" location="CAPEX!A1" display="Imobilizado e investimentos (CAPEX)" xr:uid="{00000000-0004-0000-0200-000009000000}"/>
    <hyperlink ref="B17" location="'Free cash flow to firm'!A1" display="Free cash flow to firm" xr:uid="{00000000-0004-0000-0200-00000A000000}"/>
    <hyperlink ref="B18" location="'Dividendos e JSCP'!A1" display="Dividendos/ JSCP" xr:uid="{00000000-0004-0000-0200-00000B000000}"/>
    <hyperlink ref="B19" location="Contatos!A1" display="Contatos" xr:uid="{00000000-0004-0000-0200-00000C000000}"/>
    <hyperlink ref="B13" location="'IR e CSLL'!A1" display="IR e CSLL" xr:uid="{00000000-0004-0000-0200-00000D000000}"/>
  </hyperlink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XFC25"/>
  <sheetViews>
    <sheetView showGridLines="0" topLeftCell="A2" zoomScale="90" zoomScaleNormal="90" workbookViewId="0"/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H8" s="9"/>
      <c r="T8" s="5"/>
    </row>
    <row r="9" spans="1:20" ht="15" customHeight="1">
      <c r="A9" s="4"/>
      <c r="C9" s="21"/>
      <c r="H9" s="10"/>
      <c r="T9" s="5"/>
    </row>
    <row r="10" spans="1:20" ht="15" customHeight="1">
      <c r="A10" s="4"/>
      <c r="C10" s="21"/>
      <c r="T10" s="5"/>
    </row>
    <row r="11" spans="1:20" ht="15" customHeight="1">
      <c r="A11" s="4"/>
      <c r="C11" s="21"/>
      <c r="T11" s="5"/>
    </row>
    <row r="12" spans="1:20" ht="15" customHeight="1">
      <c r="A12" s="4"/>
      <c r="C12" s="21"/>
      <c r="T12" s="5"/>
    </row>
    <row r="13" spans="1:20" ht="15" customHeight="1">
      <c r="A13" s="4"/>
      <c r="C13" s="21"/>
      <c r="T13" s="5"/>
    </row>
    <row r="14" spans="1:20" ht="15" customHeight="1">
      <c r="A14" s="4"/>
      <c r="C14" s="11"/>
      <c r="T14" s="5"/>
    </row>
    <row r="15" spans="1:20" ht="15" customHeight="1">
      <c r="A15" s="4"/>
      <c r="C15" s="21"/>
      <c r="T15" s="5"/>
    </row>
    <row r="16" spans="1:20" ht="15" customHeight="1">
      <c r="A16" s="4"/>
      <c r="C16" s="21"/>
      <c r="T16" s="5"/>
    </row>
    <row r="17" spans="1:20" ht="15" customHeight="1">
      <c r="A17" s="4"/>
      <c r="C17" s="21"/>
      <c r="T17" s="5"/>
    </row>
    <row r="18" spans="1:20" ht="15" customHeight="1">
      <c r="A18" s="4"/>
      <c r="C18" s="21"/>
      <c r="T18" s="5"/>
    </row>
    <row r="19" spans="1:20" ht="15" customHeight="1">
      <c r="A19" s="4"/>
      <c r="C19" s="21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XFC25"/>
  <sheetViews>
    <sheetView showGridLines="0" showRowColHeaders="0" zoomScale="90" zoomScaleNormal="90" workbookViewId="0">
      <selection activeCell="L5" sqref="L5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H8" s="9"/>
      <c r="T8" s="5"/>
    </row>
    <row r="9" spans="1:20" ht="15" customHeight="1">
      <c r="A9" s="4"/>
      <c r="C9" s="21"/>
      <c r="H9" s="10"/>
      <c r="T9" s="5"/>
    </row>
    <row r="10" spans="1:20" ht="15" customHeight="1">
      <c r="A10" s="4"/>
      <c r="C10" s="21"/>
      <c r="T10" s="5"/>
    </row>
    <row r="11" spans="1:20" ht="15" customHeight="1">
      <c r="A11" s="4"/>
      <c r="C11" s="21"/>
      <c r="T11" s="5"/>
    </row>
    <row r="12" spans="1:20" ht="15" customHeight="1">
      <c r="A12" s="4"/>
      <c r="C12" s="21"/>
      <c r="T12" s="5"/>
    </row>
    <row r="13" spans="1:20" ht="15" customHeight="1">
      <c r="A13" s="4"/>
      <c r="C13" s="21"/>
      <c r="T13" s="5"/>
    </row>
    <row r="14" spans="1:20" ht="15" customHeight="1">
      <c r="A14" s="4"/>
      <c r="C14" s="11"/>
      <c r="T14" s="5"/>
    </row>
    <row r="15" spans="1:20" ht="15" customHeight="1">
      <c r="A15" s="4"/>
      <c r="C15" s="21"/>
      <c r="T15" s="5"/>
    </row>
    <row r="16" spans="1:20" ht="15" customHeight="1">
      <c r="A16" s="4"/>
      <c r="C16" s="21"/>
      <c r="T16" s="5"/>
    </row>
    <row r="17" spans="1:20" ht="15" customHeight="1">
      <c r="A17" s="4"/>
      <c r="C17" s="21"/>
      <c r="T17" s="5"/>
    </row>
    <row r="18" spans="1:20" ht="15" customHeight="1">
      <c r="A18" s="4"/>
      <c r="C18" s="21"/>
      <c r="T18" s="5"/>
    </row>
    <row r="19" spans="1:20" ht="15" customHeight="1">
      <c r="A19" s="4"/>
      <c r="C19" s="21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101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XFC25"/>
  <sheetViews>
    <sheetView showGridLines="0" zoomScale="90" zoomScaleNormal="90" workbookViewId="0">
      <selection activeCell="J18" sqref="J18"/>
    </sheetView>
  </sheetViews>
  <sheetFormatPr defaultColWidth="0" defaultRowHeight="0" customHeight="1" zeroHeight="1"/>
  <cols>
    <col min="1" max="5" width="9.140625" customWidth="1"/>
    <col min="6" max="6" width="10.85546875" customWidth="1"/>
    <col min="7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>
      <c r="A11" s="4"/>
      <c r="C11" s="21"/>
      <c r="T11" s="5"/>
    </row>
    <row r="12" spans="1:20" ht="15" customHeight="1">
      <c r="A12" s="4"/>
      <c r="C12" s="21"/>
      <c r="T12" s="5"/>
    </row>
    <row r="13" spans="1:20" ht="15" customHeight="1">
      <c r="A13" s="153"/>
      <c r="B13" s="154"/>
      <c r="C13" s="154"/>
      <c r="D13" s="154"/>
      <c r="T13" s="5"/>
    </row>
    <row r="14" spans="1:20" ht="15" customHeight="1" thickBot="1">
      <c r="A14" s="4"/>
      <c r="B14" s="155" t="s">
        <v>48</v>
      </c>
      <c r="C14" s="155"/>
      <c r="D14" s="155"/>
      <c r="E14" s="155"/>
      <c r="F14" s="24"/>
      <c r="G14" s="25">
        <v>2020</v>
      </c>
      <c r="H14" s="25">
        <v>2021</v>
      </c>
      <c r="I14" s="25">
        <v>2022</v>
      </c>
      <c r="J14" s="25">
        <v>2023</v>
      </c>
      <c r="K14" s="25">
        <v>2024</v>
      </c>
      <c r="T14" s="5"/>
    </row>
    <row r="15" spans="1:20" ht="15" customHeight="1">
      <c r="A15" s="4"/>
      <c r="B15" s="28" t="s">
        <v>130</v>
      </c>
      <c r="C15" s="28"/>
      <c r="D15" s="28"/>
      <c r="E15" s="28"/>
      <c r="F15" s="28"/>
      <c r="G15" s="26">
        <f>SUM(G16:G17)</f>
        <v>2261.7959999999998</v>
      </c>
      <c r="H15" s="26">
        <f>SUM(H16:H17)</f>
        <v>2326.5430000000001</v>
      </c>
      <c r="I15" s="26">
        <f>SUM(I16:I17)</f>
        <v>2410.741</v>
      </c>
      <c r="J15" s="26">
        <f>SUM(J16:J17)</f>
        <v>2562.4659999999999</v>
      </c>
      <c r="K15" s="26">
        <f>+SUM(K16:K17)</f>
        <v>2863.308</v>
      </c>
      <c r="M15" s="113"/>
      <c r="T15" s="5"/>
    </row>
    <row r="16" spans="1:20" ht="15" customHeight="1">
      <c r="A16" s="4"/>
      <c r="B16" s="29" t="s">
        <v>136</v>
      </c>
      <c r="C16" s="29"/>
      <c r="D16" s="29"/>
      <c r="E16" s="29"/>
      <c r="F16" s="29"/>
      <c r="G16" s="27">
        <v>1954.828</v>
      </c>
      <c r="H16" s="27">
        <v>1977.0940000000001</v>
      </c>
      <c r="I16" s="27">
        <v>1960.462</v>
      </c>
      <c r="J16" s="27">
        <v>2180.23</v>
      </c>
      <c r="K16" s="27">
        <f>+[1]Base!$Q$329/1000</f>
        <v>2487.5360000000001</v>
      </c>
      <c r="T16" s="5"/>
    </row>
    <row r="17" spans="1:20" ht="15" customHeight="1">
      <c r="A17" s="4"/>
      <c r="B17" s="152" t="s">
        <v>135</v>
      </c>
      <c r="C17" s="29"/>
      <c r="D17" s="29"/>
      <c r="E17" s="29"/>
      <c r="F17" s="29"/>
      <c r="G17" s="27">
        <v>306.96800000000002</v>
      </c>
      <c r="H17" s="27">
        <v>349.44900000000001</v>
      </c>
      <c r="I17" s="27">
        <v>450.279</v>
      </c>
      <c r="J17" s="27">
        <v>382.23599999999999</v>
      </c>
      <c r="K17" s="27">
        <f>+[1]Base!$R$329/1000</f>
        <v>375.77199999999999</v>
      </c>
      <c r="T17" s="5"/>
    </row>
    <row r="18" spans="1:20" ht="15" customHeight="1">
      <c r="A18" s="4"/>
      <c r="B18" s="92" t="s">
        <v>14</v>
      </c>
      <c r="C18" s="92"/>
      <c r="D18" s="92"/>
      <c r="E18" s="92"/>
      <c r="F18" s="92"/>
      <c r="G18" s="30">
        <f>+SUM(G19:G20)</f>
        <v>560.85800000000006</v>
      </c>
      <c r="H18" s="30">
        <f>+SUM(H19:H20)</f>
        <v>527.38499999999999</v>
      </c>
      <c r="I18" s="30">
        <f>+SUM(I19:I20)</f>
        <v>585.34900000000005</v>
      </c>
      <c r="J18" s="30">
        <f>+SUM(J19:J20)</f>
        <v>639.8549999999999</v>
      </c>
      <c r="K18" s="30">
        <f t="shared" ref="K18" si="0">+SUM(K19:K20)</f>
        <v>711.85100000000011</v>
      </c>
      <c r="T18" s="5"/>
    </row>
    <row r="19" spans="1:20" ht="15" customHeight="1">
      <c r="A19" s="4"/>
      <c r="B19" s="29" t="s">
        <v>16</v>
      </c>
      <c r="C19" s="29"/>
      <c r="D19" s="29"/>
      <c r="E19" s="29"/>
      <c r="F19" s="29"/>
      <c r="G19" s="27">
        <v>483.68700000000001</v>
      </c>
      <c r="H19" s="27">
        <v>442.23599999999999</v>
      </c>
      <c r="I19" s="27">
        <v>474.71300000000002</v>
      </c>
      <c r="J19" s="27">
        <v>554.63699999999994</v>
      </c>
      <c r="K19" s="27">
        <f>+[1]Base!$G$329/1000</f>
        <v>627.94500000000005</v>
      </c>
      <c r="M19" s="113"/>
      <c r="N19" s="107"/>
      <c r="T19" s="5"/>
    </row>
    <row r="20" spans="1:20" ht="15" customHeight="1">
      <c r="A20" s="4"/>
      <c r="B20" s="88" t="s">
        <v>17</v>
      </c>
      <c r="C20" s="88"/>
      <c r="D20" s="88"/>
      <c r="E20" s="88"/>
      <c r="F20" s="88"/>
      <c r="G20" s="84">
        <v>77.171000000000006</v>
      </c>
      <c r="H20" s="84">
        <v>85.149000000000001</v>
      </c>
      <c r="I20" s="84">
        <v>110.636</v>
      </c>
      <c r="J20" s="84">
        <v>85.218000000000004</v>
      </c>
      <c r="K20" s="84">
        <f>+[1]Base!$H$329/1000</f>
        <v>83.906000000000006</v>
      </c>
      <c r="M20" s="112"/>
      <c r="N20" s="108"/>
      <c r="T20" s="5"/>
    </row>
    <row r="21" spans="1:20" ht="15" customHeight="1" thickBot="1">
      <c r="A21" s="4"/>
      <c r="B21" s="79" t="s">
        <v>15</v>
      </c>
      <c r="C21" s="79"/>
      <c r="D21" s="79"/>
      <c r="E21" s="79"/>
      <c r="F21" s="79"/>
      <c r="G21" s="89">
        <f>+G18/G15</f>
        <v>0.24797019713537388</v>
      </c>
      <c r="H21" s="89">
        <f>+H18/H15</f>
        <v>0.22668181933452336</v>
      </c>
      <c r="I21" s="89">
        <f>+I18/I15</f>
        <v>0.24280874635641075</v>
      </c>
      <c r="J21" s="89">
        <f>+J18/J15</f>
        <v>0.24970282532529209</v>
      </c>
      <c r="K21" s="89">
        <f>+K18/K15</f>
        <v>0.24861139632900131</v>
      </c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102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mergeCells count="2">
    <mergeCell ref="A13:D13"/>
    <mergeCell ref="B14:E1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XFC25"/>
  <sheetViews>
    <sheetView showGridLines="0" zoomScale="90" zoomScaleNormal="90" workbookViewId="0">
      <selection activeCell="L20" sqref="L20:L23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>
      <c r="A11" s="4"/>
      <c r="C11" s="21"/>
      <c r="T11" s="5"/>
    </row>
    <row r="12" spans="1:20" ht="15" customHeight="1">
      <c r="A12" s="4"/>
      <c r="C12" s="21"/>
      <c r="T12" s="5"/>
    </row>
    <row r="13" spans="1:20" ht="15" customHeight="1">
      <c r="A13" s="153"/>
      <c r="B13" s="154"/>
      <c r="C13" s="154"/>
      <c r="D13" s="154"/>
      <c r="T13" s="5"/>
    </row>
    <row r="14" spans="1:20" ht="15" customHeight="1">
      <c r="A14" s="153"/>
      <c r="B14" s="154"/>
      <c r="C14" s="154"/>
      <c r="D14" s="154"/>
      <c r="T14" s="5"/>
    </row>
    <row r="15" spans="1:20" ht="15" customHeight="1">
      <c r="A15" s="153"/>
      <c r="B15" s="154"/>
      <c r="C15" s="154"/>
      <c r="D15" s="15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 thickBot="1">
      <c r="A20" s="4"/>
      <c r="B20" s="156" t="s">
        <v>48</v>
      </c>
      <c r="C20" s="156"/>
      <c r="D20" s="156"/>
      <c r="E20" s="156"/>
      <c r="F20" s="70"/>
      <c r="G20" s="71"/>
      <c r="H20" s="72">
        <v>2020</v>
      </c>
      <c r="I20" s="72">
        <v>2021</v>
      </c>
      <c r="J20" s="72">
        <v>2022</v>
      </c>
      <c r="K20" s="72">
        <v>2023</v>
      </c>
      <c r="L20" s="72">
        <v>2024</v>
      </c>
      <c r="T20" s="5"/>
    </row>
    <row r="21" spans="1:20" ht="15" customHeight="1">
      <c r="A21" s="4"/>
      <c r="B21" s="98" t="s">
        <v>56</v>
      </c>
      <c r="C21" s="98"/>
      <c r="D21" s="98"/>
      <c r="E21" s="98"/>
      <c r="F21" s="98"/>
      <c r="G21" s="98"/>
      <c r="H21" s="26">
        <v>1133.5053632113654</v>
      </c>
      <c r="I21" s="26">
        <v>1048.0808441650786</v>
      </c>
      <c r="J21" s="26">
        <v>1003.9993200637568</v>
      </c>
      <c r="K21" s="26">
        <v>1021.2432176039885</v>
      </c>
      <c r="L21" s="26">
        <v>1077.8842791539241</v>
      </c>
      <c r="T21" s="5"/>
    </row>
    <row r="22" spans="1:20" ht="15" customHeight="1">
      <c r="A22" s="4"/>
      <c r="B22" s="99" t="s">
        <v>57</v>
      </c>
      <c r="C22" s="99"/>
      <c r="D22" s="99"/>
      <c r="E22" s="99"/>
      <c r="F22" s="99"/>
      <c r="G22" s="99"/>
      <c r="H22" s="86">
        <v>1282.4657164654002</v>
      </c>
      <c r="I22" s="86">
        <v>1196.5610081494949</v>
      </c>
      <c r="J22" s="86">
        <v>1168.8844291182252</v>
      </c>
      <c r="K22" s="86">
        <v>1124.0847617450693</v>
      </c>
      <c r="L22" s="86">
        <v>1181.0969065762129</v>
      </c>
      <c r="T22" s="5"/>
    </row>
    <row r="23" spans="1:20" ht="15" customHeight="1" thickBot="1">
      <c r="A23" s="4"/>
      <c r="B23" s="100" t="s">
        <v>58</v>
      </c>
      <c r="C23" s="100"/>
      <c r="D23" s="100"/>
      <c r="E23" s="100"/>
      <c r="F23" s="100"/>
      <c r="G23" s="100"/>
      <c r="H23" s="87">
        <v>199.86207254020292</v>
      </c>
      <c r="I23" s="87">
        <v>276.92353404032929</v>
      </c>
      <c r="J23" s="87">
        <v>296.51617918218301</v>
      </c>
      <c r="K23" s="87">
        <v>351.90428078574951</v>
      </c>
      <c r="L23" s="87">
        <v>305.45020618310969</v>
      </c>
      <c r="T23" s="5"/>
    </row>
    <row r="24" spans="1:20" ht="15" customHeight="1">
      <c r="A24" s="4"/>
      <c r="T24" s="5"/>
    </row>
    <row r="25" spans="1:20" ht="15" customHeight="1" thickBot="1">
      <c r="A25" s="23" t="s">
        <v>103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mergeCells count="4">
    <mergeCell ref="A13:D13"/>
    <mergeCell ref="A14:D14"/>
    <mergeCell ref="A15:D15"/>
    <mergeCell ref="B20:E20"/>
  </mergeCells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XFC25"/>
  <sheetViews>
    <sheetView showGridLines="0" zoomScale="90" zoomScaleNormal="90" workbookViewId="0">
      <selection activeCell="L18" sqref="L18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>
      <c r="A11" s="4"/>
      <c r="T11" s="5"/>
    </row>
    <row r="12" spans="1:20" ht="15" customHeight="1">
      <c r="A12" s="4"/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 thickBot="1">
      <c r="A16" s="4"/>
      <c r="B16" s="155" t="s">
        <v>48</v>
      </c>
      <c r="C16" s="155"/>
      <c r="D16" s="155"/>
      <c r="E16" s="155"/>
      <c r="F16" s="24"/>
      <c r="H16" s="25">
        <v>2020</v>
      </c>
      <c r="I16" s="25">
        <v>2021</v>
      </c>
      <c r="J16" s="25">
        <v>2022</v>
      </c>
      <c r="K16" s="25">
        <v>2023</v>
      </c>
      <c r="L16" s="25">
        <v>2024</v>
      </c>
      <c r="T16" s="5"/>
    </row>
    <row r="17" spans="1:20" ht="15" customHeight="1">
      <c r="A17" s="4"/>
      <c r="B17" s="98" t="s">
        <v>59</v>
      </c>
      <c r="C17" s="98"/>
      <c r="D17" s="98"/>
      <c r="E17" s="98"/>
      <c r="F17" s="98"/>
      <c r="G17" s="98"/>
      <c r="H17" s="147">
        <v>1050.3526486800001</v>
      </c>
      <c r="I17" s="147">
        <v>1082.8686054699999</v>
      </c>
      <c r="J17" s="147">
        <v>1500.6704069</v>
      </c>
      <c r="K17" s="147">
        <v>1781.7250238100003</v>
      </c>
      <c r="L17" s="147">
        <v>2377.9643886099998</v>
      </c>
      <c r="T17" s="5"/>
    </row>
    <row r="18" spans="1:20" ht="15" customHeight="1">
      <c r="A18" s="4"/>
      <c r="B18" s="101" t="s">
        <v>60</v>
      </c>
      <c r="C18" s="101"/>
      <c r="D18" s="101"/>
      <c r="E18" s="101"/>
      <c r="F18" s="101"/>
      <c r="G18" s="101"/>
      <c r="H18" s="84">
        <f>'Vol. veículos transportados'!G18*'Distância média'!H21/1000</f>
        <v>635.7355510000001</v>
      </c>
      <c r="I18" s="84">
        <f>'Vol. veículos transportados'!H18*'Distância média'!I21/1000</f>
        <v>552.7421159999999</v>
      </c>
      <c r="J18" s="84">
        <f>'Vol. veículos transportados'!I18*'Distância média'!J21/1000</f>
        <v>587.68999800000006</v>
      </c>
      <c r="K18" s="102">
        <f>'Vol. veículos transportados'!J18*'Distância média'!K21/1000</f>
        <v>653.44757899999991</v>
      </c>
      <c r="L18" s="84">
        <v>767.293002</v>
      </c>
      <c r="T18" s="5"/>
    </row>
    <row r="19" spans="1:20" ht="15" customHeight="1" thickBot="1">
      <c r="A19" s="4"/>
      <c r="B19" s="100" t="s">
        <v>61</v>
      </c>
      <c r="C19" s="100"/>
      <c r="D19" s="100"/>
      <c r="E19" s="100"/>
      <c r="F19" s="100"/>
      <c r="G19" s="100"/>
      <c r="H19" s="85">
        <f t="shared" ref="H19:K19" si="0">H17/H18</f>
        <v>1.6521848542649771</v>
      </c>
      <c r="I19" s="85">
        <f t="shared" si="0"/>
        <v>1.9590846691877557</v>
      </c>
      <c r="J19" s="85">
        <f t="shared" si="0"/>
        <v>2.5535068012166509</v>
      </c>
      <c r="K19" s="103">
        <f t="shared" si="0"/>
        <v>2.7266533400225521</v>
      </c>
      <c r="L19" s="85">
        <f>+L17/L18</f>
        <v>3.0991607930890521</v>
      </c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104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mergeCells count="1">
    <mergeCell ref="B16:E16"/>
  </mergeCells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XFC25"/>
  <sheetViews>
    <sheetView showGridLines="0" zoomScale="90" zoomScaleNormal="90" workbookViewId="0">
      <selection activeCell="N3" sqref="N3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>
      <c r="A11" s="4"/>
      <c r="T11" s="5"/>
    </row>
    <row r="12" spans="1:20" ht="15" customHeight="1">
      <c r="A12" s="4"/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105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XFC25"/>
  <sheetViews>
    <sheetView showGridLines="0" topLeftCell="A4" zoomScale="90" zoomScaleNormal="90" workbookViewId="0">
      <selection activeCell="L7" sqref="L7:L24"/>
    </sheetView>
  </sheetViews>
  <sheetFormatPr defaultColWidth="0" defaultRowHeight="0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 thickBot="1">
      <c r="A7" s="4"/>
      <c r="B7" s="73"/>
      <c r="C7" s="73"/>
      <c r="D7" s="73"/>
      <c r="E7" s="73"/>
      <c r="F7" s="73"/>
      <c r="G7" s="75"/>
      <c r="H7" s="76">
        <v>2020</v>
      </c>
      <c r="I7" s="76">
        <v>2021</v>
      </c>
      <c r="J7" s="76">
        <v>2022</v>
      </c>
      <c r="K7" s="76">
        <v>2023</v>
      </c>
      <c r="L7" s="76">
        <v>2024</v>
      </c>
      <c r="T7" s="5"/>
    </row>
    <row r="8" spans="1:20" ht="15" customHeight="1">
      <c r="A8" s="4"/>
      <c r="B8" s="35" t="s">
        <v>18</v>
      </c>
      <c r="C8" s="45"/>
      <c r="D8" s="45"/>
      <c r="E8" s="45"/>
      <c r="F8" s="45"/>
      <c r="G8" s="35"/>
      <c r="H8" s="36">
        <f t="shared" ref="H8:K8" si="0">H9</f>
        <v>1050.3526486800001</v>
      </c>
      <c r="I8" s="36">
        <f t="shared" si="0"/>
        <v>1082.8686054699999</v>
      </c>
      <c r="J8" s="36">
        <f t="shared" si="0"/>
        <v>1500.6704069</v>
      </c>
      <c r="K8" s="36">
        <f t="shared" si="0"/>
        <v>1781.7250238100003</v>
      </c>
      <c r="L8" s="36">
        <f ca="1">+L9</f>
        <v>2377.9643886100002</v>
      </c>
      <c r="M8" s="24"/>
      <c r="T8" s="5"/>
    </row>
    <row r="9" spans="1:20" ht="15" customHeight="1">
      <c r="A9" s="4"/>
      <c r="B9" s="37" t="s">
        <v>19</v>
      </c>
      <c r="C9" s="29"/>
      <c r="D9" s="29"/>
      <c r="E9" s="29"/>
      <c r="F9" s="29"/>
      <c r="G9" s="37"/>
      <c r="H9" s="38">
        <v>1050.3526486800001</v>
      </c>
      <c r="I9" s="38">
        <v>1082.8686054699999</v>
      </c>
      <c r="J9" s="38">
        <v>1500.6704069</v>
      </c>
      <c r="K9" s="38">
        <v>1781.7250238100003</v>
      </c>
      <c r="L9" s="38">
        <f ca="1">+'[2]Análise Rápida'!$AR$67/1000</f>
        <v>2377.9643886100002</v>
      </c>
      <c r="M9" s="24"/>
      <c r="T9" s="5"/>
    </row>
    <row r="10" spans="1:20" ht="15" customHeight="1">
      <c r="A10" s="4"/>
      <c r="B10" s="37" t="s">
        <v>20</v>
      </c>
      <c r="C10" s="29"/>
      <c r="D10" s="29"/>
      <c r="E10" s="29"/>
      <c r="F10" s="29"/>
      <c r="G10" s="37"/>
      <c r="H10" s="38">
        <f t="shared" ref="H10:K10" si="1">+H12-H8</f>
        <v>-204.69486545000018</v>
      </c>
      <c r="I10" s="38">
        <f t="shared" si="1"/>
        <v>-215.35568939999996</v>
      </c>
      <c r="J10" s="38">
        <f t="shared" si="1"/>
        <v>-287.23181455000008</v>
      </c>
      <c r="K10" s="38">
        <f t="shared" si="1"/>
        <v>-354.58600413000022</v>
      </c>
      <c r="L10" s="38">
        <f ca="1">+'[2]Análise Rápida'!$AR$68/1000</f>
        <v>-457.90462984999994</v>
      </c>
      <c r="M10" s="24"/>
      <c r="T10" s="5"/>
    </row>
    <row r="11" spans="1:20" ht="15" customHeight="1">
      <c r="A11" s="4"/>
      <c r="B11" s="37" t="s">
        <v>21</v>
      </c>
      <c r="C11" s="34"/>
      <c r="D11" s="34"/>
      <c r="E11" s="34"/>
      <c r="F11" s="34"/>
      <c r="G11" s="40"/>
      <c r="H11" s="41">
        <f>-H10/H8</f>
        <v>0.19488203862506984</v>
      </c>
      <c r="I11" s="41">
        <f>-I10/I8</f>
        <v>0.1988751805271228</v>
      </c>
      <c r="J11" s="41">
        <f>-J10/J8</f>
        <v>0.19140233140423374</v>
      </c>
      <c r="K11" s="41">
        <f>-K10/K8</f>
        <v>0.19901275415201924</v>
      </c>
      <c r="L11" s="41">
        <f ca="1">+L10/L9</f>
        <v>-0.19256160102450504</v>
      </c>
      <c r="M11" s="24"/>
      <c r="T11" s="5"/>
    </row>
    <row r="12" spans="1:20" ht="15" customHeight="1">
      <c r="A12" s="4"/>
      <c r="B12" s="43" t="s">
        <v>22</v>
      </c>
      <c r="C12" s="46"/>
      <c r="D12" s="46"/>
      <c r="E12" s="46"/>
      <c r="F12" s="46"/>
      <c r="G12" s="43"/>
      <c r="H12" s="36">
        <v>845.65778322999995</v>
      </c>
      <c r="I12" s="36">
        <v>867.51291606999996</v>
      </c>
      <c r="J12" s="36">
        <v>1213.4385923499999</v>
      </c>
      <c r="K12" s="36">
        <v>1427.13901968</v>
      </c>
      <c r="L12" s="36">
        <f ca="1">+L9+L10</f>
        <v>1920.0597587600002</v>
      </c>
      <c r="M12" s="24"/>
      <c r="T12" s="5"/>
    </row>
    <row r="13" spans="1:20" ht="15" customHeight="1">
      <c r="A13" s="4"/>
      <c r="B13" s="47" t="s">
        <v>23</v>
      </c>
      <c r="C13" s="24"/>
      <c r="D13" s="24"/>
      <c r="E13" s="24"/>
      <c r="F13" s="24"/>
      <c r="G13" s="47"/>
      <c r="H13" s="38">
        <v>-682.18169158000001</v>
      </c>
      <c r="I13" s="38">
        <v>-706.29166493000002</v>
      </c>
      <c r="J13" s="38">
        <v>-972.94859483000016</v>
      </c>
      <c r="K13" s="38">
        <v>-1147.1234008799997</v>
      </c>
      <c r="L13" s="38">
        <f>+SUM([2]Auto!$BA$12:$BD$12,[2]Auto!$BA$38:$BD$38)/1000</f>
        <v>-1495.55576322</v>
      </c>
      <c r="M13" s="24"/>
      <c r="T13" s="5"/>
    </row>
    <row r="14" spans="1:20" ht="15" customHeight="1">
      <c r="A14" s="4"/>
      <c r="B14" s="37" t="s">
        <v>24</v>
      </c>
      <c r="C14" s="24"/>
      <c r="D14" s="24"/>
      <c r="E14" s="24"/>
      <c r="F14" s="24"/>
      <c r="G14" s="40"/>
      <c r="H14" s="41">
        <f>-H13/H12</f>
        <v>0.80668765203626336</v>
      </c>
      <c r="I14" s="41">
        <f>-I13/I12</f>
        <v>0.81415694434802988</v>
      </c>
      <c r="J14" s="41">
        <f>-J13/J12</f>
        <v>0.80181115135438707</v>
      </c>
      <c r="K14" s="41">
        <f>-K13/K12</f>
        <v>0.80379233211436774</v>
      </c>
      <c r="L14" s="41">
        <f ca="1">-L13/L12</f>
        <v>0.77891105024035789</v>
      </c>
      <c r="M14" s="24"/>
      <c r="T14" s="5"/>
    </row>
    <row r="15" spans="1:20" ht="15" customHeight="1">
      <c r="A15" s="4"/>
      <c r="B15" s="39" t="s">
        <v>25</v>
      </c>
      <c r="C15" s="24"/>
      <c r="D15" s="24"/>
      <c r="E15" s="24"/>
      <c r="F15" s="24"/>
      <c r="G15" s="39"/>
      <c r="H15" s="38">
        <v>-97.321198150000001</v>
      </c>
      <c r="I15" s="38">
        <v>-76.650957800000015</v>
      </c>
      <c r="J15" s="38">
        <v>-82.848546990000003</v>
      </c>
      <c r="K15" s="38">
        <v>-99.68503742</v>
      </c>
      <c r="L15" s="38">
        <f>+SUM([2]Auto!$BA$14:$BD$14,[2]Auto!$BA$39:$BD$39)/1000</f>
        <v>-100.53258561999999</v>
      </c>
      <c r="M15" s="24"/>
      <c r="T15" s="5"/>
    </row>
    <row r="16" spans="1:20" ht="15" customHeight="1">
      <c r="A16" s="4"/>
      <c r="B16" s="51" t="s">
        <v>26</v>
      </c>
      <c r="C16" s="24"/>
      <c r="D16" s="24"/>
      <c r="E16" s="24"/>
      <c r="F16" s="24"/>
      <c r="G16" s="48"/>
      <c r="H16" s="49">
        <f>+H15/H13</f>
        <v>0.14266169753778427</v>
      </c>
      <c r="I16" s="49">
        <f>+I15/I13</f>
        <v>0.10852592718561506</v>
      </c>
      <c r="J16" s="49">
        <f>+J15/J13</f>
        <v>8.5152029028291915E-2</v>
      </c>
      <c r="K16" s="49">
        <f>+K15/K13</f>
        <v>8.6900012102907168E-2</v>
      </c>
      <c r="L16" s="49">
        <f ca="1">+L15/L12</f>
        <v>-5.2359092034159005E-2</v>
      </c>
      <c r="M16" s="24"/>
      <c r="T16" s="5"/>
    </row>
    <row r="17" spans="1:20" ht="15" customHeight="1" thickBot="1">
      <c r="A17" s="4"/>
      <c r="B17" s="50" t="s">
        <v>27</v>
      </c>
      <c r="C17" s="24"/>
      <c r="D17" s="24"/>
      <c r="E17" s="24"/>
      <c r="F17" s="24"/>
      <c r="G17" s="50"/>
      <c r="H17" s="44">
        <f t="shared" ref="H17:K17" si="2">+H12+H13+H15</f>
        <v>66.154893499999943</v>
      </c>
      <c r="I17" s="44">
        <f t="shared" si="2"/>
        <v>84.570293339999921</v>
      </c>
      <c r="J17" s="44">
        <f t="shared" si="2"/>
        <v>157.64145052999976</v>
      </c>
      <c r="K17" s="44">
        <f t="shared" si="2"/>
        <v>180.3305813800003</v>
      </c>
      <c r="L17" s="44">
        <f ca="1">+SUM(L12,L13,L15)</f>
        <v>323.97140992000027</v>
      </c>
      <c r="M17" s="24"/>
      <c r="T17" s="5"/>
    </row>
    <row r="18" spans="1:20" ht="15" customHeight="1" thickTop="1">
      <c r="A18" s="4"/>
      <c r="B18" s="157" t="s">
        <v>87</v>
      </c>
      <c r="C18" s="158"/>
      <c r="D18" s="158"/>
      <c r="E18" s="158"/>
      <c r="F18" s="158"/>
      <c r="G18" s="159"/>
      <c r="H18" s="160">
        <v>30.190152060000003</v>
      </c>
      <c r="I18" s="160">
        <v>32.913038649999997</v>
      </c>
      <c r="J18" s="160">
        <v>35.447811659999999</v>
      </c>
      <c r="K18" s="160">
        <v>37.86777936</v>
      </c>
      <c r="L18" s="161">
        <f>-SUM([2]Auto!$BA$37:$BD$37)/1000</f>
        <v>38.463862510000006</v>
      </c>
      <c r="M18" s="24"/>
      <c r="T18" s="5"/>
    </row>
    <row r="19" spans="1:20" ht="15" customHeight="1" thickBot="1">
      <c r="A19" s="4"/>
      <c r="B19" s="162" t="s">
        <v>29</v>
      </c>
      <c r="C19" s="163"/>
      <c r="D19" s="163"/>
      <c r="E19" s="163"/>
      <c r="F19" s="163"/>
      <c r="G19" s="43"/>
      <c r="H19" s="164">
        <f t="shared" ref="H19:K19" si="3">+H17+H18</f>
        <v>96.345045559999946</v>
      </c>
      <c r="I19" s="164">
        <f t="shared" si="3"/>
        <v>117.48333198999993</v>
      </c>
      <c r="J19" s="164">
        <f t="shared" si="3"/>
        <v>193.08926218999977</v>
      </c>
      <c r="K19" s="164">
        <f t="shared" si="3"/>
        <v>218.19836074000028</v>
      </c>
      <c r="L19" s="165">
        <f ca="1">+L17+L18</f>
        <v>362.43527243000028</v>
      </c>
      <c r="M19" s="24"/>
      <c r="T19" s="5"/>
    </row>
    <row r="20" spans="1:20" ht="15" customHeight="1">
      <c r="A20" s="4"/>
      <c r="B20" s="166" t="s">
        <v>30</v>
      </c>
      <c r="C20" s="167"/>
      <c r="D20" s="167"/>
      <c r="E20" s="167"/>
      <c r="F20" s="167"/>
      <c r="G20" s="168"/>
      <c r="H20" s="169">
        <v>3.3170000000000002</v>
      </c>
      <c r="I20" s="169">
        <v>1.159</v>
      </c>
      <c r="J20" s="169">
        <v>1.1862472420473387</v>
      </c>
      <c r="K20" s="169">
        <v>0</v>
      </c>
      <c r="L20" s="170">
        <v>0</v>
      </c>
      <c r="M20" s="24"/>
      <c r="T20" s="5"/>
    </row>
    <row r="21" spans="1:20" ht="15" customHeight="1" thickBot="1">
      <c r="A21" s="4"/>
      <c r="B21" s="171" t="s">
        <v>31</v>
      </c>
      <c r="C21" s="172"/>
      <c r="D21" s="172"/>
      <c r="E21" s="172"/>
      <c r="F21" s="172"/>
      <c r="G21" s="173"/>
      <c r="H21" s="174">
        <f t="shared" ref="H21:K21" si="4">+H19+H20</f>
        <v>99.662045559999939</v>
      </c>
      <c r="I21" s="174">
        <f t="shared" si="4"/>
        <v>118.64233198999993</v>
      </c>
      <c r="J21" s="174">
        <f t="shared" si="4"/>
        <v>194.2755094320471</v>
      </c>
      <c r="K21" s="174">
        <f t="shared" si="4"/>
        <v>218.19836074000028</v>
      </c>
      <c r="L21" s="175">
        <f ca="1">+L19</f>
        <v>362.43527243000028</v>
      </c>
      <c r="M21" s="24"/>
      <c r="T21" s="5"/>
    </row>
    <row r="22" spans="1:20" ht="15" customHeight="1">
      <c r="A22" s="4"/>
      <c r="B22" s="37" t="s">
        <v>32</v>
      </c>
      <c r="C22" s="24"/>
      <c r="D22" s="24"/>
      <c r="E22" s="24"/>
      <c r="F22" s="24"/>
      <c r="G22" s="39"/>
      <c r="H22" s="38">
        <v>-20.785984470000017</v>
      </c>
      <c r="I22" s="38">
        <v>-25.486570809999996</v>
      </c>
      <c r="J22" s="38">
        <v>-27.15558587999994</v>
      </c>
      <c r="K22" s="38">
        <v>-31.190710780000025</v>
      </c>
      <c r="L22" s="38">
        <f ca="1">+'[2]Análise Rápida'!$AR$82/1000</f>
        <v>-28.751122010000032</v>
      </c>
      <c r="M22" s="24"/>
      <c r="T22" s="5"/>
    </row>
    <row r="23" spans="1:20" ht="15" customHeight="1">
      <c r="A23" s="4"/>
      <c r="B23" s="43" t="s">
        <v>33</v>
      </c>
      <c r="C23" s="24"/>
      <c r="D23" s="24"/>
      <c r="E23" s="24"/>
      <c r="F23" s="24"/>
      <c r="G23" s="43"/>
      <c r="H23" s="44">
        <f>+H21+H22</f>
        <v>78.876061089999922</v>
      </c>
      <c r="I23" s="44">
        <f>+I21+I22</f>
        <v>93.155761179999928</v>
      </c>
      <c r="J23" s="44">
        <f>+J21+J22</f>
        <v>167.11992355204717</v>
      </c>
      <c r="K23" s="44">
        <f>+K21+K22</f>
        <v>187.00764996000026</v>
      </c>
      <c r="L23" s="44">
        <f ca="1">+L21+L22</f>
        <v>333.68415042000026</v>
      </c>
      <c r="M23" s="24"/>
      <c r="T23" s="5"/>
    </row>
    <row r="24" spans="1:20" ht="15" customHeight="1" thickBot="1">
      <c r="A24" s="4"/>
      <c r="B24" s="82" t="s">
        <v>34</v>
      </c>
      <c r="C24" s="73"/>
      <c r="D24" s="73"/>
      <c r="E24" s="73"/>
      <c r="F24" s="73"/>
      <c r="G24" s="75"/>
      <c r="H24" s="83">
        <f t="shared" ref="H24:K24" si="5">H23/H12</f>
        <v>9.3271844301759832E-2</v>
      </c>
      <c r="I24" s="83">
        <f t="shared" si="5"/>
        <v>0.10738256394154154</v>
      </c>
      <c r="J24" s="83">
        <f t="shared" si="5"/>
        <v>0.13772425288402537</v>
      </c>
      <c r="K24" s="83">
        <f t="shared" si="5"/>
        <v>0.13103674370975577</v>
      </c>
      <c r="L24" s="83">
        <f t="shared" ref="L24" ca="1" si="6">L23/L12</f>
        <v>0.17378841929143801</v>
      </c>
      <c r="M24" s="24"/>
      <c r="T24" s="5"/>
    </row>
    <row r="25" spans="1:20" ht="15" customHeight="1" thickBot="1">
      <c r="A25" s="23" t="s">
        <v>106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XFC25"/>
  <sheetViews>
    <sheetView showGridLines="0" zoomScale="90" zoomScaleNormal="90" workbookViewId="0">
      <selection activeCell="L3" sqref="L3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H8" s="9"/>
      <c r="T8" s="5"/>
    </row>
    <row r="9" spans="1:20" ht="15" customHeight="1">
      <c r="A9" s="4"/>
      <c r="C9" s="21"/>
      <c r="H9" s="10"/>
      <c r="T9" s="5"/>
    </row>
    <row r="10" spans="1:20" ht="15" customHeight="1">
      <c r="A10" s="4"/>
      <c r="C10" s="21"/>
      <c r="T10" s="5"/>
    </row>
    <row r="11" spans="1:20" ht="15" customHeight="1">
      <c r="A11" s="4"/>
      <c r="C11" s="21"/>
      <c r="T11" s="5"/>
    </row>
    <row r="12" spans="1:20" ht="15" customHeight="1">
      <c r="A12" s="4"/>
      <c r="C12" s="21"/>
      <c r="T12" s="5"/>
    </row>
    <row r="13" spans="1:20" ht="15" customHeight="1">
      <c r="A13" s="4"/>
      <c r="C13" s="21"/>
      <c r="T13" s="5"/>
    </row>
    <row r="14" spans="1:20" ht="15" customHeight="1">
      <c r="A14" s="4"/>
      <c r="C14" s="11"/>
      <c r="T14" s="5"/>
    </row>
    <row r="15" spans="1:20" ht="15" customHeight="1">
      <c r="A15" s="4"/>
      <c r="C15" s="21"/>
      <c r="T15" s="5"/>
    </row>
    <row r="16" spans="1:20" ht="15" customHeight="1">
      <c r="A16" s="4"/>
      <c r="C16" s="21"/>
      <c r="T16" s="5"/>
    </row>
    <row r="17" spans="1:20" ht="15" customHeight="1">
      <c r="A17" s="4"/>
      <c r="C17" s="21"/>
      <c r="T17" s="5"/>
    </row>
    <row r="18" spans="1:20" ht="15" customHeight="1">
      <c r="A18" s="4"/>
      <c r="C18" s="21"/>
      <c r="T18" s="5"/>
    </row>
    <row r="19" spans="1:20" ht="15" customHeight="1">
      <c r="A19" s="4"/>
      <c r="C19" s="21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107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XFC25"/>
  <sheetViews>
    <sheetView showGridLines="0" zoomScale="90" zoomScaleNormal="90" workbookViewId="0">
      <selection activeCell="P18" sqref="P18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>
      <c r="A11" s="4"/>
      <c r="T11" s="5"/>
    </row>
    <row r="12" spans="1:20" ht="15" customHeight="1">
      <c r="A12" s="4"/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108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XFC25"/>
  <sheetViews>
    <sheetView showGridLines="0" topLeftCell="A3" zoomScale="90" zoomScaleNormal="90" workbookViewId="0">
      <selection activeCell="J18" sqref="J18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 thickBot="1">
      <c r="A6" s="4"/>
      <c r="B6" s="73"/>
      <c r="C6" s="73"/>
      <c r="D6" s="73"/>
      <c r="E6" s="73"/>
      <c r="F6" s="73"/>
      <c r="G6" s="75"/>
      <c r="H6" s="76">
        <v>2020</v>
      </c>
      <c r="I6" s="76">
        <v>2021</v>
      </c>
      <c r="J6" s="76">
        <v>2022</v>
      </c>
      <c r="K6" s="76">
        <v>2023</v>
      </c>
      <c r="L6" s="76">
        <v>2024</v>
      </c>
      <c r="T6" s="5"/>
    </row>
    <row r="7" spans="1:20" ht="15" customHeight="1">
      <c r="A7" s="4"/>
      <c r="B7" s="35" t="s">
        <v>35</v>
      </c>
      <c r="C7" s="45"/>
      <c r="D7" s="45"/>
      <c r="E7" s="45"/>
      <c r="F7" s="45"/>
      <c r="G7" s="35"/>
      <c r="H7" s="36">
        <f t="shared" ref="H7:K7" si="0">+SUM(H8:H9)</f>
        <v>200.41104225999999</v>
      </c>
      <c r="I7" s="36">
        <f t="shared" si="0"/>
        <v>171.37171094999999</v>
      </c>
      <c r="J7" s="36">
        <f t="shared" si="0"/>
        <v>191.21040446999999</v>
      </c>
      <c r="K7" s="36">
        <f t="shared" si="0"/>
        <v>189.71429617000001</v>
      </c>
      <c r="L7" s="36">
        <f ca="1">+SUM(L8:L9)</f>
        <v>207.25934738999999</v>
      </c>
      <c r="T7" s="5"/>
    </row>
    <row r="8" spans="1:20" ht="15" customHeight="1">
      <c r="A8" s="4"/>
      <c r="B8" s="37" t="s">
        <v>36</v>
      </c>
      <c r="C8" s="29"/>
      <c r="D8" s="29"/>
      <c r="E8" s="29"/>
      <c r="F8" s="29"/>
      <c r="G8" s="37"/>
      <c r="H8" s="38">
        <v>165.40693739</v>
      </c>
      <c r="I8" s="38">
        <v>168.51322854</v>
      </c>
      <c r="J8" s="38">
        <v>186.68617237999999</v>
      </c>
      <c r="K8" s="38">
        <v>184.21672786000002</v>
      </c>
      <c r="L8" s="38">
        <f ca="1">+'[2]Análise Rápida'!$AR$95/1000</f>
        <v>206.38652009999998</v>
      </c>
      <c r="M8" s="24"/>
      <c r="T8" s="5"/>
    </row>
    <row r="9" spans="1:20" ht="15" customHeight="1">
      <c r="A9" s="4"/>
      <c r="B9" s="37" t="s">
        <v>37</v>
      </c>
      <c r="C9" s="29"/>
      <c r="D9" s="29"/>
      <c r="E9" s="29"/>
      <c r="F9" s="29"/>
      <c r="G9" s="37"/>
      <c r="H9" s="38">
        <v>35.004104870000006</v>
      </c>
      <c r="I9" s="38">
        <v>2.8584824100000001</v>
      </c>
      <c r="J9" s="38">
        <v>4.5242320900000053</v>
      </c>
      <c r="K9" s="38">
        <v>5.4975683099999983</v>
      </c>
      <c r="L9" s="38">
        <f ca="1">+'[2]Análise Rápida'!$AR$93/1000</f>
        <v>0.87282729000000103</v>
      </c>
      <c r="M9" s="24"/>
      <c r="T9" s="5"/>
    </row>
    <row r="10" spans="1:20" ht="15" customHeight="1">
      <c r="A10" s="4"/>
      <c r="B10" s="37" t="s">
        <v>20</v>
      </c>
      <c r="C10" s="34"/>
      <c r="D10" s="34"/>
      <c r="E10" s="34"/>
      <c r="F10" s="34"/>
      <c r="G10" s="40"/>
      <c r="H10" s="59">
        <v>-34.033846879999992</v>
      </c>
      <c r="I10" s="59">
        <v>-31.541618109999998</v>
      </c>
      <c r="J10" s="59">
        <v>-34.139550589999999</v>
      </c>
      <c r="K10" s="59">
        <v>-33.38577141999999</v>
      </c>
      <c r="L10" s="59">
        <f ca="1">+'[2]Análise Rápida'!$AR$98/1000</f>
        <v>-37.191689019999998</v>
      </c>
      <c r="M10" s="24"/>
      <c r="T10" s="5"/>
    </row>
    <row r="11" spans="1:20" ht="15" customHeight="1">
      <c r="A11" s="4"/>
      <c r="B11" s="51" t="s">
        <v>21</v>
      </c>
      <c r="C11" s="46"/>
      <c r="D11" s="46"/>
      <c r="E11" s="46"/>
      <c r="F11" s="46"/>
      <c r="G11" s="43"/>
      <c r="H11" s="42">
        <f>-H10/H7</f>
        <v>0.16982021796906149</v>
      </c>
      <c r="I11" s="42">
        <f>-I10/I7</f>
        <v>0.1840538204068155</v>
      </c>
      <c r="J11" s="42">
        <f>-J10/J7</f>
        <v>0.17854441908968574</v>
      </c>
      <c r="K11" s="42">
        <f>-K10/K7</f>
        <v>0.17597920712355553</v>
      </c>
      <c r="L11" s="42">
        <f ca="1">+L10/L7</f>
        <v>-0.17944517093367271</v>
      </c>
      <c r="M11" s="24"/>
      <c r="T11" s="5"/>
    </row>
    <row r="12" spans="1:20" ht="15" customHeight="1">
      <c r="A12" s="4"/>
      <c r="B12" s="53" t="s">
        <v>38</v>
      </c>
      <c r="C12" s="24"/>
      <c r="D12" s="24"/>
      <c r="E12" s="24"/>
      <c r="F12" s="24"/>
      <c r="G12" s="47"/>
      <c r="H12" s="36">
        <f t="shared" ref="H12:K12" si="1">+H7+H10</f>
        <v>166.37719537999999</v>
      </c>
      <c r="I12" s="36">
        <f t="shared" si="1"/>
        <v>139.83009283999999</v>
      </c>
      <c r="J12" s="36">
        <f t="shared" si="1"/>
        <v>157.07085387999999</v>
      </c>
      <c r="K12" s="36">
        <f t="shared" si="1"/>
        <v>156.32852475000001</v>
      </c>
      <c r="L12" s="36">
        <f ca="1">+SUM(L10,L7)</f>
        <v>170.06765837</v>
      </c>
      <c r="M12" s="24"/>
      <c r="T12" s="5"/>
    </row>
    <row r="13" spans="1:20" ht="15" customHeight="1">
      <c r="A13" s="4"/>
      <c r="B13" s="37" t="s">
        <v>39</v>
      </c>
      <c r="C13" s="24"/>
      <c r="D13" s="24"/>
      <c r="E13" s="24"/>
      <c r="F13" s="24"/>
      <c r="G13" s="40"/>
      <c r="H13" s="59">
        <v>-129.71751211</v>
      </c>
      <c r="I13" s="59">
        <v>-113.10758944999998</v>
      </c>
      <c r="J13" s="59">
        <v>-122.87729874000001</v>
      </c>
      <c r="K13" s="59">
        <v>-124.5783486</v>
      </c>
      <c r="L13" s="59">
        <f>+SUM([2]LI!$BA$13:$BD$13,[2]LI!$BA$38:$BD$38)/1000</f>
        <v>-143.52624879000001</v>
      </c>
      <c r="M13" s="24"/>
      <c r="T13" s="5"/>
    </row>
    <row r="14" spans="1:20" ht="15" customHeight="1">
      <c r="A14" s="4"/>
      <c r="B14" s="37" t="s">
        <v>40</v>
      </c>
      <c r="C14" s="24"/>
      <c r="D14" s="24"/>
      <c r="E14" s="24"/>
      <c r="F14" s="24"/>
      <c r="G14" s="39"/>
      <c r="H14" s="42">
        <v>-0.83801417107463061</v>
      </c>
      <c r="I14" s="42">
        <v>-0.7796592063817972</v>
      </c>
      <c r="J14" s="42">
        <v>-0.80889304407044105</v>
      </c>
      <c r="K14" s="42">
        <f>-K13/K12</f>
        <v>0.79690094177774162</v>
      </c>
      <c r="L14" s="42">
        <f ca="1">+L13/L12</f>
        <v>-0.84393617320080705</v>
      </c>
      <c r="M14" s="24"/>
      <c r="T14" s="5"/>
    </row>
    <row r="15" spans="1:20" ht="15" customHeight="1">
      <c r="A15" s="4"/>
      <c r="B15" s="51" t="s">
        <v>41</v>
      </c>
      <c r="C15" s="24"/>
      <c r="D15" s="24"/>
      <c r="E15" s="24"/>
      <c r="F15" s="24"/>
      <c r="G15" s="48"/>
      <c r="H15" s="56">
        <v>-2.88235391</v>
      </c>
      <c r="I15" s="56">
        <v>6.8732420899999997</v>
      </c>
      <c r="J15" s="56">
        <v>-1.2254815800000001</v>
      </c>
      <c r="K15" s="56">
        <v>-1.7975409599999999</v>
      </c>
      <c r="L15" s="176">
        <f>+SUM([2]LI!$BA$15:$BD$15,[2]LI!$BA$39:$BD$39)/1000</f>
        <v>-11.083516929999998</v>
      </c>
      <c r="M15" s="24"/>
      <c r="T15" s="5"/>
    </row>
    <row r="16" spans="1:20" ht="15" customHeight="1">
      <c r="A16" s="4"/>
      <c r="B16" s="55" t="s">
        <v>42</v>
      </c>
      <c r="C16" s="24"/>
      <c r="D16" s="24"/>
      <c r="E16" s="24"/>
      <c r="F16" s="24"/>
      <c r="G16" s="50"/>
      <c r="H16" s="49">
        <f>H15/H12</f>
        <v>-1.7324212632727695E-2</v>
      </c>
      <c r="I16" s="49">
        <f>I15/I12</f>
        <v>4.9154241053566909E-2</v>
      </c>
      <c r="J16" s="49">
        <f>J15/J12</f>
        <v>-7.802094085107931E-3</v>
      </c>
      <c r="K16" s="49">
        <f>K15/K12</f>
        <v>-1.1498483484537582E-2</v>
      </c>
      <c r="L16" s="49">
        <f ca="1">+L15/L12</f>
        <v>-6.5171220890727188E-2</v>
      </c>
      <c r="M16" s="24"/>
      <c r="T16" s="5"/>
    </row>
    <row r="17" spans="1:20" ht="15" customHeight="1">
      <c r="A17" s="4"/>
      <c r="B17" s="52" t="s">
        <v>27</v>
      </c>
      <c r="C17" s="24"/>
      <c r="D17" s="24"/>
      <c r="E17" s="24"/>
      <c r="F17" s="24"/>
      <c r="G17" s="39"/>
      <c r="H17" s="36">
        <f t="shared" ref="H17:K17" si="2">+H12+H13+H15</f>
        <v>33.777329359999989</v>
      </c>
      <c r="I17" s="36">
        <f t="shared" si="2"/>
        <v>33.595745480000012</v>
      </c>
      <c r="J17" s="36">
        <f t="shared" si="2"/>
        <v>32.968073559999972</v>
      </c>
      <c r="K17" s="36">
        <f t="shared" si="2"/>
        <v>29.952635190000017</v>
      </c>
      <c r="L17" s="36">
        <f ca="1">+SUM(L15,L13,L12)</f>
        <v>15.457892649999991</v>
      </c>
      <c r="M17" s="24"/>
      <c r="T17" s="5"/>
    </row>
    <row r="18" spans="1:20" ht="15" customHeight="1">
      <c r="A18" s="4"/>
      <c r="B18" s="51" t="s">
        <v>28</v>
      </c>
      <c r="C18" s="24"/>
      <c r="D18" s="24"/>
      <c r="E18" s="24"/>
      <c r="F18" s="24"/>
      <c r="G18" s="35"/>
      <c r="H18" s="38">
        <v>23.859231439999999</v>
      </c>
      <c r="I18" s="38">
        <v>17.953099439999999</v>
      </c>
      <c r="J18" s="38">
        <v>17.648378920000003</v>
      </c>
      <c r="K18" s="38">
        <v>16.89587886</v>
      </c>
      <c r="L18" s="38">
        <f ca="1">-SUM('[2]Análise Rápida'!$AR$111:$AR$112)/1000</f>
        <v>17.171626870000001</v>
      </c>
      <c r="M18" s="24"/>
      <c r="T18" s="5"/>
    </row>
    <row r="19" spans="1:20" ht="15" customHeight="1">
      <c r="A19" s="4"/>
      <c r="B19" s="52" t="s">
        <v>43</v>
      </c>
      <c r="C19" s="24"/>
      <c r="D19" s="24"/>
      <c r="E19" s="24"/>
      <c r="F19" s="24"/>
      <c r="G19" s="39"/>
      <c r="H19" s="36">
        <f t="shared" ref="H19:K19" si="3">+H17+H18</f>
        <v>57.636560799999984</v>
      </c>
      <c r="I19" s="36">
        <f t="shared" si="3"/>
        <v>51.548844920000008</v>
      </c>
      <c r="J19" s="36">
        <f t="shared" si="3"/>
        <v>50.616452479999978</v>
      </c>
      <c r="K19" s="36">
        <f t="shared" si="3"/>
        <v>46.84851405000002</v>
      </c>
      <c r="L19" s="36">
        <f ca="1">+SUM(L17:L18)</f>
        <v>32.629519519999988</v>
      </c>
      <c r="M19" s="24"/>
      <c r="T19" s="5"/>
    </row>
    <row r="20" spans="1:20" ht="15" customHeight="1">
      <c r="A20" s="4"/>
      <c r="B20" s="51" t="s">
        <v>44</v>
      </c>
      <c r="C20" s="24"/>
      <c r="D20" s="24"/>
      <c r="E20" s="24"/>
      <c r="F20" s="24"/>
      <c r="G20" s="35"/>
      <c r="H20" s="38">
        <v>5.2202719999999996</v>
      </c>
      <c r="I20" s="38">
        <v>-8.3237137899999993</v>
      </c>
      <c r="J20" s="38">
        <v>0</v>
      </c>
      <c r="K20" s="38">
        <v>0</v>
      </c>
      <c r="L20" s="38">
        <v>0</v>
      </c>
      <c r="M20" s="24"/>
      <c r="T20" s="5"/>
    </row>
    <row r="21" spans="1:20" ht="15" customHeight="1">
      <c r="A21" s="4"/>
      <c r="B21" s="52" t="s">
        <v>45</v>
      </c>
      <c r="C21" s="24"/>
      <c r="D21" s="24"/>
      <c r="E21" s="24"/>
      <c r="F21" s="24"/>
      <c r="G21" s="39"/>
      <c r="H21" s="36">
        <f t="shared" ref="H21:K21" si="4">+H19+H20</f>
        <v>62.856832799999985</v>
      </c>
      <c r="I21" s="36">
        <f t="shared" si="4"/>
        <v>43.225131130000008</v>
      </c>
      <c r="J21" s="36">
        <f t="shared" si="4"/>
        <v>50.616452479999978</v>
      </c>
      <c r="K21" s="36">
        <f t="shared" si="4"/>
        <v>46.84851405000002</v>
      </c>
      <c r="L21" s="36">
        <f ca="1">+L19</f>
        <v>32.629519519999988</v>
      </c>
      <c r="M21" s="24"/>
      <c r="T21" s="5"/>
    </row>
    <row r="22" spans="1:20" ht="15" customHeight="1">
      <c r="A22" s="4"/>
      <c r="B22" s="51" t="s">
        <v>32</v>
      </c>
      <c r="C22" s="24"/>
      <c r="D22" s="24"/>
      <c r="E22" s="24"/>
      <c r="F22" s="24"/>
      <c r="G22" s="35"/>
      <c r="H22" s="38">
        <v>-17.189350459999996</v>
      </c>
      <c r="I22" s="38">
        <v>-9.9609750299999984</v>
      </c>
      <c r="J22" s="38">
        <v>-11.81085023</v>
      </c>
      <c r="K22" s="38">
        <v>-11.38303228</v>
      </c>
      <c r="L22" s="38">
        <f ca="1">+'[2]Análise Rápida'!$AR$107/1000</f>
        <v>-11.15256488</v>
      </c>
      <c r="M22" s="24"/>
      <c r="T22" s="5"/>
    </row>
    <row r="23" spans="1:20" ht="15" customHeight="1">
      <c r="A23" s="4"/>
      <c r="B23" s="57" t="s">
        <v>46</v>
      </c>
      <c r="C23" s="24"/>
      <c r="D23" s="24"/>
      <c r="E23" s="24"/>
      <c r="F23" s="24"/>
      <c r="G23" s="54"/>
      <c r="H23" s="44">
        <f>H21+H22</f>
        <v>45.667482339999992</v>
      </c>
      <c r="I23" s="44">
        <f t="shared" ref="I23:K23" si="5">I21+I22</f>
        <v>33.264156100000008</v>
      </c>
      <c r="J23" s="44">
        <f t="shared" si="5"/>
        <v>38.805602249999978</v>
      </c>
      <c r="K23" s="44">
        <f t="shared" si="5"/>
        <v>35.465481770000018</v>
      </c>
      <c r="L23" s="44">
        <f ca="1">+L21+L22</f>
        <v>21.476954639999988</v>
      </c>
      <c r="M23" s="24"/>
      <c r="T23" s="5"/>
    </row>
    <row r="24" spans="1:20" ht="15" customHeight="1" thickBot="1">
      <c r="A24" s="4"/>
      <c r="B24" s="82" t="s">
        <v>131</v>
      </c>
      <c r="C24" s="73"/>
      <c r="D24" s="73"/>
      <c r="E24" s="73"/>
      <c r="F24" s="73"/>
      <c r="G24" s="75"/>
      <c r="H24" s="83">
        <f>+H23/H12</f>
        <v>0.27448162132855397</v>
      </c>
      <c r="I24" s="83">
        <f>+I23/I12</f>
        <v>0.23788982345926341</v>
      </c>
      <c r="J24" s="83">
        <f>+J23/J12</f>
        <v>0.2470579441787904</v>
      </c>
      <c r="K24" s="83">
        <f>+K23/K12</f>
        <v>0.22686507038121342</v>
      </c>
      <c r="L24" s="83">
        <f ca="1">+L23/L12</f>
        <v>0.12628476716763293</v>
      </c>
      <c r="M24" s="24"/>
      <c r="T24" s="5"/>
    </row>
    <row r="25" spans="1:20" ht="15" customHeight="1" thickBot="1">
      <c r="A25" s="23" t="s">
        <v>109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XFC25"/>
  <sheetViews>
    <sheetView showGridLines="0" zoomScale="90" zoomScaleNormal="90" workbookViewId="0">
      <selection activeCell="L6" sqref="L6:L23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 thickBot="1">
      <c r="A6" s="4"/>
      <c r="B6" s="73"/>
      <c r="C6" s="73"/>
      <c r="D6" s="73"/>
      <c r="E6" s="73"/>
      <c r="F6" s="73"/>
      <c r="G6" s="75"/>
      <c r="H6" s="76">
        <v>2020</v>
      </c>
      <c r="I6" s="76">
        <v>2021</v>
      </c>
      <c r="J6" s="76">
        <v>2022</v>
      </c>
      <c r="K6" s="76">
        <v>2023</v>
      </c>
      <c r="L6" s="76">
        <v>2024</v>
      </c>
      <c r="T6" s="5"/>
    </row>
    <row r="7" spans="1:20" ht="15" customHeight="1">
      <c r="A7" s="4"/>
      <c r="B7" s="35" t="s">
        <v>35</v>
      </c>
      <c r="C7" s="45"/>
      <c r="D7" s="45"/>
      <c r="E7" s="45"/>
      <c r="F7" s="45"/>
      <c r="G7" s="35"/>
      <c r="H7" s="36">
        <f>'Resumo financeiro - DLV'!H8+'Resumo financeiro - DLI'!H7</f>
        <v>1250.7636909400001</v>
      </c>
      <c r="I7" s="36">
        <f>'Resumo financeiro - DLV'!I8+'Resumo financeiro - DLI'!I7</f>
        <v>1254.24031642</v>
      </c>
      <c r="J7" s="36">
        <f>'Resumo financeiro - DLV'!J8+'Resumo financeiro - DLI'!J7</f>
        <v>1691.8808113699999</v>
      </c>
      <c r="K7" s="36">
        <f>'Resumo financeiro - DLV'!K8+'Resumo financeiro - DLI'!K7</f>
        <v>1971.4393199800002</v>
      </c>
      <c r="L7" s="36">
        <f ca="1">+'[2]Análise Rápida'!$AR$8/1000</f>
        <v>2585.2237359999995</v>
      </c>
      <c r="T7" s="5"/>
    </row>
    <row r="8" spans="1:20" ht="15" customHeight="1">
      <c r="A8" s="4"/>
      <c r="B8" s="39" t="s">
        <v>20</v>
      </c>
      <c r="C8" s="29"/>
      <c r="D8" s="29"/>
      <c r="E8" s="29"/>
      <c r="F8" s="29"/>
      <c r="G8" s="37"/>
      <c r="H8" s="59">
        <f>'Resumo financeiro - DLV'!H10+'Resumo financeiro - DLI'!H10</f>
        <v>-238.72871233000018</v>
      </c>
      <c r="I8" s="59">
        <f>'Resumo financeiro - DLV'!I10+'Resumo financeiro - DLI'!I10</f>
        <v>-246.89730750999996</v>
      </c>
      <c r="J8" s="59">
        <f>'Resumo financeiro - DLV'!J10+'Resumo financeiro - DLI'!J10</f>
        <v>-321.37136514000008</v>
      </c>
      <c r="K8" s="59">
        <f>'Resumo financeiro - DLV'!K10+'Resumo financeiro - DLI'!K10</f>
        <v>-387.97177555000019</v>
      </c>
      <c r="L8" s="59">
        <f ca="1">+'[2]Análise Rápida'!$AR$9/1000</f>
        <v>-495.09631886999989</v>
      </c>
      <c r="M8" s="24"/>
      <c r="T8" s="5"/>
    </row>
    <row r="9" spans="1:20" ht="15" customHeight="1">
      <c r="A9" s="4"/>
      <c r="B9" s="40" t="s">
        <v>21</v>
      </c>
      <c r="C9" s="29"/>
      <c r="D9" s="29"/>
      <c r="E9" s="29"/>
      <c r="F9" s="29"/>
      <c r="G9" s="37"/>
      <c r="H9" s="42">
        <f>-H8/H7</f>
        <v>0.19086635953637715</v>
      </c>
      <c r="I9" s="42">
        <f>-I8/I7</f>
        <v>0.1968500807044086</v>
      </c>
      <c r="J9" s="42">
        <f>-J8/J7</f>
        <v>0.18994917548581317</v>
      </c>
      <c r="K9" s="42">
        <f>-K8/K7</f>
        <v>0.19679620448776283</v>
      </c>
      <c r="L9" s="42">
        <f ca="1">+L8/L7</f>
        <v>-0.19151004687742818</v>
      </c>
      <c r="M9" s="24"/>
      <c r="T9" s="5"/>
    </row>
    <row r="10" spans="1:20" ht="15" customHeight="1">
      <c r="A10" s="4"/>
      <c r="B10" s="35" t="s">
        <v>38</v>
      </c>
      <c r="C10" s="34"/>
      <c r="D10" s="34"/>
      <c r="E10" s="34"/>
      <c r="F10" s="34"/>
      <c r="G10" s="40"/>
      <c r="H10" s="60">
        <f t="shared" ref="H10:K10" si="0">H7+H8</f>
        <v>1012.0349786099998</v>
      </c>
      <c r="I10" s="60">
        <f t="shared" si="0"/>
        <v>1007.34300891</v>
      </c>
      <c r="J10" s="60">
        <f t="shared" si="0"/>
        <v>1370.5094462299999</v>
      </c>
      <c r="K10" s="60">
        <f t="shared" si="0"/>
        <v>1583.4675444300001</v>
      </c>
      <c r="L10" s="60">
        <f ca="1">+L8+L7</f>
        <v>2090.1274171299997</v>
      </c>
      <c r="M10" s="24"/>
      <c r="T10" s="5"/>
    </row>
    <row r="11" spans="1:20" ht="15" customHeight="1">
      <c r="A11" s="4"/>
      <c r="B11" s="39" t="s">
        <v>39</v>
      </c>
      <c r="C11" s="46"/>
      <c r="D11" s="46"/>
      <c r="E11" s="46"/>
      <c r="F11" s="46"/>
      <c r="G11" s="43"/>
      <c r="H11" s="59">
        <f>'Resumo financeiro - DLV'!H13+'Resumo financeiro - DLI'!H13</f>
        <v>-811.89920369000004</v>
      </c>
      <c r="I11" s="59">
        <f>'Resumo financeiro - DLV'!I13+'Resumo financeiro - DLI'!I13</f>
        <v>-819.39925438</v>
      </c>
      <c r="J11" s="59">
        <f>'Resumo financeiro - DLV'!J13+'Resumo financeiro - DLI'!J13</f>
        <v>-1095.8258935700001</v>
      </c>
      <c r="K11" s="59">
        <f>'Resumo financeiro - DLV'!K13+'Resumo financeiro - DLI'!K13</f>
        <v>-1271.7017494799998</v>
      </c>
      <c r="L11" s="59">
        <f>+SUM([2]DRE!$BF$11:$BI$11)/1000</f>
        <v>-1639.0820120100002</v>
      </c>
      <c r="M11" s="24"/>
      <c r="T11" s="5"/>
    </row>
    <row r="12" spans="1:20" ht="15" customHeight="1">
      <c r="A12" s="4"/>
      <c r="B12" s="40" t="s">
        <v>40</v>
      </c>
      <c r="C12" s="24"/>
      <c r="D12" s="24"/>
      <c r="E12" s="24"/>
      <c r="F12" s="24"/>
      <c r="G12" s="47"/>
      <c r="H12" s="42">
        <f>-H11/H10</f>
        <v>0.80224421176145477</v>
      </c>
      <c r="I12" s="42">
        <f>-I11/I10</f>
        <v>0.81342625811900426</v>
      </c>
      <c r="J12" s="42">
        <f>-J11/J10</f>
        <v>0.79957558598694822</v>
      </c>
      <c r="K12" s="42">
        <f>-K11/K10</f>
        <v>0.80311197659423672</v>
      </c>
      <c r="L12" s="42">
        <f ca="1">+L11/L10</f>
        <v>-0.78420195753456035</v>
      </c>
      <c r="M12" s="24"/>
      <c r="T12" s="5"/>
    </row>
    <row r="13" spans="1:20" ht="15" customHeight="1">
      <c r="A13" s="4"/>
      <c r="B13" s="39" t="s">
        <v>41</v>
      </c>
      <c r="C13" s="24"/>
      <c r="D13" s="24"/>
      <c r="E13" s="24"/>
      <c r="F13" s="24"/>
      <c r="G13" s="40"/>
      <c r="H13" s="59">
        <f>'Resumo financeiro - DLV'!H15+'Resumo financeiro - DLI'!H15</f>
        <v>-100.20355206000001</v>
      </c>
      <c r="I13" s="59">
        <f>'Resumo financeiro - DLV'!I15+'Resumo financeiro - DLI'!I15</f>
        <v>-69.77771571000001</v>
      </c>
      <c r="J13" s="59">
        <f>'Resumo financeiro - DLV'!J15+'Resumo financeiro - DLI'!J15</f>
        <v>-84.074028569999996</v>
      </c>
      <c r="K13" s="59">
        <f>'Resumo financeiro - DLV'!K15+'Resumo financeiro - DLI'!K15</f>
        <v>-101.48257838000001</v>
      </c>
      <c r="L13" s="59">
        <f>+SUM([2]DRE!$BF$17:$BI$18)/1000</f>
        <v>-111.61610255000001</v>
      </c>
      <c r="M13" s="24"/>
      <c r="T13" s="5"/>
    </row>
    <row r="14" spans="1:20" ht="15" customHeight="1">
      <c r="A14" s="4"/>
      <c r="B14" s="40" t="s">
        <v>42</v>
      </c>
      <c r="C14" s="24"/>
      <c r="D14" s="24"/>
      <c r="E14" s="24"/>
      <c r="F14" s="24"/>
      <c r="G14" s="39"/>
      <c r="H14" s="42">
        <f>+H13/H11</f>
        <v>0.12341870961886028</v>
      </c>
      <c r="I14" s="42">
        <f>+I13/I11</f>
        <v>8.5157162808010431E-2</v>
      </c>
      <c r="J14" s="42">
        <f>+J13/J11</f>
        <v>7.6722067860709342E-2</v>
      </c>
      <c r="K14" s="42">
        <f>+K13/K11</f>
        <v>7.9800612385330399E-2</v>
      </c>
      <c r="L14" s="42">
        <f ca="1">+L13/L10</f>
        <v>-5.340157812161641E-2</v>
      </c>
      <c r="M14" s="24"/>
      <c r="T14" s="5"/>
    </row>
    <row r="15" spans="1:20" ht="15" customHeight="1">
      <c r="A15" s="4"/>
      <c r="B15" s="35" t="s">
        <v>27</v>
      </c>
      <c r="C15" s="24"/>
      <c r="D15" s="24"/>
      <c r="E15" s="24"/>
      <c r="F15" s="24"/>
      <c r="G15" s="48"/>
      <c r="H15" s="61">
        <f t="shared" ref="H15:K15" si="1">+H10+H11+H13</f>
        <v>99.932222859999783</v>
      </c>
      <c r="I15" s="61">
        <f t="shared" si="1"/>
        <v>118.16603881999997</v>
      </c>
      <c r="J15" s="61">
        <f t="shared" si="1"/>
        <v>190.60952408999981</v>
      </c>
      <c r="K15" s="61">
        <f t="shared" si="1"/>
        <v>210.28321657000032</v>
      </c>
      <c r="L15" s="61">
        <f ca="1">+L13+L11+L10</f>
        <v>339.42930256999944</v>
      </c>
      <c r="M15" s="24"/>
      <c r="T15" s="5"/>
    </row>
    <row r="16" spans="1:20" ht="15" customHeight="1" thickBot="1">
      <c r="A16" s="4"/>
      <c r="B16" s="54" t="s">
        <v>28</v>
      </c>
      <c r="C16" s="24"/>
      <c r="D16" s="24"/>
      <c r="E16" s="24"/>
      <c r="F16" s="24"/>
      <c r="G16" s="50"/>
      <c r="H16" s="58">
        <f>'Resumo financeiro - DLV'!H18+'Resumo financeiro - DLI'!H18</f>
        <v>54.049383500000005</v>
      </c>
      <c r="I16" s="58">
        <f>'Resumo financeiro - DLV'!I18+'Resumo financeiro - DLI'!I18</f>
        <v>50.866138089999993</v>
      </c>
      <c r="J16" s="58">
        <f>'Resumo financeiro - DLV'!J18+'Resumo financeiro - DLI'!J18</f>
        <v>53.096190579999998</v>
      </c>
      <c r="K16" s="58">
        <f>'Resumo financeiro - DLV'!K18+'Resumo financeiro - DLI'!K18</f>
        <v>54.763658219999996</v>
      </c>
      <c r="L16" s="59">
        <f>-SUM([2]Consolidado!$BA$36:$BD$36)/1000</f>
        <v>55.635489379999996</v>
      </c>
      <c r="M16" s="24"/>
      <c r="T16" s="5"/>
    </row>
    <row r="17" spans="1:20" ht="15" customHeight="1">
      <c r="A17" s="4"/>
      <c r="B17" s="62" t="s">
        <v>43</v>
      </c>
      <c r="C17" s="24"/>
      <c r="D17" s="24"/>
      <c r="E17" s="24"/>
      <c r="F17" s="24"/>
      <c r="G17" s="39"/>
      <c r="H17" s="36">
        <f t="shared" ref="H17:K17" si="2">+H15+H16</f>
        <v>153.98160635999977</v>
      </c>
      <c r="I17" s="36">
        <f t="shared" si="2"/>
        <v>169.03217690999998</v>
      </c>
      <c r="J17" s="36">
        <f t="shared" si="2"/>
        <v>243.70571466999979</v>
      </c>
      <c r="K17" s="36">
        <f t="shared" si="2"/>
        <v>265.04687479000029</v>
      </c>
      <c r="L17" s="36">
        <f ca="1">+L16+L15</f>
        <v>395.0647919499994</v>
      </c>
      <c r="M17" s="24"/>
      <c r="T17" s="5"/>
    </row>
    <row r="18" spans="1:20" ht="15" customHeight="1">
      <c r="A18" s="4"/>
      <c r="B18" s="39" t="s">
        <v>44</v>
      </c>
      <c r="C18" s="24"/>
      <c r="D18" s="24"/>
      <c r="E18" s="24"/>
      <c r="F18" s="24"/>
      <c r="G18" s="35"/>
      <c r="H18" s="38">
        <f>'Resumo financeiro - DLV'!H20+'Resumo financeiro - DLI'!H20</f>
        <v>8.5372719999999997</v>
      </c>
      <c r="I18" s="38">
        <f>'Resumo financeiro - DLV'!I20+'Resumo financeiro - DLI'!I20</f>
        <v>-7.1647137899999995</v>
      </c>
      <c r="J18" s="38">
        <f>'Resumo financeiro - DLV'!J20+'Resumo financeiro - DLI'!J20</f>
        <v>1.1862472420473387</v>
      </c>
      <c r="K18" s="38">
        <f>'Resumo financeiro - DLV'!K20+'Resumo financeiro - DLI'!K20</f>
        <v>0</v>
      </c>
      <c r="L18" s="38">
        <v>0</v>
      </c>
      <c r="T18" s="5"/>
    </row>
    <row r="19" spans="1:20" ht="15" customHeight="1">
      <c r="A19" s="4"/>
      <c r="B19" s="35" t="s">
        <v>45</v>
      </c>
      <c r="C19" s="24"/>
      <c r="D19" s="24"/>
      <c r="E19" s="24"/>
      <c r="F19" s="24"/>
      <c r="G19" s="39"/>
      <c r="H19" s="36">
        <f>+H17+H18</f>
        <v>162.51887835999977</v>
      </c>
      <c r="I19" s="36">
        <f>+I17+I18</f>
        <v>161.86746311999997</v>
      </c>
      <c r="J19" s="36">
        <f>+J17+J18</f>
        <v>244.89196191204712</v>
      </c>
      <c r="K19" s="36">
        <f>+K17+K18</f>
        <v>265.04687479000029</v>
      </c>
      <c r="L19" s="36">
        <f ca="1">+L17+L18</f>
        <v>395.0647919499994</v>
      </c>
      <c r="M19" s="24"/>
      <c r="T19" s="5"/>
    </row>
    <row r="20" spans="1:20" ht="15" customHeight="1">
      <c r="A20" s="4"/>
      <c r="B20" s="40" t="s">
        <v>47</v>
      </c>
      <c r="C20" s="24"/>
      <c r="D20" s="24"/>
      <c r="E20" s="24"/>
      <c r="F20" s="24"/>
      <c r="G20" s="39"/>
      <c r="H20" s="42">
        <f t="shared" ref="H20:K20" si="3">+H19/H10</f>
        <v>0.16058622655830992</v>
      </c>
      <c r="I20" s="42">
        <f t="shared" si="3"/>
        <v>0.16068753313248224</v>
      </c>
      <c r="J20" s="42">
        <f t="shared" si="3"/>
        <v>0.17868681064964304</v>
      </c>
      <c r="K20" s="42">
        <f t="shared" si="3"/>
        <v>0.16738383790834757</v>
      </c>
      <c r="L20" s="42">
        <f ca="1">+L19/L10</f>
        <v>0.18901469293794138</v>
      </c>
      <c r="M20" s="24"/>
      <c r="T20" s="5"/>
    </row>
    <row r="21" spans="1:20" ht="15" customHeight="1">
      <c r="A21" s="4"/>
      <c r="B21" s="54" t="s">
        <v>32</v>
      </c>
      <c r="C21" s="24"/>
      <c r="D21" s="24"/>
      <c r="E21" s="24"/>
      <c r="F21" s="24"/>
      <c r="G21" s="43"/>
      <c r="H21" s="81">
        <f>'Resumo financeiro - DLV'!H22+'Resumo financeiro - DLI'!H22</f>
        <v>-37.975334930000017</v>
      </c>
      <c r="I21" s="81">
        <f>'Resumo financeiro - DLV'!I22+'Resumo financeiro - DLI'!I22</f>
        <v>-35.447545839999997</v>
      </c>
      <c r="J21" s="81">
        <f>'Resumo financeiro - DLV'!J22+'Resumo financeiro - DLI'!J22</f>
        <v>-38.96643610999994</v>
      </c>
      <c r="K21" s="81">
        <f>'Resumo financeiro - DLV'!K22+'Resumo financeiro - DLI'!K22</f>
        <v>-42.573743060000027</v>
      </c>
      <c r="L21" s="59">
        <f ca="1">+'[2]Análise Rápida'!$AR$20/1000</f>
        <v>-39.903686890000024</v>
      </c>
      <c r="M21" s="24"/>
      <c r="T21" s="5"/>
    </row>
    <row r="22" spans="1:20" ht="15" customHeight="1">
      <c r="A22" s="4"/>
      <c r="B22" s="50" t="s">
        <v>46</v>
      </c>
      <c r="C22" s="24"/>
      <c r="D22" s="24"/>
      <c r="E22" s="24"/>
      <c r="F22" s="24"/>
      <c r="G22" s="47"/>
      <c r="H22" s="44">
        <f>+H19+H21</f>
        <v>124.54354342999976</v>
      </c>
      <c r="I22" s="44">
        <f>+I19+I21</f>
        <v>126.41991727999996</v>
      </c>
      <c r="J22" s="44">
        <f>+J19+J21</f>
        <v>205.92552580204719</v>
      </c>
      <c r="K22" s="44">
        <f>+K19+K21</f>
        <v>222.47313173000026</v>
      </c>
      <c r="L22" s="44">
        <f ca="1">+L21+L19</f>
        <v>355.16110505999939</v>
      </c>
      <c r="M22" s="24"/>
      <c r="T22" s="5"/>
    </row>
    <row r="23" spans="1:20" ht="15" customHeight="1" thickBot="1">
      <c r="A23" s="4"/>
      <c r="B23" s="82" t="s">
        <v>129</v>
      </c>
      <c r="C23" s="73"/>
      <c r="D23" s="73"/>
      <c r="E23" s="73"/>
      <c r="F23" s="73"/>
      <c r="G23" s="75"/>
      <c r="H23" s="83">
        <f>+H22/H10</f>
        <v>0.1230624890071059</v>
      </c>
      <c r="I23" s="83">
        <f>+I22/I10</f>
        <v>0.12549838154611626</v>
      </c>
      <c r="J23" s="83">
        <f>+J22/J10</f>
        <v>0.15025472926765118</v>
      </c>
      <c r="K23" s="83">
        <f>+K22/K10</f>
        <v>0.14049743710413956</v>
      </c>
      <c r="L23" s="83">
        <f ca="1">+L22/L10</f>
        <v>0.16992318370124965</v>
      </c>
      <c r="M23" s="24"/>
      <c r="T23" s="5"/>
    </row>
    <row r="24" spans="1:20" ht="15" customHeight="1">
      <c r="A24" s="4"/>
      <c r="T24" s="5"/>
    </row>
    <row r="25" spans="1:20" ht="15" customHeight="1" thickBot="1">
      <c r="A25" s="23" t="s">
        <v>110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XFC25"/>
  <sheetViews>
    <sheetView showGridLines="0" zoomScale="90" zoomScaleNormal="90" workbookViewId="0">
      <selection activeCell="J16" sqref="J16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 thickBot="1">
      <c r="A11" s="4"/>
      <c r="B11" s="67" t="s">
        <v>49</v>
      </c>
      <c r="C11" s="24"/>
      <c r="D11" s="24"/>
      <c r="E11" s="24"/>
      <c r="F11" s="24"/>
      <c r="H11" s="25">
        <v>2020</v>
      </c>
      <c r="I11" s="25">
        <v>2021</v>
      </c>
      <c r="J11" s="25">
        <v>2022</v>
      </c>
      <c r="K11" s="25">
        <v>2023</v>
      </c>
      <c r="L11" s="25">
        <v>2024</v>
      </c>
      <c r="T11" s="5"/>
    </row>
    <row r="12" spans="1:20" ht="15" customHeight="1">
      <c r="A12" s="4"/>
      <c r="B12" s="104" t="s">
        <v>50</v>
      </c>
      <c r="C12" s="105"/>
      <c r="D12" s="105"/>
      <c r="E12" s="105"/>
      <c r="F12" s="105"/>
      <c r="G12" s="105"/>
      <c r="H12" s="106">
        <v>-9.8339999999999996</v>
      </c>
      <c r="I12" s="106">
        <v>-10.266999999999999</v>
      </c>
      <c r="J12" s="106">
        <v>-11.58</v>
      </c>
      <c r="K12" s="106">
        <v>-12.62</v>
      </c>
      <c r="L12" s="106">
        <f>+SUM('[2]Resultado Financeiro'!$AS$14:$AV$14)/1000</f>
        <v>-12.478999999999999</v>
      </c>
      <c r="T12" s="5"/>
    </row>
    <row r="13" spans="1:20" ht="15" customHeight="1">
      <c r="A13" s="4"/>
      <c r="B13" s="34" t="s">
        <v>51</v>
      </c>
      <c r="C13" s="34"/>
      <c r="D13" s="34"/>
      <c r="E13" s="34"/>
      <c r="F13" s="34"/>
      <c r="G13" s="34"/>
      <c r="H13" s="64">
        <v>5.9119999999999999</v>
      </c>
      <c r="I13" s="64">
        <v>9.782</v>
      </c>
      <c r="J13" s="64">
        <v>17.632000000000001</v>
      </c>
      <c r="K13" s="64">
        <v>29.29</v>
      </c>
      <c r="L13" s="64">
        <f>+SUM('[2]Resultado Financeiro'!$AS$6:$AV$6)/1000</f>
        <v>28.873000000000001</v>
      </c>
      <c r="T13" s="5"/>
    </row>
    <row r="14" spans="1:20" ht="15" customHeight="1">
      <c r="A14" s="4"/>
      <c r="B14" s="34" t="s">
        <v>52</v>
      </c>
      <c r="C14" s="34"/>
      <c r="D14" s="34"/>
      <c r="E14" s="34"/>
      <c r="F14" s="34"/>
      <c r="G14" s="34"/>
      <c r="H14" s="64">
        <v>-5.4509999999999996</v>
      </c>
      <c r="I14" s="64">
        <v>-5.0209999999999999</v>
      </c>
      <c r="J14" s="64">
        <v>-5.2519999999999998</v>
      </c>
      <c r="K14" s="64">
        <v>-9.5719999999999992</v>
      </c>
      <c r="L14" s="64">
        <f>+SUM('[2]Resultado Financeiro'!$AS$16:$AV$16)/1000</f>
        <v>-8.8369999999999997</v>
      </c>
      <c r="T14" s="5"/>
    </row>
    <row r="15" spans="1:20" ht="15" customHeight="1">
      <c r="A15" s="4"/>
      <c r="B15" s="34" t="s">
        <v>134</v>
      </c>
      <c r="C15" s="34"/>
      <c r="D15" s="34"/>
      <c r="E15" s="34"/>
      <c r="F15" s="34"/>
      <c r="G15" s="34"/>
      <c r="H15" s="64">
        <f>+H16-H13-H12-H14</f>
        <v>0.21600000000000019</v>
      </c>
      <c r="I15" s="64">
        <f>+I16-I13-I12-I14</f>
        <v>2.4829999999999997</v>
      </c>
      <c r="J15" s="64">
        <f>+J16-J13-J12-J14</f>
        <v>5.9129999999999994</v>
      </c>
      <c r="K15" s="64">
        <f>+K16-K13-K12-K14</f>
        <v>1.8409999999999993</v>
      </c>
      <c r="L15" s="64">
        <f>+L16-L13-L12-L14</f>
        <v>1.218</v>
      </c>
      <c r="T15" s="5"/>
    </row>
    <row r="16" spans="1:20" ht="15" customHeight="1" thickBot="1">
      <c r="A16" s="4"/>
      <c r="B16" s="63" t="s">
        <v>53</v>
      </c>
      <c r="C16" s="63"/>
      <c r="D16" s="63"/>
      <c r="E16" s="63"/>
      <c r="F16" s="63"/>
      <c r="G16" s="63"/>
      <c r="H16" s="65">
        <v>-9.157</v>
      </c>
      <c r="I16" s="65">
        <v>-3.0230000000000001</v>
      </c>
      <c r="J16" s="65">
        <v>6.7130000000000001</v>
      </c>
      <c r="K16" s="65">
        <v>8.9390000000000001</v>
      </c>
      <c r="L16" s="65">
        <f>+SUM('[2]Resultado Financeiro'!$AS$24:$AV$24)/1000</f>
        <v>8.7750000000000004</v>
      </c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111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  <legacy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XFC25"/>
  <sheetViews>
    <sheetView showGridLines="0" zoomScale="85" zoomScaleNormal="85" workbookViewId="0">
      <selection activeCell="I19" sqref="I19:I22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T10" s="5"/>
    </row>
    <row r="11" spans="1:20" ht="15" customHeight="1">
      <c r="A11" s="4"/>
      <c r="T11" s="5"/>
    </row>
    <row r="12" spans="1:20" ht="15" customHeight="1">
      <c r="A12" s="4"/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C18" s="21"/>
      <c r="T18" s="5"/>
    </row>
    <row r="19" spans="1:20" ht="15" customHeight="1" thickBot="1">
      <c r="A19" s="4"/>
      <c r="B19" s="69" t="s">
        <v>122</v>
      </c>
      <c r="C19" s="24"/>
      <c r="D19" s="24"/>
      <c r="E19" s="25">
        <v>2020</v>
      </c>
      <c r="F19" s="25">
        <v>2021</v>
      </c>
      <c r="G19" s="25">
        <v>2022</v>
      </c>
      <c r="H19" s="25">
        <v>2023</v>
      </c>
      <c r="I19" s="25">
        <v>2024</v>
      </c>
      <c r="T19" s="5"/>
    </row>
    <row r="20" spans="1:20" ht="15" customHeight="1">
      <c r="A20" s="4"/>
      <c r="B20" s="104" t="s">
        <v>119</v>
      </c>
      <c r="C20" s="105"/>
      <c r="D20" s="105"/>
      <c r="E20" s="115">
        <v>73.266999999999996</v>
      </c>
      <c r="F20" s="115">
        <v>91.376999999999995</v>
      </c>
      <c r="G20" s="115">
        <v>117.637</v>
      </c>
      <c r="H20" s="115">
        <v>160.44999999999999</v>
      </c>
      <c r="I20" s="115">
        <f ca="1">+'[2]Análise Rápida'!$AR$151/1000</f>
        <v>262.22300000000001</v>
      </c>
      <c r="M20" s="114"/>
      <c r="T20" s="5"/>
    </row>
    <row r="21" spans="1:20" ht="15" customHeight="1">
      <c r="A21" s="4"/>
      <c r="B21" s="34" t="s">
        <v>120</v>
      </c>
      <c r="C21" s="34"/>
      <c r="D21" s="34"/>
      <c r="E21" s="117">
        <v>18.579000000000001</v>
      </c>
      <c r="F21" s="117">
        <v>18.565000000000001</v>
      </c>
      <c r="G21" s="117">
        <v>32.375</v>
      </c>
      <c r="H21" s="117">
        <v>50.322000000000003</v>
      </c>
      <c r="I21" s="117">
        <f>+SUM('[2]Investimentos F'!$AT$12:$AW$14)/1000</f>
        <v>91.58</v>
      </c>
      <c r="T21" s="5"/>
    </row>
    <row r="22" spans="1:20" ht="15" customHeight="1" thickBot="1">
      <c r="A22" s="4"/>
      <c r="B22" s="79" t="s">
        <v>121</v>
      </c>
      <c r="C22" s="79"/>
      <c r="D22" s="79"/>
      <c r="E22" s="116">
        <v>12.718</v>
      </c>
      <c r="F22" s="116">
        <v>13.358000000000001</v>
      </c>
      <c r="G22" s="116">
        <v>21.57</v>
      </c>
      <c r="H22" s="116">
        <v>34.078000000000003</v>
      </c>
      <c r="I22" s="116">
        <f>+SUM('[2]Investimentos F'!$AT$18:$AW$18)/1000</f>
        <v>60.594000000000001</v>
      </c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112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XFC25"/>
  <sheetViews>
    <sheetView showGridLines="0" zoomScale="90" zoomScaleNormal="90" workbookViewId="0">
      <selection activeCell="K10" sqref="K10"/>
    </sheetView>
  </sheetViews>
  <sheetFormatPr defaultColWidth="0" defaultRowHeight="0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 thickBot="1">
      <c r="A6" s="4"/>
      <c r="B6" s="73"/>
      <c r="C6" s="73"/>
      <c r="D6" s="73"/>
      <c r="E6" s="73"/>
      <c r="F6" s="73"/>
      <c r="G6" s="75"/>
      <c r="H6" s="76">
        <v>2020</v>
      </c>
      <c r="I6" s="76">
        <v>2021</v>
      </c>
      <c r="J6" s="76">
        <v>2022</v>
      </c>
      <c r="K6" s="76">
        <v>2023</v>
      </c>
      <c r="L6" s="76">
        <v>2024</v>
      </c>
      <c r="T6" s="5"/>
    </row>
    <row r="7" spans="1:20" ht="15" customHeight="1">
      <c r="A7" s="4"/>
      <c r="B7" s="35" t="s">
        <v>89</v>
      </c>
      <c r="C7" s="45"/>
      <c r="D7" s="45"/>
      <c r="E7" s="45"/>
      <c r="F7" s="45"/>
      <c r="G7" s="35"/>
      <c r="H7" s="119">
        <v>97.052000000000007</v>
      </c>
      <c r="I7" s="119">
        <v>124.386</v>
      </c>
      <c r="J7" s="119">
        <v>207.89500000000001</v>
      </c>
      <c r="K7" s="119">
        <v>235.477</v>
      </c>
      <c r="L7" s="119">
        <f>+SUM('[2]Despesas de IR e CSLL'!$AO$6:$AR$6)/1000</f>
        <v>377.46800000000002</v>
      </c>
      <c r="T7" s="5"/>
    </row>
    <row r="8" spans="1:20" ht="15" customHeight="1">
      <c r="A8" s="4"/>
      <c r="B8" s="40" t="s">
        <v>90</v>
      </c>
      <c r="C8" s="40"/>
      <c r="D8" s="40"/>
      <c r="E8" s="40"/>
      <c r="F8" s="40"/>
      <c r="G8" s="40"/>
      <c r="H8" s="132">
        <v>0.34</v>
      </c>
      <c r="I8" s="132">
        <v>0.34</v>
      </c>
      <c r="J8" s="132">
        <v>0.34</v>
      </c>
      <c r="K8" s="132">
        <v>0.34</v>
      </c>
      <c r="L8" s="132">
        <v>0.34</v>
      </c>
      <c r="M8" s="24"/>
      <c r="T8" s="5"/>
    </row>
    <row r="9" spans="1:20" ht="15" customHeight="1">
      <c r="A9" s="4"/>
      <c r="B9" s="133" t="s">
        <v>91</v>
      </c>
      <c r="C9" s="40"/>
      <c r="D9" s="40"/>
      <c r="E9" s="40"/>
      <c r="F9" s="40"/>
      <c r="G9" s="40"/>
      <c r="H9" s="119">
        <f>H7*-H8</f>
        <v>-32.997680000000003</v>
      </c>
      <c r="I9" s="119">
        <f>I7*-I8</f>
        <v>-42.291240000000002</v>
      </c>
      <c r="J9" s="119">
        <f>J7*-J8</f>
        <v>-70.684300000000007</v>
      </c>
      <c r="K9" s="119">
        <f>K7*-K8</f>
        <v>-80.062180000000012</v>
      </c>
      <c r="L9" s="119">
        <f>+L8*L7</f>
        <v>128.33912000000001</v>
      </c>
      <c r="M9" s="24"/>
      <c r="T9" s="5"/>
    </row>
    <row r="10" spans="1:20" ht="15" customHeight="1">
      <c r="A10" s="4"/>
      <c r="B10" s="133" t="s">
        <v>95</v>
      </c>
      <c r="C10" s="40"/>
      <c r="D10" s="40"/>
      <c r="E10" s="40"/>
      <c r="F10" s="40"/>
      <c r="G10" s="40"/>
      <c r="H10" s="119">
        <f>SUM(H9,I18:I22)</f>
        <v>-23.542680000000001</v>
      </c>
      <c r="I10" s="119">
        <f>SUM(I9,J18:J22)</f>
        <v>-16.601239999999997</v>
      </c>
      <c r="J10" s="119">
        <f>SUM(J9,K18:K22)</f>
        <v>-48.231300000000012</v>
      </c>
      <c r="K10" s="119">
        <f>SUM(K9,L18:L22)</f>
        <v>-53.565180000000019</v>
      </c>
      <c r="L10" s="119">
        <f>+SUM('[2]Despesas de IR e CSLL'!$AO$21:$AR$21)/1000</f>
        <v>-106.85612</v>
      </c>
      <c r="M10" s="24"/>
      <c r="T10" s="5"/>
    </row>
    <row r="11" spans="1:20" ht="15" customHeight="1" thickBot="1">
      <c r="A11" s="4"/>
      <c r="B11" s="127" t="s">
        <v>96</v>
      </c>
      <c r="C11" s="128"/>
      <c r="D11" s="128"/>
      <c r="E11" s="128"/>
      <c r="F11" s="128"/>
      <c r="G11" s="129"/>
      <c r="H11" s="130">
        <f>H10/H7</f>
        <v>-0.24257799942298972</v>
      </c>
      <c r="I11" s="130">
        <f>I10/I7</f>
        <v>-0.1334655025485183</v>
      </c>
      <c r="J11" s="130">
        <f>J10/J7</f>
        <v>-0.23199836455903225</v>
      </c>
      <c r="K11" s="130">
        <f>K10/K7</f>
        <v>-0.22747520989311065</v>
      </c>
      <c r="L11" s="130">
        <f>+L10/L7</f>
        <v>-0.28308656627846601</v>
      </c>
      <c r="M11" s="131"/>
      <c r="T11" s="5"/>
    </row>
    <row r="12" spans="1:20" ht="15" customHeight="1" thickBot="1">
      <c r="A12" s="4"/>
      <c r="B12" s="121"/>
      <c r="C12" s="121"/>
      <c r="D12" s="121"/>
      <c r="E12" s="121"/>
      <c r="F12" s="121"/>
      <c r="G12" s="121"/>
      <c r="H12" s="121"/>
      <c r="I12" s="151"/>
      <c r="J12" s="151"/>
      <c r="K12" s="151"/>
      <c r="L12" s="121"/>
      <c r="M12" s="24"/>
      <c r="T12" s="5"/>
    </row>
    <row r="13" spans="1:20" ht="15" customHeight="1">
      <c r="A13" s="4"/>
      <c r="B13" s="122" t="s">
        <v>123</v>
      </c>
      <c r="C13" s="123"/>
      <c r="D13" s="123"/>
      <c r="E13" s="123"/>
      <c r="F13" s="123"/>
      <c r="G13" s="122"/>
      <c r="H13" s="124">
        <f>-H8-H11</f>
        <v>-9.7422000577010309E-2</v>
      </c>
      <c r="I13" s="124">
        <f>-I8-I11</f>
        <v>-0.20653449745148172</v>
      </c>
      <c r="J13" s="124">
        <f>-J8-J11</f>
        <v>-0.10800163544096777</v>
      </c>
      <c r="K13" s="124">
        <f>-K8-K11</f>
        <v>-0.11252479010688937</v>
      </c>
      <c r="L13" s="124">
        <f>-(L11+L8)</f>
        <v>-5.6913433721534012E-2</v>
      </c>
      <c r="M13" s="24"/>
      <c r="T13" s="5"/>
    </row>
    <row r="14" spans="1:20" ht="15" customHeight="1">
      <c r="A14" s="4"/>
      <c r="B14" s="39" t="s">
        <v>92</v>
      </c>
      <c r="C14" s="37"/>
      <c r="D14" s="37"/>
      <c r="E14" s="37"/>
      <c r="F14" s="37"/>
      <c r="G14" s="37"/>
      <c r="H14" s="68">
        <f>-I18/H7</f>
        <v>-2.1988212504636687E-2</v>
      </c>
      <c r="I14" s="68">
        <f>-J18/I7</f>
        <v>-2.5268116990658111E-2</v>
      </c>
      <c r="J14" s="68">
        <f>-K18/J7</f>
        <v>-1.7292383174198515E-2</v>
      </c>
      <c r="K14" s="68">
        <f>-L18/K7</f>
        <v>-2.347150677136196E-2</v>
      </c>
      <c r="L14" s="68">
        <f>-SUM('[2]Despesas de IR e CSLL'!$AO$10:$AR$10)/SUM('[2]Despesas de IR e CSLL'!$AO$6:$AR$6)</f>
        <v>-2.6359850371422213E-2</v>
      </c>
      <c r="M14" s="24"/>
      <c r="T14" s="5"/>
    </row>
    <row r="15" spans="1:20" ht="15" customHeight="1">
      <c r="A15" s="4"/>
      <c r="B15" s="39" t="s">
        <v>97</v>
      </c>
      <c r="C15" s="37"/>
      <c r="D15" s="37"/>
      <c r="E15" s="37"/>
      <c r="F15" s="37"/>
      <c r="G15" s="37"/>
      <c r="H15" s="68">
        <f>-I19/H7</f>
        <v>-5.6526398219511186E-2</v>
      </c>
      <c r="I15" s="68">
        <f>-J19/I7</f>
        <v>-4.685414757287798E-2</v>
      </c>
      <c r="J15" s="68">
        <f>-K19/J7</f>
        <v>-3.8572356237523746E-2</v>
      </c>
      <c r="K15" s="68">
        <f>-L19/K7</f>
        <v>-4.1248189844443402E-2</v>
      </c>
      <c r="L15" s="68">
        <v>0</v>
      </c>
      <c r="M15" s="24"/>
      <c r="T15" s="5"/>
    </row>
    <row r="16" spans="1:20" ht="15" customHeight="1">
      <c r="A16" s="4"/>
      <c r="B16" s="39" t="s">
        <v>94</v>
      </c>
      <c r="C16" s="37"/>
      <c r="D16" s="37"/>
      <c r="E16" s="37"/>
      <c r="F16" s="37"/>
      <c r="G16" s="37"/>
      <c r="H16" s="68">
        <f>-I20/H7</f>
        <v>-1.9649260190413385E-2</v>
      </c>
      <c r="I16" s="68">
        <f>-J20/I7</f>
        <v>-3.5405913848825431E-2</v>
      </c>
      <c r="J16" s="68">
        <f>-K20/J7</f>
        <v>-2.9971860795112916E-2</v>
      </c>
      <c r="K16" s="68">
        <f>-L20/K7</f>
        <v>-4.0938180798974003E-2</v>
      </c>
      <c r="L16" s="68">
        <f>-SUM('[2]Despesas de IR e CSLL'!$AP$12:$AR$12)/SUM('[2]Despesas de IR e CSLL'!$AO$6:$AR$6)</f>
        <v>-2.7914949081776469E-2</v>
      </c>
      <c r="M16" s="24"/>
      <c r="T16" s="5"/>
    </row>
    <row r="17" spans="1:20" ht="15" customHeight="1" thickBot="1">
      <c r="A17" s="4"/>
      <c r="B17" s="125" t="s">
        <v>77</v>
      </c>
      <c r="C17" s="75"/>
      <c r="D17" s="75"/>
      <c r="E17" s="75"/>
      <c r="F17" s="75"/>
      <c r="G17" s="75"/>
      <c r="H17" s="126">
        <f t="shared" ref="H17:K17" si="0">+H13-H14-H15-H16</f>
        <v>7.4187033755094764E-4</v>
      </c>
      <c r="I17" s="126">
        <f t="shared" si="0"/>
        <v>-9.9006319039120189E-2</v>
      </c>
      <c r="J17" s="126">
        <f t="shared" si="0"/>
        <v>-2.2165035234132602E-2</v>
      </c>
      <c r="K17" s="126">
        <f t="shared" si="0"/>
        <v>-6.866912692110004E-3</v>
      </c>
      <c r="L17" s="126">
        <f>-SUM('[2]Despesas de IR e CSLL'!$AO$14:$AR$14)/SUM('[2]Despesas de IR e CSLL'!$AO$6:$AR$6)</f>
        <v>-2.6386342683353292E-3</v>
      </c>
      <c r="M17" s="24"/>
      <c r="T17" s="5"/>
    </row>
    <row r="18" spans="1:20" ht="15" customHeight="1">
      <c r="A18" s="4"/>
      <c r="B18" s="120" t="s">
        <v>92</v>
      </c>
      <c r="C18" s="120"/>
      <c r="D18" s="120"/>
      <c r="E18" s="120"/>
      <c r="F18" s="120"/>
      <c r="G18" s="120"/>
      <c r="H18" s="120">
        <v>1.0149999999999999</v>
      </c>
      <c r="I18" s="120">
        <v>2.1339999999999999</v>
      </c>
      <c r="J18" s="120">
        <v>3.1429999999999998</v>
      </c>
      <c r="K18" s="120">
        <v>3.5950000000000002</v>
      </c>
      <c r="L18" s="120">
        <v>5.5270000000000001</v>
      </c>
      <c r="T18" s="5"/>
    </row>
    <row r="19" spans="1:20" ht="15" customHeight="1">
      <c r="A19" s="4"/>
      <c r="B19" s="120" t="s">
        <v>93</v>
      </c>
      <c r="C19" s="120"/>
      <c r="D19" s="120"/>
      <c r="E19" s="120"/>
      <c r="F19" s="120"/>
      <c r="G19" s="120"/>
      <c r="H19" s="120">
        <v>6.5510000000000002</v>
      </c>
      <c r="I19" s="120">
        <v>5.4859999999999998</v>
      </c>
      <c r="J19" s="120">
        <v>5.8280000000000003</v>
      </c>
      <c r="K19" s="120">
        <v>8.0190000000000001</v>
      </c>
      <c r="L19" s="120">
        <v>9.7129999999999992</v>
      </c>
      <c r="M19" s="24"/>
      <c r="T19" s="5"/>
    </row>
    <row r="20" spans="1:20" ht="15" customHeight="1">
      <c r="A20" s="4"/>
      <c r="B20" s="120" t="s">
        <v>97</v>
      </c>
      <c r="C20" s="120"/>
      <c r="D20" s="120"/>
      <c r="E20" s="120"/>
      <c r="F20" s="120"/>
      <c r="G20" s="120"/>
      <c r="H20" s="120">
        <v>8.8040000000000003</v>
      </c>
      <c r="I20" s="120">
        <v>1.907</v>
      </c>
      <c r="J20" s="120">
        <v>4.4039999999999999</v>
      </c>
      <c r="K20" s="120">
        <v>6.2309999999999999</v>
      </c>
      <c r="L20" s="120">
        <v>9.64</v>
      </c>
      <c r="M20" s="24"/>
      <c r="T20" s="5"/>
    </row>
    <row r="21" spans="1:20" ht="15" customHeight="1">
      <c r="A21" s="4"/>
      <c r="B21" s="120" t="s">
        <v>94</v>
      </c>
      <c r="C21" s="120"/>
      <c r="D21" s="120"/>
      <c r="E21" s="120"/>
      <c r="F21" s="120"/>
      <c r="G21" s="120"/>
      <c r="H21" s="120">
        <v>0</v>
      </c>
      <c r="I21" s="120">
        <v>0</v>
      </c>
      <c r="J21" s="120">
        <v>12.919</v>
      </c>
      <c r="K21" s="120">
        <v>0</v>
      </c>
      <c r="L21" s="120">
        <v>0</v>
      </c>
      <c r="M21" s="24"/>
      <c r="T21" s="5"/>
    </row>
    <row r="22" spans="1:20" ht="15" customHeight="1">
      <c r="A22" s="4"/>
      <c r="B22" s="120" t="s">
        <v>77</v>
      </c>
      <c r="C22" s="120"/>
      <c r="D22" s="120"/>
      <c r="E22" s="120"/>
      <c r="F22" s="120"/>
      <c r="G22" s="120"/>
      <c r="H22" s="120">
        <v>2.5049999999999999</v>
      </c>
      <c r="I22" s="120">
        <v>-7.1999999999999995E-2</v>
      </c>
      <c r="J22" s="120">
        <v>-0.60399999999999998</v>
      </c>
      <c r="K22" s="120">
        <v>4.6079999999999997</v>
      </c>
      <c r="L22" s="120">
        <v>1.617</v>
      </c>
      <c r="M22" s="24"/>
      <c r="T22" s="5"/>
    </row>
    <row r="23" spans="1:20" ht="15" customHeight="1">
      <c r="A23" s="4"/>
      <c r="B23" s="118"/>
      <c r="C23" s="118"/>
      <c r="D23" s="118"/>
      <c r="E23" s="118"/>
      <c r="F23" s="118"/>
      <c r="G23" s="118"/>
      <c r="H23" s="118"/>
      <c r="I23" s="118"/>
      <c r="J23" s="118"/>
      <c r="K23" s="118"/>
      <c r="L23" s="118"/>
      <c r="M23" s="24"/>
      <c r="T23" s="5"/>
    </row>
    <row r="24" spans="1:20" ht="15" customHeight="1">
      <c r="A24" s="4"/>
      <c r="J24" s="112"/>
      <c r="K24" s="112"/>
      <c r="L24" s="112"/>
      <c r="T24" s="5"/>
    </row>
    <row r="25" spans="1:20" ht="15" customHeight="1" thickBot="1">
      <c r="A25" s="23" t="s">
        <v>113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  <legacy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XFC25"/>
  <sheetViews>
    <sheetView showGridLines="0" topLeftCell="A3" zoomScale="90" zoomScaleNormal="90" workbookViewId="0">
      <selection activeCell="L11" sqref="L11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 thickBot="1">
      <c r="A7" s="4"/>
      <c r="C7" s="11"/>
      <c r="O7" s="140" t="s">
        <v>124</v>
      </c>
      <c r="P7" s="76"/>
      <c r="Q7" s="76"/>
      <c r="R7" s="76">
        <v>2025</v>
      </c>
      <c r="S7" s="76">
        <v>2026</v>
      </c>
      <c r="T7" s="139" t="s">
        <v>138</v>
      </c>
    </row>
    <row r="8" spans="1:20" ht="15" customHeight="1" thickBot="1">
      <c r="A8" s="4"/>
      <c r="C8" s="21"/>
      <c r="O8" s="141" t="s">
        <v>139</v>
      </c>
      <c r="P8" s="121"/>
      <c r="Q8" s="121"/>
      <c r="R8" s="142">
        <f>+[2]Indicadores!$AT$119/1000</f>
        <v>26.571047639999996</v>
      </c>
      <c r="S8" s="142">
        <f>+[2]Indicadores!$AU$119/1000</f>
        <v>27.331937509999996</v>
      </c>
      <c r="T8" s="143">
        <f>+SUM([2]Indicadores!$AV$119:$BB$120)/1000</f>
        <v>49.575367349999986</v>
      </c>
    </row>
    <row r="9" spans="1:20" ht="15" customHeight="1">
      <c r="A9" s="4"/>
      <c r="C9" s="21"/>
      <c r="T9" s="5"/>
    </row>
    <row r="10" spans="1:20" ht="15" customHeight="1" thickBot="1">
      <c r="A10" s="4"/>
      <c r="B10" s="74" t="s">
        <v>49</v>
      </c>
      <c r="C10" s="73"/>
      <c r="D10" s="73"/>
      <c r="E10" s="73"/>
      <c r="F10" s="73"/>
      <c r="G10" s="75"/>
      <c r="H10" s="76">
        <v>2020</v>
      </c>
      <c r="I10" s="76">
        <v>2021</v>
      </c>
      <c r="J10" s="76">
        <v>2022</v>
      </c>
      <c r="K10" s="76">
        <v>2023</v>
      </c>
      <c r="L10" s="76">
        <v>2024</v>
      </c>
      <c r="T10" s="5"/>
    </row>
    <row r="11" spans="1:20" ht="15" customHeight="1">
      <c r="A11" s="4"/>
      <c r="B11" s="24" t="s">
        <v>54</v>
      </c>
      <c r="C11" s="24"/>
      <c r="D11" s="24"/>
      <c r="E11" s="24"/>
      <c r="F11" s="24"/>
      <c r="G11" s="24"/>
      <c r="H11" s="137">
        <v>180.87</v>
      </c>
      <c r="I11" s="137">
        <v>254.83099999999999</v>
      </c>
      <c r="J11" s="137">
        <v>264.64699999999999</v>
      </c>
      <c r="K11" s="137">
        <v>295.88499999999999</v>
      </c>
      <c r="L11" s="137">
        <f>+(SUM([2]Indicadores!$BD$49)-[2]Indicadores!$BD$51)/1000</f>
        <v>375.51600000000002</v>
      </c>
      <c r="T11" s="5"/>
    </row>
    <row r="12" spans="1:20" ht="15" customHeight="1" thickBot="1">
      <c r="A12" s="4"/>
      <c r="B12" s="73" t="s">
        <v>55</v>
      </c>
      <c r="C12" s="73"/>
      <c r="D12" s="73"/>
      <c r="E12" s="73"/>
      <c r="F12" s="73"/>
      <c r="G12" s="73"/>
      <c r="H12" s="87">
        <v>38.0152627687864</v>
      </c>
      <c r="I12" s="138">
        <v>54.267887657861664</v>
      </c>
      <c r="J12" s="177">
        <v>42.219958090729271</v>
      </c>
      <c r="K12" s="87">
        <v>42.615386112351885</v>
      </c>
      <c r="L12" s="87">
        <f>+[2]Indicadores!$BD$53</f>
        <v>39.521611918048322</v>
      </c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H18" s="134" t="s">
        <v>67</v>
      </c>
      <c r="I18" s="134" t="s">
        <v>68</v>
      </c>
      <c r="J18" s="134" t="s">
        <v>69</v>
      </c>
      <c r="K18" s="134" t="s">
        <v>70</v>
      </c>
      <c r="L18" s="134" t="s">
        <v>132</v>
      </c>
      <c r="T18" s="5"/>
    </row>
    <row r="19" spans="1:20" ht="15" customHeight="1" thickBot="1">
      <c r="A19" s="4"/>
      <c r="B19" s="74" t="s">
        <v>49</v>
      </c>
      <c r="C19" s="73"/>
      <c r="D19" s="73"/>
      <c r="E19" s="73"/>
      <c r="F19" s="73"/>
      <c r="G19" s="75"/>
      <c r="H19" s="76">
        <v>2020</v>
      </c>
      <c r="I19" s="76">
        <v>2021</v>
      </c>
      <c r="J19" s="76">
        <v>2022</v>
      </c>
      <c r="K19" s="76">
        <v>2023</v>
      </c>
      <c r="L19" s="76">
        <v>2024</v>
      </c>
      <c r="T19" s="5"/>
    </row>
    <row r="20" spans="1:20" ht="15" customHeight="1">
      <c r="A20" s="4"/>
      <c r="B20" s="78" t="s">
        <v>62</v>
      </c>
      <c r="C20" s="45"/>
      <c r="D20" s="45"/>
      <c r="E20" s="45"/>
      <c r="F20" s="45"/>
      <c r="G20" s="45"/>
      <c r="H20" s="135">
        <v>193.81100000000001</v>
      </c>
      <c r="I20" s="135">
        <v>128.886</v>
      </c>
      <c r="J20" s="135">
        <v>101.74</v>
      </c>
      <c r="K20" s="135">
        <v>101.599</v>
      </c>
      <c r="L20" s="135">
        <f>+[2]Indicadores!$BD$12/1000</f>
        <v>105.996</v>
      </c>
      <c r="T20" s="5"/>
    </row>
    <row r="21" spans="1:20" ht="15" customHeight="1">
      <c r="A21" s="4"/>
      <c r="B21" s="34" t="s">
        <v>63</v>
      </c>
      <c r="C21" s="34"/>
      <c r="D21" s="34"/>
      <c r="E21" s="34"/>
      <c r="F21" s="34"/>
      <c r="G21" s="34"/>
      <c r="H21" s="136">
        <v>260.387</v>
      </c>
      <c r="I21" s="136">
        <v>147.12799999999999</v>
      </c>
      <c r="J21" s="136">
        <v>190.29900000000001</v>
      </c>
      <c r="K21" s="136">
        <v>232.53899999999999</v>
      </c>
      <c r="L21" s="136">
        <f>+[2]Indicadores!$BD$13/1000</f>
        <v>241.33500000000001</v>
      </c>
      <c r="T21" s="5"/>
    </row>
    <row r="22" spans="1:20" ht="15" customHeight="1">
      <c r="A22" s="4"/>
      <c r="B22" s="34" t="s">
        <v>64</v>
      </c>
      <c r="C22" s="34"/>
      <c r="D22" s="34"/>
      <c r="E22" s="34"/>
      <c r="F22" s="34"/>
      <c r="G22" s="34"/>
      <c r="H22" s="136">
        <v>-66.575999999999993</v>
      </c>
      <c r="I22" s="136">
        <v>-18.24199999999999</v>
      </c>
      <c r="J22" s="136">
        <v>-88.559000000000012</v>
      </c>
      <c r="K22" s="136">
        <v>-130.94</v>
      </c>
      <c r="L22" s="136">
        <f>+L20-L21</f>
        <v>-135.339</v>
      </c>
      <c r="T22" s="5"/>
    </row>
    <row r="23" spans="1:20" ht="15" customHeight="1">
      <c r="A23" s="4"/>
      <c r="B23" s="34" t="s">
        <v>65</v>
      </c>
      <c r="C23" s="34"/>
      <c r="D23" s="34"/>
      <c r="E23" s="34"/>
      <c r="F23" s="34"/>
      <c r="G23" s="34"/>
      <c r="H23" s="136">
        <v>162.51887835999977</v>
      </c>
      <c r="I23" s="136">
        <v>161.86746311999997</v>
      </c>
      <c r="J23" s="136">
        <v>244.89196191204712</v>
      </c>
      <c r="K23" s="136">
        <v>265.04687479000029</v>
      </c>
      <c r="L23" s="136">
        <f ca="1">+'[3]Consolidated Results'!L19</f>
        <v>395.0647919499994</v>
      </c>
      <c r="T23" s="5"/>
    </row>
    <row r="24" spans="1:20" ht="15" customHeight="1" thickBot="1">
      <c r="A24" s="4"/>
      <c r="B24" s="79" t="s">
        <v>66</v>
      </c>
      <c r="C24" s="79"/>
      <c r="D24" s="79"/>
      <c r="E24" s="79"/>
      <c r="F24" s="79"/>
      <c r="G24" s="79"/>
      <c r="H24" s="80" t="s">
        <v>137</v>
      </c>
      <c r="I24" s="80" t="s">
        <v>137</v>
      </c>
      <c r="J24" s="80" t="s">
        <v>137</v>
      </c>
      <c r="K24" s="80" t="s">
        <v>137</v>
      </c>
      <c r="L24" s="80" t="s">
        <v>137</v>
      </c>
      <c r="T24" s="5"/>
    </row>
    <row r="25" spans="1:20" ht="15" customHeight="1" thickBot="1">
      <c r="A25" s="23" t="s">
        <v>114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  <legacy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XFC25"/>
  <sheetViews>
    <sheetView showGridLines="0" topLeftCell="A4" zoomScale="90" zoomScaleNormal="90" workbookViewId="0">
      <selection activeCell="H7" sqref="H7:L13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T6" s="5"/>
    </row>
    <row r="7" spans="1:20" ht="15" customHeight="1" thickBot="1">
      <c r="A7" s="4"/>
      <c r="B7" s="74" t="s">
        <v>49</v>
      </c>
      <c r="C7" s="73"/>
      <c r="D7" s="73"/>
      <c r="E7" s="73"/>
      <c r="F7" s="73"/>
      <c r="G7" s="75"/>
      <c r="H7" s="76">
        <v>2020</v>
      </c>
      <c r="I7" s="76">
        <v>2021</v>
      </c>
      <c r="J7" s="76">
        <v>2022</v>
      </c>
      <c r="K7" s="76">
        <v>2023</v>
      </c>
      <c r="L7" s="76">
        <v>2024</v>
      </c>
      <c r="T7" s="5"/>
    </row>
    <row r="8" spans="1:20" ht="15" customHeight="1">
      <c r="A8" s="4"/>
      <c r="B8" s="34" t="s">
        <v>72</v>
      </c>
      <c r="C8" s="91"/>
      <c r="D8" s="91"/>
      <c r="E8" s="91"/>
      <c r="F8" s="91"/>
      <c r="G8" s="91"/>
      <c r="H8" s="77">
        <v>9.0359999999999996</v>
      </c>
      <c r="I8" s="77">
        <v>10.087</v>
      </c>
      <c r="J8" s="77">
        <v>11.89612262</v>
      </c>
      <c r="K8" s="64">
        <v>13.866576569999998</v>
      </c>
      <c r="L8" s="64">
        <f>+SUM([2]Indicadores!$BA$39:$BD$39)/1000</f>
        <v>18.620999999999999</v>
      </c>
      <c r="M8" s="24"/>
      <c r="T8" s="5"/>
    </row>
    <row r="9" spans="1:20" ht="15" customHeight="1">
      <c r="A9" s="4"/>
      <c r="B9" s="34" t="s">
        <v>73</v>
      </c>
      <c r="C9" s="34"/>
      <c r="D9" s="34"/>
      <c r="E9" s="34"/>
      <c r="F9" s="34"/>
      <c r="G9" s="34"/>
      <c r="H9" s="64">
        <v>1.093</v>
      </c>
      <c r="I9" s="64">
        <v>13.233000000000001</v>
      </c>
      <c r="J9" s="64">
        <v>23.802945319999989</v>
      </c>
      <c r="K9" s="64">
        <v>9.7302694400000007</v>
      </c>
      <c r="L9" s="64">
        <f>+SUM([2]Indicadores!$BA$40:$BD$40)/1000</f>
        <v>21.879000000000001</v>
      </c>
      <c r="M9" s="24"/>
      <c r="T9" s="5"/>
    </row>
    <row r="10" spans="1:20" ht="15" customHeight="1">
      <c r="A10" s="4"/>
      <c r="B10" s="34" t="s">
        <v>74</v>
      </c>
      <c r="C10" s="34"/>
      <c r="D10" s="34"/>
      <c r="E10" s="34"/>
      <c r="F10" s="34"/>
      <c r="G10" s="34"/>
      <c r="H10" s="64">
        <v>5.2560000000000002</v>
      </c>
      <c r="I10" s="64">
        <v>6.282</v>
      </c>
      <c r="J10" s="64">
        <v>9.2788277800000021</v>
      </c>
      <c r="K10" s="64">
        <v>9.5550143599999995</v>
      </c>
      <c r="L10" s="64">
        <f>+SUM([2]Indicadores!$BA$41:$BD$41)/1000</f>
        <v>17.074999999999999</v>
      </c>
      <c r="M10" s="24"/>
      <c r="T10" s="5"/>
    </row>
    <row r="11" spans="1:20" ht="15" customHeight="1">
      <c r="A11" s="4"/>
      <c r="B11" s="34" t="s">
        <v>77</v>
      </c>
      <c r="C11" s="34"/>
      <c r="D11" s="34"/>
      <c r="E11" s="34"/>
      <c r="F11" s="34"/>
      <c r="G11" s="34"/>
      <c r="H11" s="148">
        <v>4.4000000000000004</v>
      </c>
      <c r="I11" s="148">
        <f>[4]CAPEX!J11</f>
        <v>0</v>
      </c>
      <c r="J11" s="148">
        <f>[4]CAPEX!K11</f>
        <v>0</v>
      </c>
      <c r="K11" s="64">
        <f>[4]CAPEX!L11</f>
        <v>0</v>
      </c>
      <c r="L11" s="64">
        <f>[4]CAPEX!M11</f>
        <v>0</v>
      </c>
      <c r="M11" s="24"/>
      <c r="T11" s="5"/>
    </row>
    <row r="12" spans="1:20" ht="15" customHeight="1">
      <c r="A12" s="4"/>
      <c r="B12" s="92" t="s">
        <v>75</v>
      </c>
      <c r="C12" s="92"/>
      <c r="D12" s="92"/>
      <c r="E12" s="92"/>
      <c r="F12" s="92"/>
      <c r="G12" s="92"/>
      <c r="H12" s="93">
        <v>19.771000000000001</v>
      </c>
      <c r="I12" s="93">
        <v>29.602</v>
      </c>
      <c r="J12" s="93">
        <v>44.977895719999992</v>
      </c>
      <c r="K12" s="93">
        <v>33.151860370000001</v>
      </c>
      <c r="L12" s="93">
        <f>+SUM(L8:L11)</f>
        <v>57.575000000000003</v>
      </c>
      <c r="M12" s="24"/>
      <c r="T12" s="5"/>
    </row>
    <row r="13" spans="1:20" ht="15" customHeight="1" thickBot="1">
      <c r="A13" s="4"/>
      <c r="B13" s="79" t="s">
        <v>76</v>
      </c>
      <c r="C13" s="73"/>
      <c r="D13" s="73"/>
      <c r="E13" s="73"/>
      <c r="F13" s="73"/>
      <c r="G13" s="73"/>
      <c r="H13" s="90">
        <v>1.580714258273782E-2</v>
      </c>
      <c r="I13" s="90">
        <v>2.3601537610027961E-2</v>
      </c>
      <c r="J13" s="90">
        <v>2.6584553366722774E-2</v>
      </c>
      <c r="K13" s="90">
        <v>1.6816069373282217E-2</v>
      </c>
      <c r="L13" s="90">
        <f ca="1">+L12/'[3]Consolidated Results'!L7</f>
        <v>2.2270799698397948E-2</v>
      </c>
      <c r="M13" s="24"/>
      <c r="T13" s="5"/>
    </row>
    <row r="14" spans="1:20" ht="15" customHeight="1">
      <c r="A14" s="4"/>
      <c r="M14" s="24"/>
      <c r="T14" s="5"/>
    </row>
    <row r="15" spans="1:20" ht="15" customHeight="1">
      <c r="A15" s="4"/>
      <c r="M15" s="24"/>
      <c r="T15" s="5"/>
    </row>
    <row r="16" spans="1:20" ht="15" customHeight="1">
      <c r="A16" s="4"/>
      <c r="M16" s="24"/>
      <c r="T16" s="5"/>
    </row>
    <row r="17" spans="1:20" ht="15" customHeight="1">
      <c r="A17" s="4"/>
      <c r="M17" s="24"/>
      <c r="T17" s="5"/>
    </row>
    <row r="18" spans="1:20" ht="15" customHeight="1">
      <c r="A18" s="4"/>
      <c r="M18" s="24"/>
      <c r="T18" s="5"/>
    </row>
    <row r="19" spans="1:20" ht="15" customHeight="1">
      <c r="A19" s="4"/>
      <c r="M19" s="24"/>
      <c r="T19" s="5"/>
    </row>
    <row r="20" spans="1:20" ht="15" customHeight="1">
      <c r="A20" s="4"/>
      <c r="M20" s="24"/>
      <c r="T20" s="5"/>
    </row>
    <row r="21" spans="1:20" ht="15" customHeight="1">
      <c r="A21" s="4"/>
      <c r="M21" s="24"/>
      <c r="T21" s="5"/>
    </row>
    <row r="22" spans="1:20" ht="15" customHeight="1">
      <c r="A22" s="4"/>
      <c r="M22" s="24"/>
      <c r="T22" s="5"/>
    </row>
    <row r="23" spans="1:20" ht="15" customHeight="1">
      <c r="A23" s="4"/>
      <c r="M23" s="24"/>
      <c r="T23" s="5"/>
    </row>
    <row r="24" spans="1:20" ht="15" customHeight="1">
      <c r="A24" s="4"/>
      <c r="T24" s="5"/>
    </row>
    <row r="25" spans="1:20" ht="15" customHeight="1" thickBot="1">
      <c r="A25" s="23" t="s">
        <v>115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  <legacy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XFC25"/>
  <sheetViews>
    <sheetView showGridLines="0" zoomScale="90" zoomScaleNormal="90" workbookViewId="0">
      <selection activeCell="L16" sqref="H11:L16"/>
    </sheetView>
  </sheetViews>
  <sheetFormatPr defaultColWidth="0" defaultRowHeight="15" customHeight="1" zeroHeight="1"/>
  <cols>
    <col min="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15" customHeight="1">
      <c r="A6" s="4"/>
      <c r="C6" s="11"/>
      <c r="T6" s="5"/>
    </row>
    <row r="7" spans="1:20" ht="15" customHeight="1">
      <c r="A7" s="4"/>
      <c r="C7" s="11"/>
      <c r="T7" s="5"/>
    </row>
    <row r="8" spans="1:20" ht="15" customHeight="1">
      <c r="A8" s="4"/>
      <c r="C8" s="21"/>
      <c r="T8" s="5"/>
    </row>
    <row r="9" spans="1:20" ht="15" customHeight="1">
      <c r="A9" s="4"/>
      <c r="C9" s="21"/>
      <c r="T9" s="5"/>
    </row>
    <row r="10" spans="1:20" ht="15" customHeight="1">
      <c r="A10" s="4"/>
      <c r="C10" s="21"/>
      <c r="T10" s="5"/>
    </row>
    <row r="11" spans="1:20" ht="15" customHeight="1" thickBot="1">
      <c r="A11" s="4"/>
      <c r="B11" s="67" t="s">
        <v>49</v>
      </c>
      <c r="C11" s="24"/>
      <c r="D11" s="24"/>
      <c r="E11" s="24"/>
      <c r="F11" s="24"/>
      <c r="H11" s="25">
        <v>2020</v>
      </c>
      <c r="I11" s="25">
        <v>2021</v>
      </c>
      <c r="J11" s="25">
        <v>2022</v>
      </c>
      <c r="K11" s="25">
        <v>2023</v>
      </c>
      <c r="L11" s="25">
        <v>2024</v>
      </c>
      <c r="T11" s="5"/>
    </row>
    <row r="12" spans="1:20" ht="15" customHeight="1">
      <c r="A12" s="4"/>
      <c r="B12" s="66" t="s">
        <v>46</v>
      </c>
      <c r="C12" s="28"/>
      <c r="D12" s="28"/>
      <c r="E12" s="28"/>
      <c r="F12" s="28"/>
      <c r="G12" s="28"/>
      <c r="H12" s="144">
        <f>'Res Consolidados'!H22</f>
        <v>124.54354342999976</v>
      </c>
      <c r="I12" s="144">
        <f>'Res Consolidados'!I22</f>
        <v>126.41991727999996</v>
      </c>
      <c r="J12" s="144">
        <f>'Res Consolidados'!J22</f>
        <v>205.92552580204719</v>
      </c>
      <c r="K12" s="144">
        <f>'Res Consolidados'!K22</f>
        <v>222.47313173000026</v>
      </c>
      <c r="L12" s="144">
        <f ca="1">+'Res Consolidados'!L22</f>
        <v>355.16110505999939</v>
      </c>
      <c r="T12" s="5"/>
    </row>
    <row r="13" spans="1:20" ht="15" customHeight="1">
      <c r="A13" s="4"/>
      <c r="B13" s="34" t="s">
        <v>78</v>
      </c>
      <c r="C13" s="34"/>
      <c r="D13" s="34"/>
      <c r="E13" s="34"/>
      <c r="F13" s="34"/>
      <c r="G13" s="34"/>
      <c r="H13" s="136">
        <f>-[3]CAPEX!H12</f>
        <v>-19.771000000000001</v>
      </c>
      <c r="I13" s="136">
        <f>-[3]CAPEX!I12</f>
        <v>-29.602</v>
      </c>
      <c r="J13" s="136">
        <f>-[3]CAPEX!J12</f>
        <v>-44.977895719999992</v>
      </c>
      <c r="K13" s="136">
        <f>-[3]CAPEX!K12</f>
        <v>-33.151860370000001</v>
      </c>
      <c r="L13" s="136">
        <f>-[3]CAPEX!L12</f>
        <v>-57.575000000000003</v>
      </c>
      <c r="T13" s="5"/>
    </row>
    <row r="14" spans="1:20" ht="15" customHeight="1">
      <c r="A14" s="4"/>
      <c r="B14" s="34" t="s">
        <v>79</v>
      </c>
      <c r="C14" s="34"/>
      <c r="D14" s="34"/>
      <c r="E14" s="34"/>
      <c r="F14" s="34"/>
      <c r="G14" s="34"/>
      <c r="H14" s="136">
        <f>+'IR e CSLL'!H10</f>
        <v>-23.542680000000001</v>
      </c>
      <c r="I14" s="136">
        <f>+'IR e CSLL'!I10</f>
        <v>-16.601239999999997</v>
      </c>
      <c r="J14" s="136">
        <f>+'IR e CSLL'!J10</f>
        <v>-48.231300000000012</v>
      </c>
      <c r="K14" s="136">
        <f>+'IR e CSLL'!K10</f>
        <v>-53.565180000000019</v>
      </c>
      <c r="L14" s="136">
        <f>+'IR e CSLL'!L10</f>
        <v>-106.85612</v>
      </c>
      <c r="T14" s="5"/>
    </row>
    <row r="15" spans="1:20" ht="15" customHeight="1">
      <c r="A15" s="4"/>
      <c r="B15" s="34" t="s">
        <v>80</v>
      </c>
      <c r="C15" s="34"/>
      <c r="D15" s="34"/>
      <c r="E15" s="34"/>
      <c r="F15" s="34"/>
      <c r="G15" s="34"/>
      <c r="H15" s="136">
        <v>43.991</v>
      </c>
      <c r="I15" s="136">
        <f>-'Balanço Patrimonial'!I11+'Balanço Patrimonial'!H11</f>
        <v>-73.960999999999984</v>
      </c>
      <c r="J15" s="136">
        <f>-'Balanço Patrimonial'!J11+'Balanço Patrimonial'!I11</f>
        <v>-9.8160000000000025</v>
      </c>
      <c r="K15" s="136">
        <f>-'Balanço Patrimonial'!K11+'Balanço Patrimonial'!J11</f>
        <v>-31.238</v>
      </c>
      <c r="L15" s="136">
        <f>-'Balanço Patrimonial'!L11+'Balanço Patrimonial'!K11</f>
        <v>-79.631000000000029</v>
      </c>
      <c r="T15" s="5"/>
    </row>
    <row r="16" spans="1:20" ht="15" customHeight="1" thickBot="1">
      <c r="A16" s="4"/>
      <c r="B16" s="63" t="s">
        <v>81</v>
      </c>
      <c r="C16" s="63"/>
      <c r="D16" s="63"/>
      <c r="E16" s="63"/>
      <c r="F16" s="63"/>
      <c r="G16" s="63"/>
      <c r="H16" s="145">
        <f t="shared" ref="H16:L16" si="0">SUM(H12:H15)</f>
        <v>125.22086342999975</v>
      </c>
      <c r="I16" s="145">
        <f t="shared" si="0"/>
        <v>6.2556772799999862</v>
      </c>
      <c r="J16" s="145">
        <f t="shared" si="0"/>
        <v>102.90033008204719</v>
      </c>
      <c r="K16" s="145">
        <f t="shared" si="0"/>
        <v>104.51809136000023</v>
      </c>
      <c r="L16" s="145">
        <f t="shared" ca="1" si="0"/>
        <v>111.09898505999936</v>
      </c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T22" s="5"/>
    </row>
    <row r="23" spans="1:20" ht="15" customHeight="1">
      <c r="A23" s="4"/>
      <c r="T23" s="5"/>
    </row>
    <row r="24" spans="1:20" ht="15" customHeight="1">
      <c r="A24" s="4"/>
      <c r="T24" s="5"/>
    </row>
    <row r="25" spans="1:20" ht="15" customHeight="1" thickBot="1">
      <c r="A25" s="23" t="s">
        <v>116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XFC25"/>
  <sheetViews>
    <sheetView showGridLines="0" topLeftCell="A3" zoomScale="90" zoomScaleNormal="90" workbookViewId="0">
      <selection activeCell="F19" sqref="F19"/>
    </sheetView>
  </sheetViews>
  <sheetFormatPr defaultColWidth="0" defaultRowHeight="0" customHeight="1" zeroHeight="1"/>
  <cols>
    <col min="1" max="5" width="9.140625" customWidth="1"/>
    <col min="6" max="6" width="10.140625" customWidth="1"/>
    <col min="7" max="7" width="12.85546875" customWidth="1"/>
    <col min="8" max="8" width="12.28515625" customWidth="1"/>
    <col min="9" max="9" width="9.140625" customWidth="1"/>
    <col min="10" max="10" width="10.7109375" customWidth="1"/>
    <col min="11" max="20" width="9.140625" customWidth="1"/>
    <col min="21" max="16383" width="9.140625" hidden="1"/>
    <col min="16384" max="16384" width="0.5703125" customWidth="1"/>
  </cols>
  <sheetData>
    <row r="1" spans="1:20" ht="15" customHeight="1" thickTop="1">
      <c r="A1" s="1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A2" s="4"/>
      <c r="T2" s="5"/>
    </row>
    <row r="3" spans="1:20" ht="15" customHeight="1">
      <c r="A3" s="4"/>
      <c r="T3" s="5"/>
    </row>
    <row r="4" spans="1:20" ht="15" customHeight="1">
      <c r="A4" s="4"/>
      <c r="T4" s="5"/>
    </row>
    <row r="5" spans="1:20" ht="15" customHeight="1">
      <c r="A5" s="4"/>
      <c r="T5" s="5"/>
    </row>
    <row r="6" spans="1:20" ht="29.1" customHeight="1" thickBot="1">
      <c r="A6" s="4"/>
      <c r="B6" s="73"/>
      <c r="C6" s="97" t="s">
        <v>82</v>
      </c>
      <c r="D6" s="97" t="s">
        <v>86</v>
      </c>
      <c r="E6" s="97" t="s">
        <v>83</v>
      </c>
      <c r="F6" s="97" t="s">
        <v>84</v>
      </c>
      <c r="G6" s="97" t="s">
        <v>125</v>
      </c>
      <c r="H6" s="97" t="s">
        <v>85</v>
      </c>
      <c r="I6" s="97" t="s">
        <v>126</v>
      </c>
      <c r="T6" s="5"/>
    </row>
    <row r="7" spans="1:20" ht="15" customHeight="1">
      <c r="A7" s="4"/>
      <c r="B7" s="35">
        <v>2024</v>
      </c>
      <c r="C7" s="94">
        <f>+[2]Dividendos!$G$6</f>
        <v>2.58</v>
      </c>
      <c r="D7" s="109">
        <f>+SUM([2]Dividendos!$J$7,[2]Dividendos!$J$9,[2]Dividendos!$J$11)/[2]Dividendos!$J$6</f>
        <v>0.82945736434108508</v>
      </c>
      <c r="E7" s="109">
        <f>1-D7</f>
        <v>0.17054263565891492</v>
      </c>
      <c r="F7" s="110">
        <f>+SUM([2]Dividendos!$J$6)</f>
        <v>170119.45176000003</v>
      </c>
      <c r="G7" s="109">
        <f>+[2]Dividendos!$M$6</f>
        <v>0.66368312413362951</v>
      </c>
      <c r="H7" s="111">
        <f>+[2]Dividendos!$L$6</f>
        <v>9.6711141442911819E-2</v>
      </c>
      <c r="I7" s="109" t="s">
        <v>140</v>
      </c>
      <c r="T7" s="5"/>
    </row>
    <row r="8" spans="1:20" ht="15" customHeight="1">
      <c r="A8" s="4"/>
      <c r="B8" s="35">
        <v>2023</v>
      </c>
      <c r="C8" s="94">
        <v>1.8281938420447037</v>
      </c>
      <c r="D8" s="68">
        <v>0.75</v>
      </c>
      <c r="E8" s="68">
        <v>0.25</v>
      </c>
      <c r="F8" s="95">
        <v>120666.12276</v>
      </c>
      <c r="G8" s="68">
        <v>0.82059518303396994</v>
      </c>
      <c r="H8" s="96">
        <v>7.463775370321013E-2</v>
      </c>
      <c r="I8" s="68">
        <v>0.7</v>
      </c>
      <c r="M8" s="24"/>
      <c r="T8" s="5"/>
    </row>
    <row r="9" spans="1:20" ht="15" customHeight="1">
      <c r="A9" s="4"/>
      <c r="B9" s="35">
        <v>2022</v>
      </c>
      <c r="C9" s="94">
        <v>1.38</v>
      </c>
      <c r="D9" s="68">
        <v>0.75</v>
      </c>
      <c r="E9" s="68">
        <v>0.25</v>
      </c>
      <c r="F9" s="95">
        <v>91186</v>
      </c>
      <c r="G9" s="68">
        <v>0.7</v>
      </c>
      <c r="H9" s="96">
        <v>8.2900000000000001E-2</v>
      </c>
      <c r="I9" s="68">
        <v>0.6</v>
      </c>
      <c r="M9" s="24"/>
      <c r="T9" s="5"/>
    </row>
    <row r="10" spans="1:20" ht="15" customHeight="1">
      <c r="A10" s="4"/>
      <c r="B10" s="35">
        <v>2021</v>
      </c>
      <c r="C10" s="94">
        <v>0.93</v>
      </c>
      <c r="D10" s="68">
        <v>0.75</v>
      </c>
      <c r="E10" s="68">
        <v>0.25</v>
      </c>
      <c r="F10" s="95">
        <v>61613</v>
      </c>
      <c r="G10" s="68">
        <v>0.71</v>
      </c>
      <c r="H10" s="96">
        <v>5.8000000000000003E-2</v>
      </c>
      <c r="I10" s="149">
        <v>0.6</v>
      </c>
      <c r="M10" s="24"/>
      <c r="T10" s="5"/>
    </row>
    <row r="11" spans="1:20" ht="15" customHeight="1">
      <c r="A11" s="4"/>
      <c r="B11" s="35">
        <v>2020</v>
      </c>
      <c r="C11" s="94">
        <v>0.53</v>
      </c>
      <c r="D11" s="68">
        <v>0.75</v>
      </c>
      <c r="E11" s="68">
        <v>0.25</v>
      </c>
      <c r="F11" s="95">
        <v>34972</v>
      </c>
      <c r="G11" s="68">
        <v>0.63</v>
      </c>
      <c r="H11" s="96">
        <v>2.3900000000000001E-2</v>
      </c>
      <c r="I11" s="149">
        <v>0.5</v>
      </c>
      <c r="J11" s="150"/>
      <c r="K11" s="150"/>
      <c r="L11" s="150"/>
      <c r="M11" s="24"/>
      <c r="T11" s="5"/>
    </row>
    <row r="12" spans="1:20" ht="15" customHeight="1">
      <c r="A12" s="4"/>
      <c r="B12" s="146" t="s">
        <v>127</v>
      </c>
      <c r="M12" s="24"/>
      <c r="T12" s="5"/>
    </row>
    <row r="13" spans="1:20" ht="15" customHeight="1">
      <c r="A13" s="4"/>
      <c r="B13" s="146" t="s">
        <v>128</v>
      </c>
      <c r="M13" s="24"/>
      <c r="T13" s="5"/>
    </row>
    <row r="14" spans="1:20" ht="15" customHeight="1">
      <c r="A14" s="4"/>
      <c r="B14" s="146" t="s">
        <v>133</v>
      </c>
      <c r="M14" s="24"/>
      <c r="T14" s="5"/>
    </row>
    <row r="15" spans="1:20" ht="15" customHeight="1">
      <c r="A15" s="4"/>
      <c r="T15" s="5"/>
    </row>
    <row r="16" spans="1:20" ht="15" customHeight="1">
      <c r="A16" s="4"/>
      <c r="M16" s="24"/>
      <c r="T16" s="5"/>
    </row>
    <row r="17" spans="1:20" ht="15" customHeight="1">
      <c r="A17" s="4"/>
      <c r="M17" s="24"/>
      <c r="T17" s="5"/>
    </row>
    <row r="18" spans="1:20" ht="15" customHeight="1">
      <c r="A18" s="4"/>
      <c r="M18" s="24"/>
      <c r="T18" s="5"/>
    </row>
    <row r="19" spans="1:20" ht="15" customHeight="1">
      <c r="A19" s="4"/>
      <c r="M19" s="24"/>
      <c r="T19" s="5"/>
    </row>
    <row r="20" spans="1:20" ht="15" customHeight="1">
      <c r="A20" s="4"/>
      <c r="M20" s="24"/>
      <c r="T20" s="5"/>
    </row>
    <row r="21" spans="1:20" ht="15" customHeight="1">
      <c r="A21" s="4"/>
      <c r="M21" s="24"/>
      <c r="T21" s="5"/>
    </row>
    <row r="22" spans="1:20" ht="15" customHeight="1">
      <c r="A22" s="4"/>
      <c r="M22" s="24"/>
      <c r="T22" s="5"/>
    </row>
    <row r="23" spans="1:20" ht="15" customHeight="1">
      <c r="A23" s="4"/>
      <c r="B23" s="57"/>
      <c r="C23" s="24"/>
      <c r="D23" s="24"/>
      <c r="E23" s="24"/>
      <c r="F23" s="24"/>
      <c r="G23" s="54"/>
      <c r="H23" s="44"/>
      <c r="I23" s="44"/>
      <c r="J23" s="44"/>
      <c r="K23" s="44"/>
      <c r="L23" s="44"/>
      <c r="M23" s="24"/>
      <c r="T23" s="5"/>
    </row>
    <row r="24" spans="1:20" ht="15" customHeight="1">
      <c r="A24" s="4"/>
      <c r="T24" s="5"/>
    </row>
    <row r="25" spans="1:20" ht="15" customHeight="1" thickBot="1">
      <c r="A25" s="23" t="s">
        <v>117</v>
      </c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/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XFC25"/>
  <sheetViews>
    <sheetView showGridLines="0" zoomScale="90" zoomScaleNormal="90" workbookViewId="0">
      <selection activeCell="N12" sqref="N12"/>
    </sheetView>
  </sheetViews>
  <sheetFormatPr defaultColWidth="0" defaultRowHeight="0" customHeight="1" zeroHeight="1"/>
  <cols>
    <col min="1" max="6" width="9.140625" customWidth="1"/>
    <col min="7" max="7" width="12.85546875" customWidth="1"/>
    <col min="8" max="8" width="12.28515625" customWidth="1"/>
    <col min="9" max="9" width="9.140625" customWidth="1"/>
    <col min="10" max="10" width="10.7109375" customWidth="1"/>
    <col min="11" max="20" width="9.140625" customWidth="1"/>
    <col min="21" max="16383" width="9.140625" hidden="1"/>
    <col min="16384" max="16384" width="0.5703125" customWidth="1"/>
  </cols>
  <sheetData>
    <row r="1" spans="1:20" ht="15" customHeight="1" thickTop="1"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3"/>
    </row>
    <row r="2" spans="1:20" ht="15" customHeight="1">
      <c r="T2" s="5"/>
    </row>
    <row r="3" spans="1:20" ht="15" customHeight="1">
      <c r="T3" s="5"/>
    </row>
    <row r="4" spans="1:20" ht="15" customHeight="1">
      <c r="T4" s="5"/>
    </row>
    <row r="5" spans="1:20" ht="15" customHeight="1">
      <c r="T5" s="5"/>
    </row>
    <row r="6" spans="1:20" ht="15" customHeight="1">
      <c r="T6" s="5"/>
    </row>
    <row r="7" spans="1:20" ht="15" customHeight="1">
      <c r="T7" s="5"/>
    </row>
    <row r="8" spans="1:20" ht="15" customHeight="1">
      <c r="T8" s="5"/>
    </row>
    <row r="9" spans="1:20" ht="15" customHeight="1">
      <c r="A9" s="4"/>
      <c r="T9" s="5"/>
    </row>
    <row r="10" spans="1:20" ht="15" customHeight="1">
      <c r="A10" s="4"/>
      <c r="T10" s="5"/>
    </row>
    <row r="11" spans="1:20" ht="15" customHeight="1">
      <c r="A11" s="4"/>
      <c r="T11" s="5"/>
    </row>
    <row r="12" spans="1:20" ht="15" customHeight="1">
      <c r="A12" s="4"/>
      <c r="T12" s="5"/>
    </row>
    <row r="13" spans="1:20" ht="15" customHeight="1">
      <c r="A13" s="4"/>
      <c r="T13" s="5"/>
    </row>
    <row r="14" spans="1:20" ht="15" customHeight="1">
      <c r="A14" s="4"/>
      <c r="T14" s="5"/>
    </row>
    <row r="15" spans="1:20" ht="15" customHeight="1">
      <c r="A15" s="4"/>
      <c r="T15" s="5"/>
    </row>
    <row r="16" spans="1:20" ht="15" customHeight="1">
      <c r="A16" s="4"/>
      <c r="T16" s="5"/>
    </row>
    <row r="17" spans="1:20" ht="15" customHeight="1">
      <c r="A17" s="4"/>
      <c r="T17" s="5"/>
    </row>
    <row r="18" spans="1:20" ht="15" customHeight="1">
      <c r="A18" s="4"/>
      <c r="T18" s="5"/>
    </row>
    <row r="19" spans="1:20" ht="15" customHeight="1">
      <c r="A19" s="4"/>
      <c r="T19" s="5"/>
    </row>
    <row r="20" spans="1:20" ht="15" customHeight="1">
      <c r="A20" s="4"/>
      <c r="T20" s="5"/>
    </row>
    <row r="21" spans="1:20" ht="15" customHeight="1">
      <c r="A21" s="4"/>
      <c r="T21" s="5"/>
    </row>
    <row r="22" spans="1:20" ht="15" customHeight="1">
      <c r="A22" s="4"/>
      <c r="M22" s="24"/>
      <c r="T22" s="5"/>
    </row>
    <row r="23" spans="1:20" ht="15" customHeight="1">
      <c r="A23" s="4"/>
      <c r="B23" s="57"/>
      <c r="C23" s="24"/>
      <c r="D23" s="24"/>
      <c r="E23" s="24"/>
      <c r="F23" s="24"/>
      <c r="G23" s="54"/>
      <c r="H23" s="44"/>
      <c r="I23" s="44"/>
      <c r="J23" s="44"/>
      <c r="K23" s="44"/>
      <c r="L23" s="44"/>
      <c r="M23" s="24"/>
      <c r="T23" s="5"/>
    </row>
    <row r="24" spans="1:20" ht="15" customHeight="1">
      <c r="A24" s="4"/>
      <c r="T24" s="5"/>
    </row>
    <row r="25" spans="1:20" ht="15" customHeight="1" thickBot="1">
      <c r="A25" s="23"/>
      <c r="B25" s="7"/>
      <c r="C25" s="7"/>
      <c r="D25" s="7"/>
      <c r="E25" s="7"/>
      <c r="F25" s="7"/>
      <c r="G25" s="7"/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8" t="s">
        <v>118</v>
      </c>
    </row>
  </sheetData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isl xmlns:xsd="http://www.w3.org/2001/XMLSchema" xmlns:xsi="http://www.w3.org/2001/XMLSchema-instance" xmlns="http://www.boldonjames.com/2008/01/sie/internal/label" sislVersion="0" policy="48e0a426-e65c-4014-aea4-d04bb802e535" origin="userSelected"/>
</file>

<file path=customXml/itemProps1.xml><?xml version="1.0" encoding="utf-8"?>
<ds:datastoreItem xmlns:ds="http://schemas.openxmlformats.org/officeDocument/2006/customXml" ds:itemID="{7952D701-B5C1-44FF-92A8-7841B05D425A}">
  <ds:schemaRefs>
    <ds:schemaRef ds:uri="http://www.w3.org/2001/XMLSchema"/>
    <ds:schemaRef ds:uri="http://www.boldonjames.com/2008/01/sie/internal/label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22</vt:i4>
      </vt:variant>
    </vt:vector>
  </HeadingPairs>
  <TitlesOfParts>
    <vt:vector size="22" baseType="lpstr">
      <vt:lpstr>Capa</vt:lpstr>
      <vt:lpstr>Disclaimer</vt:lpstr>
      <vt:lpstr>Sumário</vt:lpstr>
      <vt:lpstr>Sobre a Tegma</vt:lpstr>
      <vt:lpstr>Res Auto</vt:lpstr>
      <vt:lpstr>Vol. veículos transportados</vt:lpstr>
      <vt:lpstr>Distância média</vt:lpstr>
      <vt:lpstr>Ticket médio</vt:lpstr>
      <vt:lpstr>Custos e despesas - DLV</vt:lpstr>
      <vt:lpstr>Resumo financeiro - DLV</vt:lpstr>
      <vt:lpstr>Res Log. Int.</vt:lpstr>
      <vt:lpstr>Custos e Despesas - DLI</vt:lpstr>
      <vt:lpstr>Resumo financeiro - DLI</vt:lpstr>
      <vt:lpstr>Res Consolidados</vt:lpstr>
      <vt:lpstr>Resultado financeiro</vt:lpstr>
      <vt:lpstr>Equivalência patrimonial</vt:lpstr>
      <vt:lpstr>IR e CSLL</vt:lpstr>
      <vt:lpstr>Balanço Patrimonial</vt:lpstr>
      <vt:lpstr>CAPEX</vt:lpstr>
      <vt:lpstr>Free cash flow to firm</vt:lpstr>
      <vt:lpstr>Dividendos e JSCP</vt:lpstr>
      <vt:lpstr>Contatos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Ian Nunes Costa e Costa</dc:creator>
  <cp:keywords>b-class-0</cp:keywords>
  <cp:lastModifiedBy>Ian Nunes Costa e Costa</cp:lastModifiedBy>
  <cp:lastPrinted>2023-01-09T20:16:48Z</cp:lastPrinted>
  <dcterms:created xsi:type="dcterms:W3CDTF">2023-01-09T18:12:05Z</dcterms:created>
  <dcterms:modified xsi:type="dcterms:W3CDTF">2025-03-25T14:34:45Z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ocIndexRef">
    <vt:lpwstr>9350456f-ecf6-46e4-aaa6-5626eb22a630</vt:lpwstr>
  </property>
  <property fmtid="{D5CDD505-2E9C-101B-9397-08002B2CF9AE}" pid="3" name="bjDocumentSecurityLabel">
    <vt:lpwstr>Documento Não Classificado</vt:lpwstr>
  </property>
  <property fmtid="{D5CDD505-2E9C-101B-9397-08002B2CF9AE}" pid="4" name="bjSaver">
    <vt:lpwstr>nWkPXJCnkPVii/vL807qEvmv5sG3plNV</vt:lpwstr>
  </property>
  <property fmtid="{D5CDD505-2E9C-101B-9397-08002B2CF9AE}" pid="5" name="bjClsUserRVM">
    <vt:lpwstr>[]</vt:lpwstr>
  </property>
</Properties>
</file>