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omments1.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comments2.xml" ContentType="application/vnd.openxmlformats-officedocument.spreadsheetml.comments+xml"/>
  <Override PartName="/xl/drawings/drawing18.xml" ContentType="application/vnd.openxmlformats-officedocument.drawing+xml"/>
  <Override PartName="/xl/comments3.xml" ContentType="application/vnd.openxmlformats-officedocument.spreadsheetml.comments+xml"/>
  <Override PartName="/xl/drawings/drawing19.xml" ContentType="application/vnd.openxmlformats-officedocument.drawing+xml"/>
  <Override PartName="/xl/comments4.xml" ContentType="application/vnd.openxmlformats-officedocument.spreadsheetml.comments+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X:\RI\ANÁLISES\"/>
    </mc:Choice>
  </mc:AlternateContent>
  <bookViews>
    <workbookView xWindow="0" yWindow="0" windowWidth="20490" windowHeight="8340"/>
  </bookViews>
  <sheets>
    <sheet name="Capa" sheetId="1" r:id="rId1"/>
    <sheet name="Disclaimer" sheetId="2" r:id="rId2"/>
    <sheet name="Sumário" sheetId="3" r:id="rId3"/>
    <sheet name="Sobre a Tegma" sheetId="4" r:id="rId4"/>
    <sheet name="Res Auto" sheetId="5" r:id="rId5"/>
    <sheet name="Vol. veículos transportados" sheetId="6" r:id="rId6"/>
    <sheet name="Distância média" sheetId="7" r:id="rId7"/>
    <sheet name="Ticket médio" sheetId="8" r:id="rId8"/>
    <sheet name="Custos e despesas - DLV" sheetId="9" r:id="rId9"/>
    <sheet name="Resumo financeiro - DLV" sheetId="10" r:id="rId10"/>
    <sheet name="Res Log. Int." sheetId="11" r:id="rId11"/>
    <sheet name="Custos e Despesas - DLI" sheetId="12" r:id="rId12"/>
    <sheet name="Resumo financeiro - DLI" sheetId="13" r:id="rId13"/>
    <sheet name="Res Consolidados" sheetId="14" r:id="rId14"/>
    <sheet name="Resultado financeiro" sheetId="15" r:id="rId15"/>
    <sheet name="Equivalência patrimonial" sheetId="16" r:id="rId16"/>
    <sheet name="IR e CSLL" sheetId="22" r:id="rId17"/>
    <sheet name="Balanço Patrimonial" sheetId="17" r:id="rId18"/>
    <sheet name="CAPEX" sheetId="18" r:id="rId19"/>
    <sheet name="Free cash flow to firm" sheetId="19" r:id="rId20"/>
    <sheet name="Dividendos e JSCP" sheetId="20" r:id="rId21"/>
    <sheet name="Contatos" sheetId="21" r:id="rId22"/>
  </sheets>
  <externalReferences>
    <externalReference r:id="rId23"/>
  </externalReferenc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15" i="22" l="1"/>
  <c r="I15" i="22"/>
  <c r="H15" i="22"/>
  <c r="K16" i="22"/>
  <c r="J16" i="22"/>
  <c r="I16" i="22"/>
  <c r="H16" i="22"/>
  <c r="H21" i="14"/>
  <c r="I15" i="6"/>
  <c r="K15" i="6"/>
  <c r="J15" i="6"/>
  <c r="H15" i="6"/>
  <c r="G15" i="6"/>
  <c r="K15" i="22" l="1"/>
  <c r="H7" i="20"/>
  <c r="I15" i="15"/>
  <c r="L14" i="10"/>
  <c r="K14" i="10"/>
  <c r="J14" i="10"/>
  <c r="I14" i="10"/>
  <c r="H14" i="10"/>
  <c r="H15" i="15" l="1"/>
  <c r="L16" i="22"/>
  <c r="L15" i="22" l="1"/>
  <c r="L15" i="15" l="1"/>
  <c r="J15" i="15" l="1"/>
  <c r="K15" i="15" l="1"/>
  <c r="G7" i="20" l="1"/>
  <c r="C7" i="20" l="1"/>
  <c r="J9" i="22" l="1"/>
  <c r="J10" i="22" s="1"/>
  <c r="K9" i="22" l="1"/>
  <c r="K10" i="22" s="1"/>
  <c r="I9" i="22"/>
  <c r="I10" i="22" s="1"/>
  <c r="I14" i="22"/>
  <c r="J14" i="22"/>
  <c r="K14" i="22"/>
  <c r="H9" i="22"/>
  <c r="H10" i="22" s="1"/>
  <c r="H14" i="22"/>
  <c r="J12" i="18" l="1"/>
  <c r="J13" i="19" s="1"/>
  <c r="L12" i="18"/>
  <c r="L13" i="19" s="1"/>
  <c r="K12" i="18"/>
  <c r="K13" i="19" s="1"/>
  <c r="H12" i="18"/>
  <c r="H13" i="19" s="1"/>
  <c r="I12" i="18"/>
  <c r="I13" i="19" s="1"/>
  <c r="I15" i="19" l="1"/>
  <c r="K18" i="14"/>
  <c r="K8" i="10"/>
  <c r="J8" i="10"/>
  <c r="J10" i="10" s="1"/>
  <c r="J11" i="10" s="1"/>
  <c r="I8" i="10"/>
  <c r="I10" i="10" s="1"/>
  <c r="I11" i="10" s="1"/>
  <c r="H8" i="10"/>
  <c r="H10" i="10" s="1"/>
  <c r="H11" i="10" s="1"/>
  <c r="K21" i="14" l="1"/>
  <c r="H16" i="14"/>
  <c r="K16" i="14"/>
  <c r="L18" i="14"/>
  <c r="I16" i="14"/>
  <c r="I21" i="14"/>
  <c r="H13" i="14"/>
  <c r="J21" i="14"/>
  <c r="I16" i="10"/>
  <c r="K16" i="10"/>
  <c r="J13" i="14"/>
  <c r="H17" i="10"/>
  <c r="H19" i="10" s="1"/>
  <c r="H21" i="10" s="1"/>
  <c r="I18" i="14"/>
  <c r="J16" i="14"/>
  <c r="J18" i="14"/>
  <c r="K13" i="14"/>
  <c r="L21" i="14"/>
  <c r="I13" i="14"/>
  <c r="I17" i="10"/>
  <c r="I19" i="10" s="1"/>
  <c r="I21" i="10" s="1"/>
  <c r="I23" i="10" s="1"/>
  <c r="I24" i="10" s="1"/>
  <c r="J17" i="10"/>
  <c r="J19" i="10" s="1"/>
  <c r="J21" i="10" s="1"/>
  <c r="J23" i="10" s="1"/>
  <c r="J24" i="10" s="1"/>
  <c r="H16" i="10"/>
  <c r="J16" i="10"/>
  <c r="H23" i="10" l="1"/>
  <c r="H24" i="10" s="1"/>
  <c r="J8" i="14"/>
  <c r="I8" i="14"/>
  <c r="H8" i="14"/>
  <c r="K7" i="13"/>
  <c r="J11" i="14"/>
  <c r="I11" i="14"/>
  <c r="H11" i="14"/>
  <c r="K11" i="14"/>
  <c r="I7" i="13"/>
  <c r="J7" i="13"/>
  <c r="J11" i="13" l="1"/>
  <c r="K12" i="13"/>
  <c r="K16" i="13" s="1"/>
  <c r="I11" i="13"/>
  <c r="K11" i="13"/>
  <c r="K7" i="14"/>
  <c r="K12" i="17" s="1"/>
  <c r="J14" i="14"/>
  <c r="H14" i="14"/>
  <c r="K14" i="14"/>
  <c r="I14" i="14"/>
  <c r="J12" i="13"/>
  <c r="J7" i="14"/>
  <c r="I12" i="13"/>
  <c r="I7" i="14"/>
  <c r="J9" i="14" l="1"/>
  <c r="J12" i="17"/>
  <c r="I9" i="14"/>
  <c r="I12" i="17"/>
  <c r="K17" i="13"/>
  <c r="K19" i="13" s="1"/>
  <c r="K21" i="13" s="1"/>
  <c r="K23" i="13" s="1"/>
  <c r="K24" i="13" s="1"/>
  <c r="J17" i="13"/>
  <c r="J19" i="13" s="1"/>
  <c r="J21" i="13" s="1"/>
  <c r="J23" i="13" s="1"/>
  <c r="J24" i="13" s="1"/>
  <c r="J16" i="13"/>
  <c r="I17" i="13"/>
  <c r="I19" i="13" s="1"/>
  <c r="I21" i="13" s="1"/>
  <c r="I23" i="13" s="1"/>
  <c r="I24" i="13" s="1"/>
  <c r="I16" i="13"/>
  <c r="I13" i="18"/>
  <c r="J13" i="18"/>
  <c r="K13" i="18"/>
  <c r="I10" i="14"/>
  <c r="I12" i="14" s="1"/>
  <c r="J10" i="14"/>
  <c r="J12" i="14" s="1"/>
  <c r="J15" i="14" l="1"/>
  <c r="J17" i="14" s="1"/>
  <c r="J19" i="14" s="1"/>
  <c r="J20" i="14" s="1"/>
  <c r="I15" i="14"/>
  <c r="I17" i="14" s="1"/>
  <c r="I19" i="14" s="1"/>
  <c r="I20" i="14" s="1"/>
  <c r="J23" i="17" l="1"/>
  <c r="J22" i="14"/>
  <c r="I22" i="14"/>
  <c r="I23" i="17"/>
  <c r="J23" i="14" l="1"/>
  <c r="J12" i="19"/>
  <c r="I23" i="14"/>
  <c r="I12" i="19"/>
  <c r="I16" i="19" s="1"/>
  <c r="G18" i="6"/>
  <c r="H18" i="8" s="1"/>
  <c r="H19" i="8" s="1"/>
  <c r="H18" i="6"/>
  <c r="I18" i="8" s="1"/>
  <c r="I19" i="8" s="1"/>
  <c r="I18" i="6"/>
  <c r="J18" i="8" s="1"/>
  <c r="J19" i="8" s="1"/>
  <c r="J18" i="6"/>
  <c r="K18" i="8" s="1"/>
  <c r="K19" i="8" s="1"/>
  <c r="K18" i="6"/>
  <c r="L18" i="8" s="1"/>
  <c r="G21" i="6" l="1"/>
  <c r="H21" i="6"/>
  <c r="I21" i="6"/>
  <c r="J21" i="6"/>
  <c r="K21" i="6"/>
  <c r="H7" i="13"/>
  <c r="H7" i="14" l="1"/>
  <c r="H12" i="17" s="1"/>
  <c r="H11" i="13"/>
  <c r="H12" i="13"/>
  <c r="H16" i="13" s="1"/>
  <c r="H9" i="14" l="1"/>
  <c r="H10" i="14"/>
  <c r="H12" i="14" s="1"/>
  <c r="H13" i="18"/>
  <c r="H14" i="13"/>
  <c r="H17" i="13"/>
  <c r="H19" i="13" s="1"/>
  <c r="H15" i="14" l="1"/>
  <c r="H17" i="14" s="1"/>
  <c r="L7" i="13" l="1"/>
  <c r="H18" i="14" l="1"/>
  <c r="H19" i="14" s="1"/>
  <c r="H21" i="13"/>
  <c r="H23" i="13" s="1"/>
  <c r="H24" i="13" s="1"/>
  <c r="H20" i="14" l="1"/>
  <c r="H22" i="14"/>
  <c r="K10" i="10"/>
  <c r="K11" i="10" s="1"/>
  <c r="H23" i="17"/>
  <c r="H23" i="14" l="1"/>
  <c r="H12" i="19"/>
  <c r="H16" i="19" s="1"/>
  <c r="K17" i="10"/>
  <c r="K19" i="10" s="1"/>
  <c r="K21" i="10" s="1"/>
  <c r="K23" i="10" s="1"/>
  <c r="K24" i="10" s="1"/>
  <c r="K8" i="14" l="1"/>
  <c r="K9" i="14" s="1"/>
  <c r="K10" i="14" l="1"/>
  <c r="K12" i="14" s="1"/>
  <c r="K15" i="14" l="1"/>
  <c r="K17" i="14" s="1"/>
  <c r="K19" i="14" s="1"/>
  <c r="K20" i="14" s="1"/>
  <c r="K23" i="17" l="1"/>
  <c r="K22" i="14"/>
  <c r="K12" i="19" l="1"/>
  <c r="K23" i="14"/>
  <c r="I22" i="17" l="1"/>
  <c r="I24" i="17" s="1"/>
  <c r="K22" i="17"/>
  <c r="K24" i="17" s="1"/>
  <c r="J22" i="17"/>
  <c r="J24" i="17" s="1"/>
  <c r="K15" i="19"/>
  <c r="K16" i="19" s="1"/>
  <c r="J15" i="19"/>
  <c r="J16" i="19" s="1"/>
  <c r="H22" i="17"/>
  <c r="H24" i="17" s="1"/>
  <c r="L9" i="22" l="1"/>
  <c r="L10" i="22" s="1"/>
  <c r="L11" i="22" s="1"/>
  <c r="L14" i="22" l="1"/>
  <c r="L16" i="14" l="1"/>
  <c r="L11" i="13" l="1"/>
  <c r="L12" i="13"/>
  <c r="L17" i="13" s="1"/>
  <c r="L19" i="13" s="1"/>
  <c r="L21" i="13" s="1"/>
  <c r="L23" i="13" s="1"/>
  <c r="L24" i="13" s="1"/>
  <c r="L14" i="13"/>
  <c r="L11" i="14"/>
  <c r="L8" i="10"/>
  <c r="L7" i="14" s="1"/>
  <c r="L19" i="8"/>
  <c r="L16" i="13" l="1"/>
  <c r="L13" i="14"/>
  <c r="L14" i="14" s="1"/>
  <c r="L16" i="10"/>
  <c r="L13" i="18"/>
  <c r="L10" i="10" l="1"/>
  <c r="L17" i="10"/>
  <c r="L19" i="10" s="1"/>
  <c r="L21" i="10" s="1"/>
  <c r="L23" i="10" s="1"/>
  <c r="L24" i="10" s="1"/>
  <c r="L11" i="10" l="1"/>
  <c r="L8" i="14"/>
  <c r="L9" i="14" l="1"/>
  <c r="L10" i="14"/>
  <c r="L12" i="14" l="1"/>
  <c r="L15" i="14"/>
  <c r="L17" i="14" s="1"/>
  <c r="L19" i="14" s="1"/>
  <c r="L20" i="14" l="1"/>
  <c r="L22" i="14"/>
  <c r="L23" i="17"/>
  <c r="L12" i="19" l="1"/>
  <c r="L23" i="14"/>
  <c r="L12" i="17" l="1"/>
  <c r="L15" i="19"/>
  <c r="L16" i="19" s="1"/>
  <c r="L22" i="17" l="1"/>
  <c r="L24" i="17" s="1"/>
  <c r="H11" i="22"/>
  <c r="H13" i="22" s="1"/>
  <c r="H17" i="22" s="1"/>
  <c r="I11" i="22"/>
  <c r="I13" i="22" s="1"/>
  <c r="I17" i="22" s="1"/>
  <c r="J11" i="22"/>
  <c r="J13" i="22" s="1"/>
  <c r="J17" i="22" s="1"/>
  <c r="K11" i="22"/>
  <c r="K13" i="22" s="1"/>
  <c r="K17" i="22" s="1"/>
  <c r="L13" i="22"/>
  <c r="L17" i="22" s="1"/>
</calcChain>
</file>

<file path=xl/comments1.xml><?xml version="1.0" encoding="utf-8"?>
<comments xmlns="http://schemas.openxmlformats.org/spreadsheetml/2006/main">
  <authors>
    <author>Ian Nunes Costa e Costa</author>
  </authors>
  <commentList>
    <comment ref="H15" authorId="0" shapeId="0">
      <text>
        <r>
          <rPr>
            <sz val="9"/>
            <color indexed="81"/>
            <rFont val="Segoe UI"/>
            <family val="2"/>
          </rPr>
          <t>PT - Em 15 de julho de 2019, foi constatado o trânsito em julgado de ação própria da Tegma Gestão Logística que reconheceu o direito da Controladora em realizar a exclusão do ICMS da base de cálculo do PIS e COFINS, retroagindo a agosto de 2003. Por meio de um levantamento de documentos e cálculos ocorridos a partir da constatação do trânsito em julgado, a Controladora apurou um crédito de R$ 101,4 decorrente da exclusão do ICMS em suas apurações de PIS e COFINS, já atualizado pela SELIC. Os créditos do período de março de 2017 a novembro de 2018 já haviam sido reconhecidos em dezembro de 2018.
Em setembro de 2019, foram reconhecidos R$ 91,4 milhões (R$ 56,5 milhões em outras receitas e despesas e R$ 34,9 milhões em receitas financeiras referente à correção monetária), além de um custo de R$ 6,1 milhões referente aos honorários advocatícios da causa em questão (outros custos), R$ 1,6 milhão de PIS/COFINS sobre a receita financeira e provisão de R$ 28,4 milhões de Imposto de Renda sobre os lançamentos.
Eng - On July 15, 2019 a suit filed by Tegma Gestão Logística in which matter was adjudged wherein it was determined that the Company is entitled to ICMS exemption right of PIS/COFINS tax calculation base, retroactively to August 2003. By assessing PIS/COFINS tax already updated by SELIC, the Parent Company has verified credit in the amount of R$ 101.4 million, resulting from ICMS exemption, after analyzing documents and calculations since it was verified the existence on the matter adjudged. Credits from March 2017 until November 2018 had already been recognized in December 2018.
In September 2019, the Parent Company recognized R$ 91.4 million (R$ 56.5 million in other revenues and expenses and R$ 34.9 million in financial result relating to monetary correction), in addition to a cost of R$ 6.1 million related to attorney’s fees as a result lawsuit brought upon (other costs), R$ 1.6 million of PIS/COFINS tax on financial income and provision of R$ 28.4 million of income tax on book entry.</t>
        </r>
      </text>
    </comment>
    <comment ref="J15" authorId="0" shapeId="0">
      <text>
        <r>
          <rPr>
            <sz val="9"/>
            <color indexed="81"/>
            <rFont val="Segoe UI"/>
            <family val="2"/>
          </rPr>
          <t xml:space="preserve">Pt - Correção monetária do Crédito de PIS e COFINS priveniente da Exclusão de ICMS na Base de Cálculo: R$3,4 milhões
Eng - Pt - Monetary adjustment of the PIS and COFINS Credit arising from the Exclusion of ICMS in the Calculation Base: R$3.4 million
</t>
        </r>
      </text>
    </comment>
    <comment ref="K15" authorId="0" shapeId="0">
      <text>
        <r>
          <rPr>
            <sz val="9"/>
            <color indexed="81"/>
            <rFont val="Segoe UI"/>
            <family val="2"/>
          </rPr>
          <t>PT- Correção mpnetária dos Créditos de PIS/ COFINS da controlada Catlog  - R$ 6,1 milhões
Eng - PIS/ COFINS tax credits from the subsidiary Catlog monetary Correction - R$ 6.1 million</t>
        </r>
      </text>
    </comment>
    <comment ref="L15" authorId="0" shapeId="0">
      <text>
        <r>
          <rPr>
            <sz val="9"/>
            <color indexed="81"/>
            <rFont val="Segoe UI"/>
            <family val="2"/>
          </rPr>
          <t>Pt - Correção monetária do Crédito de PIS e COFINS priveniente da Exclusão de ICMS na Base de Cálculo: R$2,8 milhões
Eng - Pt - Monetary adjustment of the PIS and COFINS Credit arising from the Exclusion of ICMS in the Calculation Base: R$2.8 million</t>
        </r>
      </text>
    </comment>
  </commentList>
</comments>
</file>

<file path=xl/comments2.xml><?xml version="1.0" encoding="utf-8"?>
<comments xmlns="http://schemas.openxmlformats.org/spreadsheetml/2006/main">
  <authors>
    <author>Felipe Augusto Fogaca da Silva</author>
  </authors>
  <commentList>
    <comment ref="J17" authorId="0" shapeId="0">
      <text>
        <r>
          <rPr>
            <sz val="9"/>
            <color indexed="81"/>
            <rFont val="Segoe UI"/>
            <family val="2"/>
          </rPr>
          <t>Pt - Crédito tributário extraordinário referente a imposto pago a maior R$12,9 milhões
Eng- Extraordinary tax credit regarding overpaid tax collection amounting R$ 12.9 million</t>
        </r>
      </text>
    </comment>
  </commentList>
</comments>
</file>

<file path=xl/comments3.xml><?xml version="1.0" encoding="utf-8"?>
<comments xmlns="http://schemas.openxmlformats.org/spreadsheetml/2006/main">
  <authors>
    <author>Ian Nunes Costa e Costa</author>
  </authors>
  <commentList>
    <comment ref="J12" authorId="0" shapeId="0">
      <text>
        <r>
          <rPr>
            <sz val="9"/>
            <color indexed="81"/>
            <rFont val="Segoe UI"/>
            <family val="2"/>
          </rPr>
          <t>Questão comercial que fez o prazo do final de 2021 se dilatar e que foi resolvido em setembro de 2022</t>
        </r>
      </text>
    </comment>
  </commentList>
</comments>
</file>

<file path=xl/comments4.xml><?xml version="1.0" encoding="utf-8"?>
<comments xmlns="http://schemas.openxmlformats.org/spreadsheetml/2006/main">
  <authors>
    <author>Ian Nunes Costa e Costa</author>
  </authors>
  <commentList>
    <comment ref="H11" authorId="0" shapeId="0">
      <text>
        <r>
          <rPr>
            <sz val="9"/>
            <color indexed="81"/>
            <rFont val="Segoe UI"/>
            <family val="2"/>
          </rPr>
          <t>Compra e benfeitorias de terrenos: R$ 11,5 MM
Renovação de contratos: R$ 3,2 MM
Novas operações: R$ 361 mil</t>
        </r>
      </text>
    </comment>
    <comment ref="I11" authorId="0" shapeId="0">
      <text>
        <r>
          <rPr>
            <sz val="9"/>
            <color indexed="81"/>
            <rFont val="Segoe UI"/>
            <family val="2"/>
          </rPr>
          <t>Compra e benfeitorias de terrenos: R$ 4,4 MM</t>
        </r>
      </text>
    </comment>
  </commentList>
</comments>
</file>

<file path=xl/sharedStrings.xml><?xml version="1.0" encoding="utf-8"?>
<sst xmlns="http://schemas.openxmlformats.org/spreadsheetml/2006/main" count="172" uniqueCount="141">
  <si>
    <t>Tegma</t>
  </si>
  <si>
    <t>Dúvidas, entre em contato com o RI:</t>
  </si>
  <si>
    <t>Felipe Silva – felipe.silva@tegma.com.br</t>
  </si>
  <si>
    <t xml:space="preserve">Ian Nunes – ian.nunes@tegma.com.br </t>
  </si>
  <si>
    <t>Sobre a Tegma</t>
  </si>
  <si>
    <t>Premissas do Resultado</t>
  </si>
  <si>
    <t>Resultados da divisão automotiva</t>
  </si>
  <si>
    <t>Resultados da divisão de Logística Integrada</t>
  </si>
  <si>
    <t>Resultados Consolidados</t>
  </si>
  <si>
    <t>Resultado financeiro consolidado</t>
  </si>
  <si>
    <t>Equivalência patrimonial</t>
  </si>
  <si>
    <t>Premissas do Balanço Patrimonial</t>
  </si>
  <si>
    <t>Imobilizado e investimentos (CAPEX)</t>
  </si>
  <si>
    <t>Free cash flow to firm</t>
  </si>
  <si>
    <t>Dividendos/ JSCP</t>
  </si>
  <si>
    <t xml:space="preserve">B - Veículos transportados </t>
  </si>
  <si>
    <t xml:space="preserve">Market share (B / A) % </t>
  </si>
  <si>
    <t>Veículos domésticos</t>
  </si>
  <si>
    <t>Veículos exportados</t>
  </si>
  <si>
    <t>Receita Bruta</t>
  </si>
  <si>
    <t>Logística de veículos</t>
  </si>
  <si>
    <t>Deduções da receita bruta</t>
  </si>
  <si>
    <t>Deduções da receita bruta %</t>
  </si>
  <si>
    <t xml:space="preserve"> Receita líquida </t>
  </si>
  <si>
    <t xml:space="preserve"> (-) Custos de serviços prestados</t>
  </si>
  <si>
    <t xml:space="preserve"> CSP (% Receita Líquida) </t>
  </si>
  <si>
    <t xml:space="preserve"> (-) Despesas</t>
  </si>
  <si>
    <t xml:space="preserve"> Despesas (% Receita Líquida) </t>
  </si>
  <si>
    <t>Lucro operacional</t>
  </si>
  <si>
    <t>(+) Depreciação</t>
  </si>
  <si>
    <t xml:space="preserve"> EBITDA </t>
  </si>
  <si>
    <t xml:space="preserve">(+)  Eventos não recorrentes </t>
  </si>
  <si>
    <t xml:space="preserve"> EBITDA ajustado </t>
  </si>
  <si>
    <t>(-) Custos com Aluguel (IAS17)</t>
  </si>
  <si>
    <t xml:space="preserve"> EBITDA ajustado ex IFRS 16</t>
  </si>
  <si>
    <t xml:space="preserve"> Margem EBITDA Ajustado Ex-IFRS16% </t>
  </si>
  <si>
    <t>Receita bruta</t>
  </si>
  <si>
    <t>Logística industrial</t>
  </si>
  <si>
    <t>Armazenagem</t>
  </si>
  <si>
    <t xml:space="preserve">Receita líquida  </t>
  </si>
  <si>
    <t>(-) Custos de serviços prestados</t>
  </si>
  <si>
    <t xml:space="preserve">CSP (% Receita Líquida) </t>
  </si>
  <si>
    <t>(-) Despesas</t>
  </si>
  <si>
    <t xml:space="preserve">Despesas (% Receita Líquida) </t>
  </si>
  <si>
    <t xml:space="preserve">EBITDA  </t>
  </si>
  <si>
    <t xml:space="preserve">Eventos não recorrentes  </t>
  </si>
  <si>
    <t xml:space="preserve">EBITDA ajustado  </t>
  </si>
  <si>
    <t>EBITDA ajustado ex IFRS 16</t>
  </si>
  <si>
    <t xml:space="preserve">Margem EBITDA Ajustado %  </t>
  </si>
  <si>
    <t>(mil)</t>
  </si>
  <si>
    <t>(milhão R$)</t>
  </si>
  <si>
    <t>Despesas de juros</t>
  </si>
  <si>
    <t>Receita de aplicações</t>
  </si>
  <si>
    <t>Juros de arrendamento</t>
  </si>
  <si>
    <t>Resultado financeiro</t>
  </si>
  <si>
    <t>Contas a receber - fonecedores e fretes a pagar</t>
  </si>
  <si>
    <t>Capital de giro (em dias)</t>
  </si>
  <si>
    <t>Km Média Consolidada</t>
  </si>
  <si>
    <t>Km Média Domestico</t>
  </si>
  <si>
    <t>Km Média Externo</t>
  </si>
  <si>
    <t>Receita logística de veículos (em R$ mi)</t>
  </si>
  <si>
    <t>Km total (veículos transport*km média) (em mi)</t>
  </si>
  <si>
    <t>Receita média por km/veículo¹</t>
  </si>
  <si>
    <t>Dívida bruta</t>
  </si>
  <si>
    <t>Caixa</t>
  </si>
  <si>
    <t>Dívida Líquida</t>
  </si>
  <si>
    <t>EBITDA ajustado LTM</t>
  </si>
  <si>
    <t>Dívida Líquida / EBITDA ajustado LTM</t>
  </si>
  <si>
    <t>4T19</t>
  </si>
  <si>
    <t>4T20</t>
  </si>
  <si>
    <t>4T21</t>
  </si>
  <si>
    <t>4T22</t>
  </si>
  <si>
    <t>Capital de giro e endividamento</t>
  </si>
  <si>
    <t>Manutenção &amp; Benfeitorias gerais</t>
  </si>
  <si>
    <t>Aquisição de equipamentos logísticos</t>
  </si>
  <si>
    <t>TI</t>
  </si>
  <si>
    <t>Total</t>
  </si>
  <si>
    <t>% Receita bruta</t>
  </si>
  <si>
    <t>Outros</t>
  </si>
  <si>
    <t>(-) CAPEX</t>
  </si>
  <si>
    <t>(-) Imposto de renda</t>
  </si>
  <si>
    <t>(-) Necessidade de capital de giro</t>
  </si>
  <si>
    <t>(=) free cash flow to firm</t>
  </si>
  <si>
    <t>Valor por ação (R$)</t>
  </si>
  <si>
    <t>% JCP</t>
  </si>
  <si>
    <t>Montante (R$ mil)</t>
  </si>
  <si>
    <t>Div Yld</t>
  </si>
  <si>
    <t>% Divi
dendos</t>
  </si>
  <si>
    <t>(+) Depreciação e amortização</t>
  </si>
  <si>
    <t>Contatos</t>
  </si>
  <si>
    <t>Lucro (prejuízo) antes do IR e da CSLL</t>
  </si>
  <si>
    <t>Alíquota nominal combinada IR e CSLL</t>
  </si>
  <si>
    <t>IR e CSLL pela alíquota nominal</t>
  </si>
  <si>
    <t>Resultado de equivalência patrimonial</t>
  </si>
  <si>
    <t>Diferenças permanentes</t>
  </si>
  <si>
    <t>Juros sobre capital próprio</t>
  </si>
  <si>
    <t>IR e CSLL no resultado</t>
  </si>
  <si>
    <t>Taxa efetiva</t>
  </si>
  <si>
    <t>Crédito outorgado ICMS*</t>
  </si>
  <si>
    <t>IR e CSLL</t>
  </si>
  <si>
    <t>Pg 2/22</t>
  </si>
  <si>
    <t>Pg 3/22</t>
  </si>
  <si>
    <t>Pg 5/22</t>
  </si>
  <si>
    <t>Pg 6/22</t>
  </si>
  <si>
    <t>Pg 7/22</t>
  </si>
  <si>
    <t>Pg 8/22</t>
  </si>
  <si>
    <t>Pg 9/22</t>
  </si>
  <si>
    <t>Pg 10/22</t>
  </si>
  <si>
    <t>Pg 11/22</t>
  </si>
  <si>
    <t>Pg 12/22</t>
  </si>
  <si>
    <t>Pg 13/22</t>
  </si>
  <si>
    <t>Pg 14/22</t>
  </si>
  <si>
    <t>Pg 15/22</t>
  </si>
  <si>
    <t>Pg 16/22</t>
  </si>
  <si>
    <t>Pg 17/22</t>
  </si>
  <si>
    <t>Pg 18/22</t>
  </si>
  <si>
    <t>Pg 19/22</t>
  </si>
  <si>
    <t>Pg 20/22</t>
  </si>
  <si>
    <t>Pg 21/22</t>
  </si>
  <si>
    <t>Pg 22/22</t>
  </si>
  <si>
    <t xml:space="preserve"> Receita líquida</t>
  </si>
  <si>
    <t>EBIT</t>
  </si>
  <si>
    <t>Lucro Líquido</t>
  </si>
  <si>
    <t>DRE GDL 100% (milhão R$)</t>
  </si>
  <si>
    <t>Diferença taxa nomina e efetiva</t>
  </si>
  <si>
    <t>em R$ milhão</t>
  </si>
  <si>
    <t>Payout¹</t>
  </si>
  <si>
    <t>Payout²</t>
  </si>
  <si>
    <t>¹ Considerando o lucro líquido ajustado, pelas reservas legais e pela constituição de reserva de incentivos fiscais</t>
  </si>
  <si>
    <t xml:space="preserve">² Considerando o lucro líquido ajustado somente pelas reservas legais </t>
  </si>
  <si>
    <t>2019³</t>
  </si>
  <si>
    <t xml:space="preserve">Margem EBITDA Ajustado ex IFRS 16 %  </t>
  </si>
  <si>
    <t>A - Vendas de veículos e comerciais leves</t>
  </si>
  <si>
    <t>Margem EBITDA Ajustado %  Ex IFRS-26</t>
  </si>
  <si>
    <t>Venc dívidas (dez/23)</t>
  </si>
  <si>
    <t>2026-39</t>
  </si>
  <si>
    <t>4t23</t>
  </si>
  <si>
    <r>
      <rPr>
        <vertAlign val="superscript"/>
        <sz val="8"/>
        <color theme="1"/>
        <rFont val="Montserrat"/>
      </rPr>
      <t>3</t>
    </r>
    <r>
      <rPr>
        <sz val="8"/>
        <color theme="1"/>
        <rFont val="Montserrat"/>
      </rPr>
      <t xml:space="preserve"> No ano de 2019 não houve constituição de reservas legais</t>
    </r>
  </si>
  <si>
    <t>Outras receitas e despesas financeiras</t>
  </si>
  <si>
    <t>Exportações¹</t>
  </si>
  <si>
    <t xml:space="preserve">Vendas domésticas ¹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</si>
</sst>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0.00_-;\-* #,##0.00_-;_-* &quot;-&quot;??_-;_-@_-"/>
    <numFmt numFmtId="164" formatCode="0.0%"/>
    <numFmt numFmtId="165" formatCode="#,##0.0"/>
    <numFmt numFmtId="166" formatCode="0.0"/>
    <numFmt numFmtId="167" formatCode="_-* #,##0_-;\-* #,##0_-;_-* &quot;-&quot;??_-;_-@_-"/>
  </numFmts>
  <fonts count="33">
    <font>
      <sz val="11"/>
      <color theme="1"/>
      <name val="Calibri"/>
      <family val="2"/>
      <scheme val="minor"/>
    </font>
    <font>
      <b/>
      <sz val="50"/>
      <color theme="1"/>
      <name val="Gadugi"/>
      <family val="2"/>
    </font>
    <font>
      <b/>
      <sz val="48"/>
      <color rgb="FFFF7700"/>
      <name val="Gadugi"/>
      <family val="2"/>
    </font>
    <font>
      <b/>
      <sz val="10"/>
      <color rgb="FFFF7700"/>
      <name val="Gadugi"/>
      <family val="2"/>
    </font>
    <font>
      <u/>
      <sz val="11"/>
      <color theme="10"/>
      <name val="Calibri"/>
      <family val="2"/>
      <scheme val="minor"/>
    </font>
    <font>
      <b/>
      <sz val="9"/>
      <color theme="1"/>
      <name val="Montserrat"/>
    </font>
    <font>
      <u/>
      <sz val="9"/>
      <color theme="10"/>
      <name val="Montserrat"/>
    </font>
    <font>
      <sz val="11"/>
      <color theme="1"/>
      <name val="Montserrat"/>
    </font>
    <font>
      <sz val="8"/>
      <color theme="1"/>
      <name val="Montserrat"/>
    </font>
    <font>
      <b/>
      <sz val="11"/>
      <color theme="1"/>
      <name val="Montserrat"/>
    </font>
    <font>
      <b/>
      <sz val="11"/>
      <color rgb="FF000000"/>
      <name val="Montserrat"/>
    </font>
    <font>
      <sz val="11"/>
      <color rgb="FF000000"/>
      <name val="Montserrat"/>
    </font>
    <font>
      <b/>
      <sz val="11"/>
      <color rgb="FFED7700"/>
      <name val="Montserrat"/>
    </font>
    <font>
      <b/>
      <sz val="10"/>
      <color rgb="FF000000"/>
      <name val="Montserrat"/>
    </font>
    <font>
      <sz val="10"/>
      <color theme="1"/>
      <name val="Montserrat"/>
    </font>
    <font>
      <sz val="11"/>
      <color theme="1"/>
      <name val="Calibri"/>
      <family val="2"/>
      <scheme val="minor"/>
    </font>
    <font>
      <i/>
      <sz val="11"/>
      <color rgb="FF000000"/>
      <name val="Montserrat"/>
    </font>
    <font>
      <b/>
      <sz val="10"/>
      <color rgb="FFFF7700"/>
      <name val="Montserrat"/>
    </font>
    <font>
      <sz val="9"/>
      <color indexed="81"/>
      <name val="Segoe UI"/>
      <family val="2"/>
    </font>
    <font>
      <b/>
      <sz val="10"/>
      <color rgb="FFEA7423"/>
      <name val="Montserrat"/>
    </font>
    <font>
      <b/>
      <sz val="11"/>
      <color rgb="FFEA7423"/>
      <name val="Montserrat"/>
    </font>
    <font>
      <sz val="11"/>
      <color rgb="FFEA7423"/>
      <name val="Montserrat"/>
    </font>
    <font>
      <sz val="11"/>
      <color rgb="FFEA7423"/>
      <name val="Calibri"/>
      <family val="2"/>
      <scheme val="minor"/>
    </font>
    <font>
      <b/>
      <sz val="10"/>
      <color rgb="FFED7700"/>
      <name val="Montserrat"/>
    </font>
    <font>
      <b/>
      <sz val="9"/>
      <color rgb="FF000000"/>
      <name val="Montserrat"/>
    </font>
    <font>
      <sz val="11"/>
      <color theme="0"/>
      <name val="Calibri"/>
      <family val="2"/>
      <scheme val="minor"/>
    </font>
    <font>
      <i/>
      <sz val="11"/>
      <color theme="1"/>
      <name val="Montserrat"/>
    </font>
    <font>
      <i/>
      <sz val="11"/>
      <color theme="1"/>
      <name val="Calibri"/>
      <family val="2"/>
      <scheme val="minor"/>
    </font>
    <font>
      <b/>
      <i/>
      <sz val="11"/>
      <color rgb="FF000000"/>
      <name val="Montserrat"/>
    </font>
    <font>
      <b/>
      <sz val="11"/>
      <color theme="0"/>
      <name val="Montserrat"/>
    </font>
    <font>
      <sz val="11"/>
      <color rgb="FFFF0000"/>
      <name val="Montserrat"/>
    </font>
    <font>
      <vertAlign val="superscript"/>
      <sz val="8"/>
      <color theme="1"/>
      <name val="Montserrat"/>
    </font>
    <font>
      <sz val="11"/>
      <color theme="1"/>
      <name val="Mont"/>
    </font>
  </fonts>
  <fills count="3">
    <fill>
      <patternFill patternType="none"/>
    </fill>
    <fill>
      <patternFill patternType="gray125"/>
    </fill>
    <fill>
      <patternFill patternType="solid">
        <fgColor theme="0"/>
        <bgColor indexed="64"/>
      </patternFill>
    </fill>
  </fills>
  <borders count="32">
    <border>
      <left/>
      <right/>
      <top/>
      <bottom/>
      <diagonal/>
    </border>
    <border>
      <left style="thick">
        <color auto="1"/>
      </left>
      <right/>
      <top style="thick">
        <color auto="1"/>
      </top>
      <bottom/>
      <diagonal/>
    </border>
    <border>
      <left/>
      <right/>
      <top style="thick">
        <color auto="1"/>
      </top>
      <bottom/>
      <diagonal/>
    </border>
    <border>
      <left/>
      <right style="thick">
        <color auto="1"/>
      </right>
      <top style="thick">
        <color auto="1"/>
      </top>
      <bottom/>
      <diagonal/>
    </border>
    <border>
      <left style="thick">
        <color auto="1"/>
      </left>
      <right/>
      <top/>
      <bottom/>
      <diagonal/>
    </border>
    <border>
      <left/>
      <right style="thick">
        <color auto="1"/>
      </right>
      <top/>
      <bottom/>
      <diagonal/>
    </border>
    <border>
      <left style="thick">
        <color auto="1"/>
      </left>
      <right/>
      <top/>
      <bottom style="thick">
        <color auto="1"/>
      </bottom>
      <diagonal/>
    </border>
    <border>
      <left/>
      <right/>
      <top/>
      <bottom style="thick">
        <color auto="1"/>
      </bottom>
      <diagonal/>
    </border>
    <border>
      <left/>
      <right style="thick">
        <color auto="1"/>
      </right>
      <top/>
      <bottom style="thick">
        <color auto="1"/>
      </bottom>
      <diagonal/>
    </border>
    <border>
      <left style="thick">
        <color theme="5"/>
      </left>
      <right/>
      <top style="thick">
        <color theme="5"/>
      </top>
      <bottom/>
      <diagonal/>
    </border>
    <border>
      <left/>
      <right/>
      <top style="thick">
        <color theme="5"/>
      </top>
      <bottom/>
      <diagonal/>
    </border>
    <border>
      <left/>
      <right style="thick">
        <color theme="5"/>
      </right>
      <top style="thick">
        <color theme="5"/>
      </top>
      <bottom/>
      <diagonal/>
    </border>
    <border>
      <left style="thick">
        <color theme="5"/>
      </left>
      <right/>
      <top/>
      <bottom/>
      <diagonal/>
    </border>
    <border>
      <left/>
      <right style="thick">
        <color theme="5"/>
      </right>
      <top/>
      <bottom/>
      <diagonal/>
    </border>
    <border>
      <left style="thick">
        <color theme="5"/>
      </left>
      <right/>
      <top/>
      <bottom style="thick">
        <color theme="5"/>
      </bottom>
      <diagonal/>
    </border>
    <border>
      <left/>
      <right/>
      <top/>
      <bottom style="thick">
        <color theme="5"/>
      </bottom>
      <diagonal/>
    </border>
    <border>
      <left/>
      <right style="thick">
        <color theme="5"/>
      </right>
      <top/>
      <bottom style="thick">
        <color theme="5"/>
      </bottom>
      <diagonal/>
    </border>
    <border>
      <left/>
      <right/>
      <top style="medium">
        <color rgb="FFED7700"/>
      </top>
      <bottom/>
      <diagonal/>
    </border>
    <border>
      <left/>
      <right/>
      <top/>
      <bottom style="medium">
        <color rgb="FFED7700"/>
      </bottom>
      <diagonal/>
    </border>
    <border>
      <left/>
      <right/>
      <top style="dotted">
        <color theme="0" tint="-0.14996795556505021"/>
      </top>
      <bottom style="dotted">
        <color theme="0" tint="-0.14996795556505021"/>
      </bottom>
      <diagonal/>
    </border>
    <border>
      <left style="medium">
        <color rgb="FFFFFFFF"/>
      </left>
      <right/>
      <top/>
      <bottom style="dotted">
        <color rgb="FFD9D9D9"/>
      </bottom>
      <diagonal/>
    </border>
    <border>
      <left/>
      <right/>
      <top/>
      <bottom style="dotted">
        <color rgb="FFD9D9D9"/>
      </bottom>
      <diagonal/>
    </border>
    <border>
      <left style="medium">
        <color rgb="FFFFFFFF"/>
      </left>
      <right/>
      <top/>
      <bottom/>
      <diagonal/>
    </border>
    <border>
      <left/>
      <right/>
      <top style="dotted">
        <color theme="0" tint="-0.14996795556505021"/>
      </top>
      <bottom/>
      <diagonal/>
    </border>
    <border>
      <left style="medium">
        <color rgb="FFFFFFFF"/>
      </left>
      <right/>
      <top style="medium">
        <color rgb="FFFFFFFF"/>
      </top>
      <bottom style="dotted">
        <color rgb="FFD9D9D9"/>
      </bottom>
      <diagonal/>
    </border>
    <border>
      <left/>
      <right/>
      <top/>
      <bottom style="medium">
        <color rgb="FFEA7423"/>
      </bottom>
      <diagonal/>
    </border>
    <border>
      <left/>
      <right/>
      <top style="medium">
        <color rgb="FFEA7423"/>
      </top>
      <bottom style="medium">
        <color rgb="FFEA7423"/>
      </bottom>
      <diagonal/>
    </border>
    <border>
      <left style="medium">
        <color rgb="FFFFFFFF"/>
      </left>
      <right/>
      <top style="medium">
        <color rgb="FFEA7423"/>
      </top>
      <bottom style="dotted">
        <color rgb="FFD9D9D9"/>
      </bottom>
      <diagonal/>
    </border>
    <border>
      <left/>
      <right/>
      <top style="medium">
        <color rgb="FFEA7423"/>
      </top>
      <bottom/>
      <diagonal/>
    </border>
    <border>
      <left/>
      <right/>
      <top style="medium">
        <color rgb="FFEA7423"/>
      </top>
      <bottom style="dotted">
        <color rgb="FFD9D9D9"/>
      </bottom>
      <diagonal/>
    </border>
    <border>
      <left/>
      <right style="thick">
        <color auto="1"/>
      </right>
      <top/>
      <bottom style="medium">
        <color rgb="FFEA7423"/>
      </bottom>
      <diagonal/>
    </border>
    <border>
      <left/>
      <right style="thick">
        <color auto="1"/>
      </right>
      <top style="medium">
        <color rgb="FFEA7423"/>
      </top>
      <bottom style="medium">
        <color rgb="FFEA7423"/>
      </bottom>
      <diagonal/>
    </border>
  </borders>
  <cellStyleXfs count="4">
    <xf numFmtId="0" fontId="0" fillId="0" borderId="0"/>
    <xf numFmtId="0" fontId="4" fillId="0" borderId="0" applyNumberFormat="0" applyFill="0" applyBorder="0" applyAlignment="0" applyProtection="0"/>
    <xf numFmtId="43" fontId="15" fillId="0" borderId="0" applyFont="0" applyFill="0" applyBorder="0" applyAlignment="0" applyProtection="0"/>
    <xf numFmtId="9" fontId="15" fillId="0" borderId="0" applyFont="0" applyFill="0" applyBorder="0" applyAlignment="0" applyProtection="0"/>
  </cellStyleXfs>
  <cellXfs count="182">
    <xf numFmtId="0" fontId="0" fillId="0" borderId="0" xfId="0"/>
    <xf numFmtId="0" fontId="0" fillId="0" borderId="1" xfId="0" applyBorder="1"/>
    <xf numFmtId="0" fontId="0" fillId="0" borderId="2" xfId="0" applyBorder="1"/>
    <xf numFmtId="0" fontId="0" fillId="0" borderId="3" xfId="0" applyBorder="1"/>
    <xf numFmtId="0" fontId="0" fillId="0" borderId="4" xfId="0" applyBorder="1"/>
    <xf numFmtId="0" fontId="0" fillId="0" borderId="0" xfId="0" applyBorder="1"/>
    <xf numFmtId="0" fontId="0" fillId="0" borderId="5" xfId="0" applyBorder="1"/>
    <xf numFmtId="0" fontId="0" fillId="0" borderId="6" xfId="0" applyBorder="1"/>
    <xf numFmtId="0" fontId="0" fillId="0" borderId="7" xfId="0" applyBorder="1"/>
    <xf numFmtId="0" fontId="0" fillId="0" borderId="8" xfId="0" applyBorder="1"/>
    <xf numFmtId="0" fontId="1" fillId="0" borderId="0" xfId="0" applyFont="1" applyAlignment="1">
      <alignment vertical="center"/>
    </xf>
    <xf numFmtId="0" fontId="2" fillId="0" borderId="0" xfId="0" applyFont="1" applyAlignment="1">
      <alignment vertical="center"/>
    </xf>
    <xf numFmtId="0" fontId="4" fillId="0" borderId="0" xfId="1" applyAlignment="1">
      <alignment vertical="center"/>
    </xf>
    <xf numFmtId="0" fontId="0" fillId="0" borderId="10" xfId="0" applyBorder="1"/>
    <xf numFmtId="0" fontId="0" fillId="0" borderId="11" xfId="0" applyBorder="1"/>
    <xf numFmtId="0" fontId="0" fillId="0" borderId="13" xfId="0" applyBorder="1"/>
    <xf numFmtId="0" fontId="0" fillId="0" borderId="15" xfId="0" applyBorder="1"/>
    <xf numFmtId="0" fontId="0" fillId="0" borderId="16" xfId="0" applyBorder="1"/>
    <xf numFmtId="0" fontId="5" fillId="0" borderId="9" xfId="0" applyFont="1" applyBorder="1" applyAlignment="1">
      <alignment vertical="center"/>
    </xf>
    <xf numFmtId="0" fontId="6" fillId="0" borderId="12" xfId="1" applyFont="1" applyBorder="1" applyAlignment="1">
      <alignment vertical="center"/>
    </xf>
    <xf numFmtId="0" fontId="6" fillId="0" borderId="14" xfId="1" applyFont="1" applyBorder="1" applyAlignment="1"/>
    <xf numFmtId="0" fontId="3" fillId="0" borderId="0" xfId="0" applyFont="1" applyAlignment="1">
      <alignment vertical="center"/>
    </xf>
    <xf numFmtId="0" fontId="4" fillId="0" borderId="0" xfId="1" applyAlignment="1">
      <alignment horizontal="left" vertical="center" indent="1"/>
    </xf>
    <xf numFmtId="0" fontId="8" fillId="0" borderId="3" xfId="0" applyFont="1" applyBorder="1" applyAlignment="1">
      <alignment horizontal="center"/>
    </xf>
    <xf numFmtId="0" fontId="8" fillId="0" borderId="6" xfId="0" applyFont="1" applyBorder="1" applyAlignment="1">
      <alignment horizontal="center"/>
    </xf>
    <xf numFmtId="0" fontId="7" fillId="0" borderId="0" xfId="0" applyFont="1" applyBorder="1"/>
    <xf numFmtId="0" fontId="12" fillId="0" borderId="0" xfId="0" applyFont="1" applyBorder="1" applyAlignment="1">
      <alignment horizontal="center"/>
    </xf>
    <xf numFmtId="3" fontId="10" fillId="0" borderId="17" xfId="0" applyNumberFormat="1" applyFont="1" applyBorder="1" applyAlignment="1">
      <alignment horizontal="center" vertical="center" wrapText="1"/>
    </xf>
    <xf numFmtId="3" fontId="11" fillId="0" borderId="19" xfId="0" applyNumberFormat="1" applyFont="1" applyBorder="1" applyAlignment="1">
      <alignment horizontal="center" vertical="center" wrapText="1"/>
    </xf>
    <xf numFmtId="0" fontId="0" fillId="0" borderId="4" xfId="0" applyBorder="1" applyAlignment="1"/>
    <xf numFmtId="0" fontId="9" fillId="0" borderId="17" xfId="0" applyFont="1" applyBorder="1" applyAlignment="1">
      <alignment horizontal="left" indent="1"/>
    </xf>
    <xf numFmtId="0" fontId="7" fillId="0" borderId="19" xfId="0" applyFont="1" applyBorder="1" applyAlignment="1">
      <alignment horizontal="left" indent="2"/>
    </xf>
    <xf numFmtId="0" fontId="0" fillId="0" borderId="4" xfId="0" applyBorder="1"/>
    <xf numFmtId="0" fontId="0" fillId="0" borderId="0" xfId="0" applyBorder="1"/>
    <xf numFmtId="0" fontId="7" fillId="0" borderId="19" xfId="0" applyFont="1" applyBorder="1" applyAlignment="1">
      <alignment horizontal="left" indent="2"/>
    </xf>
    <xf numFmtId="0" fontId="7" fillId="0" borderId="0" xfId="0" applyFont="1" applyBorder="1"/>
    <xf numFmtId="1" fontId="10" fillId="0" borderId="19" xfId="0" applyNumberFormat="1" applyFont="1" applyBorder="1" applyAlignment="1">
      <alignment horizontal="center" vertical="center" wrapText="1"/>
    </xf>
    <xf numFmtId="0" fontId="14" fillId="0" borderId="4" xfId="0" applyFont="1" applyBorder="1"/>
    <xf numFmtId="0" fontId="14" fillId="0" borderId="0" xfId="0" applyFont="1" applyAlignment="1">
      <alignment vertical="center"/>
    </xf>
    <xf numFmtId="0" fontId="14" fillId="0" borderId="0" xfId="0" applyFont="1" applyBorder="1"/>
    <xf numFmtId="0" fontId="0" fillId="0" borderId="4" xfId="0" applyBorder="1"/>
    <xf numFmtId="0" fontId="0" fillId="0" borderId="0" xfId="0" applyBorder="1"/>
    <xf numFmtId="0" fontId="9" fillId="0" borderId="17" xfId="0" applyFont="1" applyBorder="1" applyAlignment="1">
      <alignment horizontal="left" indent="1"/>
    </xf>
    <xf numFmtId="0" fontId="7" fillId="0" borderId="19" xfId="0" applyFont="1" applyBorder="1" applyAlignment="1"/>
    <xf numFmtId="0" fontId="7" fillId="0" borderId="0" xfId="0" applyFont="1"/>
    <xf numFmtId="0" fontId="10" fillId="0" borderId="20" xfId="0" applyFont="1" applyBorder="1" applyAlignment="1">
      <alignment horizontal="left" vertical="center"/>
    </xf>
    <xf numFmtId="165" fontId="9" fillId="0" borderId="21" xfId="0" applyNumberFormat="1" applyFont="1" applyBorder="1" applyAlignment="1">
      <alignment horizontal="center" vertical="center" wrapText="1"/>
    </xf>
    <xf numFmtId="0" fontId="11" fillId="0" borderId="20" xfId="0" applyFont="1" applyBorder="1" applyAlignment="1">
      <alignment horizontal="left" vertical="center" indent="2"/>
    </xf>
    <xf numFmtId="165" fontId="7" fillId="0" borderId="21" xfId="0" applyNumberFormat="1" applyFont="1" applyBorder="1" applyAlignment="1">
      <alignment horizontal="center" vertical="center" wrapText="1"/>
    </xf>
    <xf numFmtId="0" fontId="11" fillId="0" borderId="20" xfId="0" applyFont="1" applyBorder="1" applyAlignment="1">
      <alignment horizontal="left" vertical="center" indent="1"/>
    </xf>
    <xf numFmtId="0" fontId="16" fillId="0" borderId="20" xfId="0" applyFont="1" applyBorder="1" applyAlignment="1">
      <alignment horizontal="left" vertical="center" indent="2"/>
    </xf>
    <xf numFmtId="164" fontId="7" fillId="0" borderId="21" xfId="0" applyNumberFormat="1" applyFont="1" applyBorder="1" applyAlignment="1">
      <alignment horizontal="center" vertical="center" wrapText="1"/>
    </xf>
    <xf numFmtId="164" fontId="7" fillId="0" borderId="21" xfId="3" applyNumberFormat="1" applyFont="1" applyBorder="1" applyAlignment="1">
      <alignment horizontal="center" vertical="center" wrapText="1"/>
    </xf>
    <xf numFmtId="0" fontId="10" fillId="0" borderId="22" xfId="0" applyFont="1" applyBorder="1" applyAlignment="1">
      <alignment horizontal="left" vertical="center"/>
    </xf>
    <xf numFmtId="165" fontId="9" fillId="0" borderId="0" xfId="0" applyNumberFormat="1" applyFont="1" applyBorder="1" applyAlignment="1">
      <alignment horizontal="center" vertical="center" wrapText="1"/>
    </xf>
    <xf numFmtId="0" fontId="9" fillId="0" borderId="0" xfId="0" applyFont="1" applyBorder="1" applyAlignment="1">
      <alignment horizontal="left" indent="1"/>
    </xf>
    <xf numFmtId="0" fontId="9" fillId="0" borderId="23" xfId="0" applyFont="1" applyBorder="1" applyAlignment="1"/>
    <xf numFmtId="0" fontId="11" fillId="0" borderId="0" xfId="0" applyFont="1" applyBorder="1" applyAlignment="1">
      <alignment horizontal="left" vertical="center" indent="1"/>
    </xf>
    <xf numFmtId="0" fontId="7" fillId="0" borderId="0" xfId="0" applyFont="1" applyBorder="1" applyAlignment="1"/>
    <xf numFmtId="0" fontId="16" fillId="0" borderId="22" xfId="0" applyFont="1" applyBorder="1" applyAlignment="1">
      <alignment horizontal="left" vertical="center" indent="2"/>
    </xf>
    <xf numFmtId="164" fontId="7" fillId="0" borderId="0" xfId="3" applyNumberFormat="1" applyFont="1" applyBorder="1" applyAlignment="1">
      <alignment horizontal="center" vertical="center" wrapText="1"/>
    </xf>
    <xf numFmtId="0" fontId="10" fillId="0" borderId="0" xfId="0" applyFont="1" applyBorder="1" applyAlignment="1">
      <alignment horizontal="left" vertical="center"/>
    </xf>
    <xf numFmtId="0" fontId="0" fillId="0" borderId="4" xfId="0" applyFont="1" applyBorder="1"/>
    <xf numFmtId="0" fontId="11" fillId="0" borderId="22" xfId="0" applyFont="1" applyBorder="1" applyAlignment="1">
      <alignment horizontal="left" vertical="center" indent="2"/>
    </xf>
    <xf numFmtId="0" fontId="0" fillId="0" borderId="7" xfId="0" applyFont="1" applyBorder="1"/>
    <xf numFmtId="0" fontId="10" fillId="0" borderId="20" xfId="0" applyFont="1" applyBorder="1" applyAlignment="1">
      <alignment horizontal="left" vertical="center" indent="1"/>
    </xf>
    <xf numFmtId="0" fontId="10" fillId="0" borderId="0" xfId="0" applyFont="1" applyBorder="1" applyAlignment="1">
      <alignment horizontal="left" vertical="center" indent="1"/>
    </xf>
    <xf numFmtId="0" fontId="11" fillId="0" borderId="22" xfId="0" applyFont="1" applyBorder="1" applyAlignment="1">
      <alignment horizontal="left" vertical="center" indent="1"/>
    </xf>
    <xf numFmtId="0" fontId="11" fillId="0" borderId="0" xfId="0" applyFont="1" applyBorder="1" applyAlignment="1">
      <alignment horizontal="left" vertical="center" indent="2"/>
    </xf>
    <xf numFmtId="2" fontId="7" fillId="0" borderId="0" xfId="2" applyNumberFormat="1" applyFont="1" applyBorder="1" applyAlignment="1">
      <alignment horizontal="center" vertical="center" wrapText="1"/>
    </xf>
    <xf numFmtId="0" fontId="10" fillId="0" borderId="22" xfId="0" applyFont="1" applyBorder="1" applyAlignment="1">
      <alignment horizontal="left" vertical="center" indent="1"/>
    </xf>
    <xf numFmtId="166" fontId="7" fillId="0" borderId="0" xfId="2" applyNumberFormat="1" applyFont="1" applyBorder="1" applyAlignment="1">
      <alignment horizontal="center" vertical="center" wrapText="1"/>
    </xf>
    <xf numFmtId="166" fontId="7" fillId="0" borderId="21" xfId="2" applyNumberFormat="1" applyFont="1" applyBorder="1" applyAlignment="1">
      <alignment horizontal="center" vertical="center" wrapText="1"/>
    </xf>
    <xf numFmtId="166" fontId="9" fillId="0" borderId="21" xfId="2" applyNumberFormat="1" applyFont="1" applyBorder="1" applyAlignment="1">
      <alignment horizontal="center" vertical="center" wrapText="1"/>
    </xf>
    <xf numFmtId="166" fontId="9" fillId="0" borderId="0" xfId="2" applyNumberFormat="1" applyFont="1" applyBorder="1" applyAlignment="1">
      <alignment horizontal="center" vertical="center" wrapText="1"/>
    </xf>
    <xf numFmtId="0" fontId="10" fillId="0" borderId="24" xfId="0" applyFont="1" applyBorder="1" applyAlignment="1">
      <alignment horizontal="left" vertical="center"/>
    </xf>
    <xf numFmtId="0" fontId="9" fillId="0" borderId="18" xfId="0" applyFont="1" applyBorder="1" applyAlignment="1"/>
    <xf numFmtId="166" fontId="11" fillId="0" borderId="19" xfId="2" applyNumberFormat="1" applyFont="1" applyBorder="1" applyAlignment="1">
      <alignment horizontal="center" vertical="center" wrapText="1"/>
    </xf>
    <xf numFmtId="166" fontId="13" fillId="0" borderId="18" xfId="2" applyNumberFormat="1" applyFont="1" applyBorder="1" applyAlignment="1">
      <alignment horizontal="center" vertical="center" wrapText="1"/>
    </xf>
    <xf numFmtId="0" fontId="9" fillId="0" borderId="17" xfId="0" applyFont="1" applyBorder="1" applyAlignment="1">
      <alignment horizontal="left"/>
    </xf>
    <xf numFmtId="0" fontId="17" fillId="0" borderId="0" xfId="0" applyFont="1"/>
    <xf numFmtId="0" fontId="0" fillId="0" borderId="0" xfId="0" applyBorder="1"/>
    <xf numFmtId="9" fontId="7" fillId="0" borderId="21" xfId="3" applyFont="1" applyBorder="1" applyAlignment="1">
      <alignment horizontal="center" vertical="center" wrapText="1"/>
    </xf>
    <xf numFmtId="0" fontId="19" fillId="0" borderId="0" xfId="0" applyFont="1"/>
    <xf numFmtId="0" fontId="21" fillId="0" borderId="0" xfId="0" applyFont="1" applyBorder="1"/>
    <xf numFmtId="0" fontId="22" fillId="0" borderId="0" xfId="0" applyFont="1"/>
    <xf numFmtId="0" fontId="20" fillId="0" borderId="0" xfId="0" applyFont="1" applyBorder="1" applyAlignment="1">
      <alignment horizontal="center"/>
    </xf>
    <xf numFmtId="0" fontId="7" fillId="0" borderId="25" xfId="0" applyFont="1" applyBorder="1"/>
    <xf numFmtId="0" fontId="19" fillId="0" borderId="25" xfId="0" applyFont="1" applyBorder="1"/>
    <xf numFmtId="0" fontId="0" fillId="0" borderId="25" xfId="0" applyBorder="1"/>
    <xf numFmtId="0" fontId="12" fillId="0" borderId="25" xfId="0" applyFont="1" applyBorder="1" applyAlignment="1">
      <alignment horizontal="center"/>
    </xf>
    <xf numFmtId="166" fontId="11" fillId="0" borderId="0" xfId="2" applyNumberFormat="1" applyFont="1" applyBorder="1" applyAlignment="1">
      <alignment horizontal="center" vertical="center" wrapText="1"/>
    </xf>
    <xf numFmtId="0" fontId="7" fillId="0" borderId="25" xfId="0" applyFont="1" applyBorder="1" applyAlignment="1"/>
    <xf numFmtId="0" fontId="9" fillId="0" borderId="0" xfId="0" applyFont="1" applyBorder="1" applyAlignment="1">
      <alignment horizontal="left"/>
    </xf>
    <xf numFmtId="0" fontId="9" fillId="0" borderId="25" xfId="0" applyFont="1" applyBorder="1" applyAlignment="1"/>
    <xf numFmtId="166" fontId="13" fillId="0" borderId="25" xfId="2" applyNumberFormat="1" applyFont="1" applyBorder="1" applyAlignment="1">
      <alignment horizontal="center" vertical="center" wrapText="1"/>
    </xf>
    <xf numFmtId="165" fontId="7" fillId="0" borderId="0" xfId="0" applyNumberFormat="1" applyFont="1" applyBorder="1" applyAlignment="1">
      <alignment horizontal="center" vertical="center" wrapText="1"/>
    </xf>
    <xf numFmtId="0" fontId="7" fillId="0" borderId="25" xfId="0" applyFont="1" applyBorder="1" applyAlignment="1">
      <alignment horizontal="left" indent="2"/>
    </xf>
    <xf numFmtId="164" fontId="7" fillId="0" borderId="25" xfId="3" applyNumberFormat="1" applyFont="1" applyBorder="1" applyAlignment="1">
      <alignment horizontal="center"/>
    </xf>
    <xf numFmtId="3" fontId="11" fillId="0" borderId="23" xfId="0" applyNumberFormat="1" applyFont="1" applyBorder="1" applyAlignment="1">
      <alignment horizontal="center" vertical="center" wrapText="1"/>
    </xf>
    <xf numFmtId="2" fontId="11" fillId="0" borderId="25" xfId="2" applyNumberFormat="1" applyFont="1" applyBorder="1" applyAlignment="1">
      <alignment horizontal="center" vertical="center" wrapText="1"/>
    </xf>
    <xf numFmtId="3" fontId="11" fillId="0" borderId="0" xfId="0" applyNumberFormat="1" applyFont="1" applyBorder="1" applyAlignment="1">
      <alignment horizontal="center" vertical="center" wrapText="1"/>
    </xf>
    <xf numFmtId="1" fontId="11" fillId="0" borderId="25" xfId="2" applyNumberFormat="1" applyFont="1" applyBorder="1" applyAlignment="1">
      <alignment horizontal="center" vertical="center" wrapText="1"/>
    </xf>
    <xf numFmtId="0" fontId="7" fillId="0" borderId="23" xfId="0" applyFont="1" applyBorder="1" applyAlignment="1">
      <alignment horizontal="left" indent="2"/>
    </xf>
    <xf numFmtId="164" fontId="13" fillId="0" borderId="25" xfId="0" applyNumberFormat="1" applyFont="1" applyBorder="1" applyAlignment="1">
      <alignment horizontal="center" vertical="center" wrapText="1"/>
    </xf>
    <xf numFmtId="164" fontId="9" fillId="0" borderId="25" xfId="3" applyNumberFormat="1" applyFont="1" applyBorder="1" applyAlignment="1">
      <alignment horizontal="center"/>
    </xf>
    <xf numFmtId="0" fontId="0" fillId="0" borderId="0" xfId="0" applyAlignment="1"/>
    <xf numFmtId="0" fontId="7" fillId="0" borderId="0" xfId="0" applyFont="1" applyBorder="1" applyAlignment="1">
      <alignment horizontal="left" indent="1"/>
    </xf>
    <xf numFmtId="0" fontId="9" fillId="0" borderId="19" xfId="0" applyFont="1" applyBorder="1" applyAlignment="1"/>
    <xf numFmtId="166" fontId="10" fillId="0" borderId="19" xfId="2" applyNumberFormat="1" applyFont="1" applyBorder="1" applyAlignment="1">
      <alignment horizontal="center" vertical="center" wrapText="1"/>
    </xf>
    <xf numFmtId="2" fontId="11" fillId="0" borderId="20" xfId="0" applyNumberFormat="1" applyFont="1" applyBorder="1" applyAlignment="1">
      <alignment horizontal="center" vertical="center"/>
    </xf>
    <xf numFmtId="167" fontId="7" fillId="0" borderId="21" xfId="2" applyNumberFormat="1" applyFont="1" applyBorder="1" applyAlignment="1">
      <alignment horizontal="center" vertical="center" wrapText="1"/>
    </xf>
    <xf numFmtId="10" fontId="7" fillId="0" borderId="21" xfId="3" applyNumberFormat="1" applyFont="1" applyBorder="1" applyAlignment="1">
      <alignment horizontal="center" vertical="center" wrapText="1"/>
    </xf>
    <xf numFmtId="0" fontId="23" fillId="0" borderId="25" xfId="0" applyFont="1" applyBorder="1" applyAlignment="1">
      <alignment horizontal="center" vertical="center" wrapText="1"/>
    </xf>
    <xf numFmtId="0" fontId="9" fillId="0" borderId="17" xfId="0" applyFont="1" applyBorder="1" applyAlignment="1">
      <alignment vertical="center"/>
    </xf>
    <xf numFmtId="0" fontId="7" fillId="0" borderId="0" xfId="0" applyFont="1" applyBorder="1" applyAlignment="1">
      <alignment vertical="center"/>
    </xf>
    <xf numFmtId="0" fontId="7" fillId="0" borderId="25" xfId="0" applyFont="1" applyBorder="1" applyAlignment="1">
      <alignment vertical="center"/>
    </xf>
    <xf numFmtId="0" fontId="7" fillId="0" borderId="23" xfId="0" applyFont="1" applyBorder="1" applyAlignment="1">
      <alignment vertical="center"/>
    </xf>
    <xf numFmtId="3" fontId="11" fillId="2" borderId="23" xfId="0" applyNumberFormat="1" applyFont="1" applyFill="1" applyBorder="1" applyAlignment="1">
      <alignment horizontal="center" vertical="center" wrapText="1"/>
    </xf>
    <xf numFmtId="2" fontId="11" fillId="2" borderId="25" xfId="2" applyNumberFormat="1" applyFont="1" applyFill="1" applyBorder="1" applyAlignment="1">
      <alignment horizontal="center" vertical="center" wrapText="1"/>
    </xf>
    <xf numFmtId="0" fontId="0" fillId="0" borderId="4" xfId="0" applyBorder="1"/>
    <xf numFmtId="0" fontId="0" fillId="0" borderId="0" xfId="0" applyBorder="1"/>
    <xf numFmtId="0" fontId="7" fillId="0" borderId="17" xfId="0" applyFont="1" applyBorder="1" applyAlignment="1">
      <alignment horizontal="left"/>
    </xf>
    <xf numFmtId="0" fontId="7" fillId="0" borderId="17" xfId="0" applyFont="1" applyBorder="1" applyAlignment="1">
      <alignment horizontal="left" indent="1"/>
    </xf>
    <xf numFmtId="166" fontId="11" fillId="0" borderId="17" xfId="2" applyNumberFormat="1" applyFont="1" applyBorder="1" applyAlignment="1">
      <alignment horizontal="center" vertical="center" wrapText="1"/>
    </xf>
    <xf numFmtId="1" fontId="10" fillId="0" borderId="0" xfId="0" applyNumberFormat="1" applyFont="1" applyFill="1" applyBorder="1" applyAlignment="1">
      <alignment horizontal="center" vertical="center" wrapText="1"/>
    </xf>
    <xf numFmtId="164" fontId="11" fillId="0" borderId="0" xfId="3" applyNumberFormat="1" applyFont="1" applyFill="1" applyBorder="1" applyAlignment="1">
      <alignment horizontal="center" vertical="center" wrapText="1"/>
    </xf>
    <xf numFmtId="2" fontId="11" fillId="0" borderId="20" xfId="0" applyNumberFormat="1" applyFont="1" applyFill="1" applyBorder="1" applyAlignment="1">
      <alignment horizontal="center" vertical="center"/>
    </xf>
    <xf numFmtId="9" fontId="7" fillId="0" borderId="21" xfId="3" applyFont="1" applyFill="1" applyBorder="1" applyAlignment="1">
      <alignment horizontal="center" vertical="center" wrapText="1"/>
    </xf>
    <xf numFmtId="167" fontId="7" fillId="0" borderId="21" xfId="2" applyNumberFormat="1" applyFont="1" applyFill="1" applyBorder="1" applyAlignment="1">
      <alignment horizontal="center" vertical="center" wrapText="1"/>
    </xf>
    <xf numFmtId="10" fontId="7" fillId="0" borderId="21" xfId="3" applyNumberFormat="1" applyFont="1" applyFill="1" applyBorder="1" applyAlignment="1">
      <alignment horizontal="center" vertical="center" wrapText="1"/>
    </xf>
    <xf numFmtId="164" fontId="0" fillId="0" borderId="0" xfId="3" applyNumberFormat="1" applyFont="1" applyBorder="1"/>
    <xf numFmtId="1" fontId="0" fillId="0" borderId="0" xfId="0" applyNumberFormat="1" applyBorder="1"/>
    <xf numFmtId="166" fontId="11" fillId="0" borderId="0" xfId="2" applyNumberFormat="1" applyFont="1" applyFill="1" applyBorder="1" applyAlignment="1">
      <alignment horizontal="center" vertical="center" wrapText="1"/>
    </xf>
    <xf numFmtId="166" fontId="7" fillId="0" borderId="17" xfId="0" applyNumberFormat="1" applyFont="1" applyBorder="1" applyAlignment="1">
      <alignment horizontal="center" vertical="center"/>
    </xf>
    <xf numFmtId="166" fontId="9" fillId="0" borderId="25" xfId="0" applyNumberFormat="1" applyFont="1" applyBorder="1" applyAlignment="1">
      <alignment horizontal="center" vertical="center"/>
    </xf>
    <xf numFmtId="166" fontId="7" fillId="0" borderId="19" xfId="0" applyNumberFormat="1" applyFont="1" applyBorder="1" applyAlignment="1">
      <alignment horizontal="center"/>
    </xf>
    <xf numFmtId="0" fontId="24" fillId="0" borderId="0" xfId="0" applyFont="1" applyBorder="1" applyAlignment="1">
      <alignment vertical="top" wrapText="1"/>
    </xf>
    <xf numFmtId="3" fontId="9" fillId="0" borderId="21" xfId="0" applyNumberFormat="1" applyFont="1" applyBorder="1" applyAlignment="1">
      <alignment horizontal="center" vertical="center" wrapText="1"/>
    </xf>
    <xf numFmtId="0" fontId="25" fillId="0" borderId="0" xfId="0" applyFont="1"/>
    <xf numFmtId="0" fontId="0" fillId="0" borderId="26" xfId="0" applyBorder="1"/>
    <xf numFmtId="0" fontId="10" fillId="0" borderId="27" xfId="0" applyFont="1" applyBorder="1" applyAlignment="1">
      <alignment horizontal="left" vertical="center"/>
    </xf>
    <xf numFmtId="0" fontId="9" fillId="0" borderId="28" xfId="0" applyFont="1" applyBorder="1" applyAlignment="1">
      <alignment horizontal="left" indent="1"/>
    </xf>
    <xf numFmtId="9" fontId="9" fillId="0" borderId="29" xfId="0" applyNumberFormat="1" applyFont="1" applyBorder="1" applyAlignment="1">
      <alignment horizontal="center" vertical="center" wrapText="1"/>
    </xf>
    <xf numFmtId="0" fontId="11" fillId="0" borderId="25" xfId="0" applyFont="1" applyFill="1" applyBorder="1" applyAlignment="1">
      <alignment horizontal="left" vertical="center" indent="1"/>
    </xf>
    <xf numFmtId="9" fontId="7" fillId="0" borderId="25" xfId="0" applyNumberFormat="1" applyFont="1" applyBorder="1" applyAlignment="1">
      <alignment horizontal="center"/>
    </xf>
    <xf numFmtId="0" fontId="26" fillId="0" borderId="25" xfId="0" applyFont="1" applyBorder="1" applyAlignment="1">
      <alignment horizontal="left"/>
    </xf>
    <xf numFmtId="0" fontId="26" fillId="0" borderId="25" xfId="0" applyFont="1" applyBorder="1"/>
    <xf numFmtId="0" fontId="27" fillId="0" borderId="25" xfId="0" applyFont="1" applyBorder="1"/>
    <xf numFmtId="9" fontId="26" fillId="0" borderId="25" xfId="3" applyNumberFormat="1" applyFont="1" applyBorder="1" applyAlignment="1">
      <alignment horizontal="center"/>
    </xf>
    <xf numFmtId="0" fontId="26" fillId="0" borderId="0" xfId="0" applyFont="1"/>
    <xf numFmtId="9" fontId="26" fillId="0" borderId="21" xfId="3" applyFont="1" applyBorder="1" applyAlignment="1">
      <alignment horizontal="center" vertical="center" wrapText="1"/>
    </xf>
    <xf numFmtId="0" fontId="28" fillId="0" borderId="20" xfId="0" applyFont="1" applyBorder="1" applyAlignment="1">
      <alignment horizontal="left" vertical="center" indent="2"/>
    </xf>
    <xf numFmtId="0" fontId="29" fillId="0" borderId="0" xfId="0" applyFont="1" applyBorder="1" applyAlignment="1">
      <alignment horizontal="center"/>
    </xf>
    <xf numFmtId="1" fontId="10" fillId="0" borderId="0" xfId="2" applyNumberFormat="1" applyFont="1" applyBorder="1" applyAlignment="1">
      <alignment horizontal="center" vertical="center" wrapText="1"/>
    </xf>
    <xf numFmtId="1" fontId="11" fillId="0" borderId="19" xfId="2" applyNumberFormat="1" applyFont="1" applyBorder="1" applyAlignment="1">
      <alignment horizontal="center" vertical="center" wrapText="1"/>
    </xf>
    <xf numFmtId="1" fontId="11" fillId="0" borderId="0" xfId="2" applyNumberFormat="1" applyFont="1" applyBorder="1" applyAlignment="1">
      <alignment horizontal="center" vertical="center" wrapText="1"/>
    </xf>
    <xf numFmtId="1" fontId="30" fillId="0" borderId="25" xfId="2" applyNumberFormat="1" applyFont="1" applyBorder="1" applyAlignment="1">
      <alignment horizontal="center" vertical="center" wrapText="1"/>
    </xf>
    <xf numFmtId="0" fontId="12" fillId="0" borderId="30" xfId="0" applyFont="1" applyBorder="1" applyAlignment="1">
      <alignment horizontal="center"/>
    </xf>
    <xf numFmtId="0" fontId="12" fillId="0" borderId="25" xfId="0" applyFont="1" applyBorder="1" applyAlignment="1">
      <alignment horizontal="left" vertical="center"/>
    </xf>
    <xf numFmtId="0" fontId="7" fillId="0" borderId="26" xfId="0" applyFont="1" applyBorder="1"/>
    <xf numFmtId="1" fontId="10" fillId="0" borderId="26" xfId="2" applyNumberFormat="1" applyFont="1" applyBorder="1" applyAlignment="1">
      <alignment horizontal="center" vertical="center" wrapText="1"/>
    </xf>
    <xf numFmtId="1" fontId="10" fillId="0" borderId="31" xfId="2" applyNumberFormat="1" applyFont="1" applyBorder="1" applyAlignment="1">
      <alignment horizontal="center" vertical="center" wrapText="1"/>
    </xf>
    <xf numFmtId="1" fontId="10" fillId="0" borderId="17" xfId="2" applyNumberFormat="1" applyFont="1" applyBorder="1" applyAlignment="1">
      <alignment horizontal="center" vertical="center" wrapText="1"/>
    </xf>
    <xf numFmtId="1" fontId="13" fillId="0" borderId="18" xfId="2" applyNumberFormat="1" applyFont="1" applyBorder="1" applyAlignment="1">
      <alignment horizontal="center" vertical="center" wrapText="1"/>
    </xf>
    <xf numFmtId="0" fontId="8" fillId="0" borderId="0" xfId="0" applyFont="1"/>
    <xf numFmtId="167" fontId="10" fillId="0" borderId="17" xfId="2" applyNumberFormat="1" applyFont="1" applyBorder="1" applyAlignment="1">
      <alignment vertical="center" wrapText="1"/>
    </xf>
    <xf numFmtId="166" fontId="11" fillId="2" borderId="19" xfId="2" applyNumberFormat="1" applyFont="1" applyFill="1" applyBorder="1" applyAlignment="1">
      <alignment horizontal="center" vertical="center" wrapText="1"/>
    </xf>
    <xf numFmtId="9" fontId="7" fillId="2" borderId="21" xfId="3" applyFont="1" applyFill="1" applyBorder="1" applyAlignment="1">
      <alignment horizontal="center" vertical="center" wrapText="1"/>
    </xf>
    <xf numFmtId="0" fontId="0" fillId="0" borderId="0" xfId="0" applyBorder="1"/>
    <xf numFmtId="1" fontId="13" fillId="0" borderId="0" xfId="2" applyNumberFormat="1" applyFont="1" applyBorder="1" applyAlignment="1">
      <alignment horizontal="center" vertical="center" wrapText="1"/>
    </xf>
    <xf numFmtId="0" fontId="7" fillId="0" borderId="18" xfId="0" applyFont="1" applyBorder="1" applyAlignment="1">
      <alignment horizontal="center" vertical="center"/>
    </xf>
    <xf numFmtId="167" fontId="7" fillId="0" borderId="18" xfId="2" applyNumberFormat="1" applyFont="1" applyBorder="1" applyAlignment="1">
      <alignment horizontal="center" vertical="center" wrapText="1"/>
    </xf>
    <xf numFmtId="9" fontId="7" fillId="0" borderId="18" xfId="3" applyFont="1" applyBorder="1" applyAlignment="1">
      <alignment horizontal="center" vertical="center"/>
    </xf>
    <xf numFmtId="9" fontId="0" fillId="0" borderId="26" xfId="0" applyNumberFormat="1" applyBorder="1"/>
    <xf numFmtId="10" fontId="11" fillId="0" borderId="18" xfId="3" applyNumberFormat="1" applyFont="1" applyBorder="1" applyAlignment="1">
      <alignment horizontal="center" vertical="center" wrapText="1"/>
    </xf>
    <xf numFmtId="9" fontId="11" fillId="0" borderId="18" xfId="3" applyFont="1" applyBorder="1" applyAlignment="1">
      <alignment horizontal="center" vertical="center" wrapText="1"/>
    </xf>
    <xf numFmtId="0" fontId="0" fillId="0" borderId="4" xfId="0" applyBorder="1"/>
    <xf numFmtId="0" fontId="0" fillId="0" borderId="0" xfId="0" applyBorder="1"/>
    <xf numFmtId="0" fontId="12" fillId="0" borderId="0" xfId="0" applyFont="1" applyBorder="1"/>
    <xf numFmtId="0" fontId="20" fillId="0" borderId="0" xfId="0" applyFont="1" applyBorder="1"/>
    <xf numFmtId="0" fontId="32" fillId="0" borderId="19" xfId="0" applyFont="1" applyBorder="1" applyAlignment="1">
      <alignment horizontal="left" indent="2"/>
    </xf>
  </cellXfs>
  <cellStyles count="4">
    <cellStyle name="Hiperlink" xfId="1" builtinId="8"/>
    <cellStyle name="Normal" xfId="0" builtinId="0"/>
    <cellStyle name="Porcentagem" xfId="3" builtinId="5"/>
    <cellStyle name="Vírgula" xfId="2" builtinId="3"/>
  </cellStyles>
  <dxfs count="0"/>
  <tableStyles count="0" defaultTableStyle="TableStyleMedium2" defaultPivotStyle="PivotStyleLight16"/>
  <colors>
    <mruColors>
      <color rgb="FFFF7700"/>
      <color rgb="FFEA7423"/>
      <color rgb="FFED77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hyperlink" Target="#Sum&#225;rio!A1"/><Relationship Id="rId2" Type="http://schemas.microsoft.com/office/2007/relationships/hdphoto" Target="../media/hdphoto1.wdp"/><Relationship Id="rId1" Type="http://schemas.openxmlformats.org/officeDocument/2006/relationships/image" Target="../media/image1.png"/><Relationship Id="rId6" Type="http://schemas.openxmlformats.org/officeDocument/2006/relationships/image" Target="../media/image3.png"/><Relationship Id="rId5" Type="http://schemas.openxmlformats.org/officeDocument/2006/relationships/hyperlink" Target="#Disclaimer!A1"/><Relationship Id="rId4" Type="http://schemas.openxmlformats.org/officeDocument/2006/relationships/image" Target="../media/image2.png"/></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7" Type="http://schemas.openxmlformats.org/officeDocument/2006/relationships/image" Target="../media/image2.png"/><Relationship Id="rId2" Type="http://schemas.openxmlformats.org/officeDocument/2006/relationships/hyperlink" Target="https://ri.tegma.com.br/informacoes-financeiras/historico-de-resultados/" TargetMode="External"/><Relationship Id="rId1" Type="http://schemas.openxmlformats.org/officeDocument/2006/relationships/image" Target="../media/image4.png"/><Relationship Id="rId6" Type="http://schemas.openxmlformats.org/officeDocument/2006/relationships/hyperlink" Target="#Capa!A1"/><Relationship Id="rId5" Type="http://schemas.openxmlformats.org/officeDocument/2006/relationships/image" Target="../media/image3.png"/><Relationship Id="rId4" Type="http://schemas.openxmlformats.org/officeDocument/2006/relationships/hyperlink" Target="#Sum&#225;rio!A1"/></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2.png"/><Relationship Id="rId2" Type="http://schemas.openxmlformats.org/officeDocument/2006/relationships/image" Target="../media/image6.png"/><Relationship Id="rId1" Type="http://schemas.openxmlformats.org/officeDocument/2006/relationships/image" Target="../media/image4.png"/><Relationship Id="rId6" Type="http://schemas.openxmlformats.org/officeDocument/2006/relationships/hyperlink" Target="#Disclaimer!A1"/><Relationship Id="rId5" Type="http://schemas.openxmlformats.org/officeDocument/2006/relationships/image" Target="../media/image3.png"/><Relationship Id="rId4" Type="http://schemas.openxmlformats.org/officeDocument/2006/relationships/hyperlink" Target="#'Sobre a Tegma'!A1"/></Relationships>
</file>

<file path=xl/drawings/_rels/drawing4.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9.png"/><Relationship Id="rId7" Type="http://schemas.openxmlformats.org/officeDocument/2006/relationships/image" Target="../media/image10.png"/><Relationship Id="rId2" Type="http://schemas.openxmlformats.org/officeDocument/2006/relationships/image" Target="../media/image8.jpeg"/><Relationship Id="rId1" Type="http://schemas.openxmlformats.org/officeDocument/2006/relationships/image" Target="../media/image4.png"/><Relationship Id="rId6" Type="http://schemas.openxmlformats.org/officeDocument/2006/relationships/hyperlink" Target="#Sum&#225;rio!A1"/><Relationship Id="rId5" Type="http://schemas.openxmlformats.org/officeDocument/2006/relationships/image" Target="../media/image3.png"/><Relationship Id="rId4" Type="http://schemas.openxmlformats.org/officeDocument/2006/relationships/hyperlink" Target="#'Res Auto'!A1"/></Relationships>
</file>

<file path=xl/drawings/_rels/drawing5.xml.rels><?xml version="1.0" encoding="UTF-8" standalone="yes"?>
<Relationships xmlns="http://schemas.openxmlformats.org/package/2006/relationships"><Relationship Id="rId8" Type="http://schemas.microsoft.com/office/2007/relationships/hdphoto" Target="../media/hdphoto2.wdp"/><Relationship Id="rId3" Type="http://schemas.openxmlformats.org/officeDocument/2006/relationships/image" Target="../media/image11.jpeg"/><Relationship Id="rId7" Type="http://schemas.openxmlformats.org/officeDocument/2006/relationships/image" Target="../media/image12.png"/><Relationship Id="rId67" Type="http://schemas.openxmlformats.org/officeDocument/2006/relationships/image" Target="../media/image2.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Sobre a Tegma'!A1"/><Relationship Id="rId66" Type="http://schemas.openxmlformats.org/officeDocument/2006/relationships/hyperlink" Target="#Sum&#225;rio!A1"/><Relationship Id="rId5" Type="http://schemas.openxmlformats.org/officeDocument/2006/relationships/image" Target="../media/image3.png"/><Relationship Id="rId65" Type="http://schemas.openxmlformats.org/officeDocument/2006/relationships/image" Target="../../ppt/media/image67.svg"/><Relationship Id="rId4" Type="http://schemas.openxmlformats.org/officeDocument/2006/relationships/hyperlink" Target="#'Vol. ve&#237;culos transportados'!A1"/></Relationships>
</file>

<file path=xl/drawings/_rels/drawing6.xml.rels><?xml version="1.0" encoding="UTF-8" standalone="yes"?>
<Relationships xmlns="http://schemas.openxmlformats.org/package/2006/relationships"><Relationship Id="rId8" Type="http://schemas.openxmlformats.org/officeDocument/2006/relationships/hyperlink" Target="#'Res Auto'!A1"/><Relationship Id="rId3" Type="http://schemas.openxmlformats.org/officeDocument/2006/relationships/image" Target="../media/image1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Dist&#226;ncia m&#233;dia'!A1"/><Relationship Id="rId5" Type="http://schemas.openxmlformats.org/officeDocument/2006/relationships/image" Target="../media/image2.png"/><Relationship Id="rId4" Type="http://schemas.openxmlformats.org/officeDocument/2006/relationships/hyperlink" Target="#Sum&#225;rio!A1"/></Relationships>
</file>

<file path=xl/drawings/_rels/drawing7.xml.rels><?xml version="1.0" encoding="UTF-8" standalone="yes"?>
<Relationships xmlns="http://schemas.openxmlformats.org/package/2006/relationships"><Relationship Id="rId8" Type="http://schemas.openxmlformats.org/officeDocument/2006/relationships/hyperlink" Target="#Sum&#225;rio!A1"/><Relationship Id="rId3" Type="http://schemas.openxmlformats.org/officeDocument/2006/relationships/image" Target="../media/image14.png"/><Relationship Id="rId7" Type="http://schemas.openxmlformats.org/officeDocument/2006/relationships/hyperlink" Target="#'Vol. ve&#237;culos transportados'!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Ticket m&#233;dio'!A1"/><Relationship Id="rId4" Type="http://schemas.microsoft.com/office/2007/relationships/hdphoto" Target="../media/hdphoto3.wdp"/><Relationship Id="rId9" Type="http://schemas.openxmlformats.org/officeDocument/2006/relationships/image" Target="../media/image2.png"/></Relationships>
</file>

<file path=xl/drawings/_rels/drawing8.xml.rels><?xml version="1.0" encoding="UTF-8" standalone="yes"?>
<Relationships xmlns="http://schemas.openxmlformats.org/package/2006/relationships"><Relationship Id="rId8" Type="http://schemas.openxmlformats.org/officeDocument/2006/relationships/hyperlink" Target="#'Dist&#226;ncia m&#233;dia'!A1"/><Relationship Id="rId3" Type="http://schemas.openxmlformats.org/officeDocument/2006/relationships/image" Target="../media/image15.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ustos e despesas - DLV'!A1"/><Relationship Id="rId5" Type="http://schemas.openxmlformats.org/officeDocument/2006/relationships/image" Target="../media/image2.png"/><Relationship Id="rId4" Type="http://schemas.openxmlformats.org/officeDocument/2006/relationships/hyperlink" Target="#Sum&#225;rio!A1"/></Relationships>
</file>

<file path=xl/drawings/_rels/drawing9.xml.rels><?xml version="1.0" encoding="UTF-8" standalone="yes"?>
<Relationships xmlns="http://schemas.openxmlformats.org/package/2006/relationships"><Relationship Id="rId8" Type="http://schemas.openxmlformats.org/officeDocument/2006/relationships/hyperlink" Target="#'Ticket m&#233;dio'!A1"/><Relationship Id="rId3" Type="http://schemas.openxmlformats.org/officeDocument/2006/relationships/image" Target="../media/image11.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Resumo financeiro - DLV'!A1"/><Relationship Id="rId5" Type="http://schemas.openxmlformats.org/officeDocument/2006/relationships/image" Target="../media/image2.png"/><Relationship Id="rId4" Type="http://schemas.openxmlformats.org/officeDocument/2006/relationships/hyperlink" Target="#Sum&#225;rio!A1"/></Relationships>
</file>

<file path=xl/drawings/_rels/drawing10.xml.rels><?xml version="1.0" encoding="UTF-8" standalone="yes"?>
<Relationships xmlns="http://schemas.openxmlformats.org/package/2006/relationships"><Relationship Id="rId8" Type="http://schemas.openxmlformats.org/officeDocument/2006/relationships/hyperlink" Target="#'Custos e despesas - DLV'!A1"/><Relationship Id="rId3" Type="http://schemas.openxmlformats.org/officeDocument/2006/relationships/image" Target="../media/image1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Resumo financeiro - DLI'!A1"/><Relationship Id="rId5" Type="http://schemas.openxmlformats.org/officeDocument/2006/relationships/image" Target="../media/image2.png"/><Relationship Id="rId4" Type="http://schemas.openxmlformats.org/officeDocument/2006/relationships/hyperlink" Target="#Sum&#225;rio!A1"/></Relationships>
</file>

<file path=xl/drawings/_rels/drawing11.xml.rels><?xml version="1.0" encoding="UTF-8" standalone="yes"?>
<Relationships xmlns="http://schemas.openxmlformats.org/package/2006/relationships"><Relationship Id="rId8" Type="http://schemas.openxmlformats.org/officeDocument/2006/relationships/hyperlink" Target="#'Resumo financeiro - DLV'!A1"/><Relationship Id="rId3" Type="http://schemas.openxmlformats.org/officeDocument/2006/relationships/image" Target="../media/image16.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ustos e Despesas - DLI'!A1"/><Relationship Id="rId5" Type="http://schemas.openxmlformats.org/officeDocument/2006/relationships/image" Target="../media/image2.png"/><Relationship Id="rId4" Type="http://schemas.openxmlformats.org/officeDocument/2006/relationships/hyperlink" Target="#Sum&#225;rio!A1"/></Relationships>
</file>

<file path=xl/drawings/_rels/drawing12.xml.rels><?xml version="1.0" encoding="UTF-8" standalone="yes"?>
<Relationships xmlns="http://schemas.openxmlformats.org/package/2006/relationships"><Relationship Id="rId8" Type="http://schemas.openxmlformats.org/officeDocument/2006/relationships/hyperlink" Target="#'Res Log. Int.'!A1"/><Relationship Id="rId3" Type="http://schemas.openxmlformats.org/officeDocument/2006/relationships/image" Target="../media/image17.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Resumo financeiro - DLI'!A1"/><Relationship Id="rId5" Type="http://schemas.openxmlformats.org/officeDocument/2006/relationships/image" Target="../media/image2.png"/><Relationship Id="rId4" Type="http://schemas.openxmlformats.org/officeDocument/2006/relationships/hyperlink" Target="#Sum&#225;rio!A1"/></Relationships>
</file>

<file path=xl/drawings/_rels/drawing13.xml.rels><?xml version="1.0" encoding="UTF-8" standalone="yes"?>
<Relationships xmlns="http://schemas.openxmlformats.org/package/2006/relationships"><Relationship Id="rId8" Type="http://schemas.openxmlformats.org/officeDocument/2006/relationships/hyperlink" Target="#'Custos e Despesas - DLI'!A1"/><Relationship Id="rId3" Type="http://schemas.openxmlformats.org/officeDocument/2006/relationships/image" Target="../media/image18.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Res Consolidados'!A1"/><Relationship Id="rId5" Type="http://schemas.openxmlformats.org/officeDocument/2006/relationships/image" Target="../media/image2.png"/><Relationship Id="rId4" Type="http://schemas.openxmlformats.org/officeDocument/2006/relationships/hyperlink" Target="#Sum&#225;rio!A1"/></Relationships>
</file>

<file path=xl/drawings/_rels/drawing14.xml.rels><?xml version="1.0" encoding="UTF-8" standalone="yes"?>
<Relationships xmlns="http://schemas.openxmlformats.org/package/2006/relationships"><Relationship Id="rId8" Type="http://schemas.openxmlformats.org/officeDocument/2006/relationships/image" Target="../media/image19.jpeg"/><Relationship Id="rId3" Type="http://schemas.openxmlformats.org/officeDocument/2006/relationships/hyperlink" Target="#Sum&#225;rio!A1"/><Relationship Id="rId7" Type="http://schemas.openxmlformats.org/officeDocument/2006/relationships/hyperlink" Target="#'Resumo financeiro - DLI'!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Resultado financeiro'!A1"/><Relationship Id="rId10" Type="http://schemas.openxmlformats.org/officeDocument/2006/relationships/image" Target="../media/image21.png"/><Relationship Id="rId4" Type="http://schemas.openxmlformats.org/officeDocument/2006/relationships/image" Target="../media/image2.png"/><Relationship Id="rId9" Type="http://schemas.openxmlformats.org/officeDocument/2006/relationships/image" Target="../media/image20.jpeg"/></Relationships>
</file>

<file path=xl/drawings/_rels/drawing15.xml.rels><?xml version="1.0" encoding="UTF-8" standalone="yes"?>
<Relationships xmlns="http://schemas.openxmlformats.org/package/2006/relationships"><Relationship Id="rId8" Type="http://schemas.openxmlformats.org/officeDocument/2006/relationships/hyperlink" Target="#'Res Consolidados'!A1"/><Relationship Id="rId3" Type="http://schemas.openxmlformats.org/officeDocument/2006/relationships/image" Target="../media/image22.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Equival&#234;ncia patrimonial'!A1"/><Relationship Id="rId5" Type="http://schemas.openxmlformats.org/officeDocument/2006/relationships/image" Target="../media/image2.png"/><Relationship Id="rId4" Type="http://schemas.openxmlformats.org/officeDocument/2006/relationships/hyperlink" Target="#Sum&#225;rio!A1"/></Relationships>
</file>

<file path=xl/drawings/_rels/drawing16.xml.rels><?xml version="1.0" encoding="UTF-8" standalone="yes"?>
<Relationships xmlns="http://schemas.openxmlformats.org/package/2006/relationships"><Relationship Id="rId8" Type="http://schemas.openxmlformats.org/officeDocument/2006/relationships/hyperlink" Target="#'Resultado financeiro'!A1"/><Relationship Id="rId3" Type="http://schemas.openxmlformats.org/officeDocument/2006/relationships/image" Target="../media/image2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IR e CSLL'!A1"/><Relationship Id="rId5" Type="http://schemas.openxmlformats.org/officeDocument/2006/relationships/image" Target="../media/image2.png"/><Relationship Id="rId4" Type="http://schemas.openxmlformats.org/officeDocument/2006/relationships/hyperlink" Target="#Sum&#225;rio!A1"/></Relationships>
</file>

<file path=xl/drawings/_rels/drawing17.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hyperlink" Target="#Sum&#225;rio!A1"/><Relationship Id="rId7" Type="http://schemas.openxmlformats.org/officeDocument/2006/relationships/hyperlink" Target="#'Equival&#234;ncia patrimonial'!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Balan&#231;o Patrimonial'!A1"/><Relationship Id="rId4" Type="http://schemas.openxmlformats.org/officeDocument/2006/relationships/image" Target="../media/image2.png"/></Relationships>
</file>

<file path=xl/drawings/_rels/drawing18.xml.rels><?xml version="1.0" encoding="UTF-8" standalone="yes"?>
<Relationships xmlns="http://schemas.openxmlformats.org/package/2006/relationships"><Relationship Id="rId8" Type="http://schemas.openxmlformats.org/officeDocument/2006/relationships/hyperlink" Target="#'IR e CSLL'!A1"/><Relationship Id="rId3" Type="http://schemas.openxmlformats.org/officeDocument/2006/relationships/image" Target="../media/image9.png"/><Relationship Id="rId7" Type="http://schemas.openxmlformats.org/officeDocument/2006/relationships/image" Target="../media/image3.png"/><Relationship Id="rId2" Type="http://schemas.openxmlformats.org/officeDocument/2006/relationships/image" Target="../media/image4.png"/><Relationship Id="rId1" Type="http://schemas.openxmlformats.org/officeDocument/2006/relationships/image" Target="../media/image25.png"/><Relationship Id="rId6" Type="http://schemas.openxmlformats.org/officeDocument/2006/relationships/hyperlink" Target="#CAPEX!A1"/><Relationship Id="rId5" Type="http://schemas.openxmlformats.org/officeDocument/2006/relationships/image" Target="../media/image2.png"/><Relationship Id="rId4" Type="http://schemas.openxmlformats.org/officeDocument/2006/relationships/hyperlink" Target="#Sum&#225;rio!A1"/></Relationships>
</file>

<file path=xl/drawings/_rels/drawing19.xml.rels><?xml version="1.0" encoding="UTF-8" standalone="yes"?>
<Relationships xmlns="http://schemas.openxmlformats.org/package/2006/relationships"><Relationship Id="rId3" Type="http://schemas.openxmlformats.org/officeDocument/2006/relationships/hyperlink" Target="#Sum&#225;rio!A1"/><Relationship Id="rId7" Type="http://schemas.openxmlformats.org/officeDocument/2006/relationships/hyperlink" Target="#'Balan&#231;o Patrimonial'!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Free cash flow to firm'!A1"/><Relationship Id="rId4" Type="http://schemas.openxmlformats.org/officeDocument/2006/relationships/image" Target="../media/image2.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26.png"/><Relationship Id="rId7" Type="http://schemas.openxmlformats.org/officeDocument/2006/relationships/hyperlink" Target="#Sum&#225;rio!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29.jpeg"/><Relationship Id="rId11" Type="http://schemas.openxmlformats.org/officeDocument/2006/relationships/hyperlink" Target="#CAPEX!A1"/><Relationship Id="rId5" Type="http://schemas.openxmlformats.org/officeDocument/2006/relationships/image" Target="../media/image28.png"/><Relationship Id="rId10" Type="http://schemas.openxmlformats.org/officeDocument/2006/relationships/image" Target="../media/image3.png"/><Relationship Id="rId4" Type="http://schemas.openxmlformats.org/officeDocument/2006/relationships/image" Target="../media/image27.png"/><Relationship Id="rId9" Type="http://schemas.openxmlformats.org/officeDocument/2006/relationships/hyperlink" Target="#'Dividendos e JSCP'!A1"/></Relationships>
</file>

<file path=xl/drawings/_rels/drawing21.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hyperlink" Target="#Sum&#225;rio!A1"/><Relationship Id="rId7" Type="http://schemas.openxmlformats.org/officeDocument/2006/relationships/hyperlink" Target="#'Free cash flow to firm'!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Contatos!A1"/><Relationship Id="rId4" Type="http://schemas.openxmlformats.org/officeDocument/2006/relationships/image" Target="../media/image2.png"/></Relationships>
</file>

<file path=xl/drawings/_rels/drawing2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Sum&#225;rio!A1"/><Relationship Id="rId1" Type="http://schemas.openxmlformats.org/officeDocument/2006/relationships/image" Target="../media/image31.png"/><Relationship Id="rId5" Type="http://schemas.openxmlformats.org/officeDocument/2006/relationships/image" Target="../media/image3.png"/><Relationship Id="rId4" Type="http://schemas.openxmlformats.org/officeDocument/2006/relationships/hyperlink" Target="#'Dividendos e JSCP'!A1"/></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10</xdr:col>
      <xdr:colOff>390525</xdr:colOff>
      <xdr:row>24</xdr:row>
      <xdr:rowOff>178173</xdr:rowOff>
    </xdr:to>
    <xdr:pic>
      <xdr:nvPicPr>
        <xdr:cNvPr id="2" name="Imagem 1" descr="Pessoas em uma praça&#10;&#10;Descrição gerada automaticamente">
          <a:extLst>
            <a:ext uri="{FF2B5EF4-FFF2-40B4-BE49-F238E27FC236}">
              <a16:creationId xmlns:a16="http://schemas.microsoft.com/office/drawing/2014/main" id="{B36825DA-6CD4-4886-E091-3623E2B59CBB}"/>
            </a:ext>
          </a:extLst>
        </xdr:cNvPr>
        <xdr:cNvPicPr/>
      </xdr:nvPicPr>
      <xdr:blipFill rotWithShape="1">
        <a:blip xmlns:r="http://schemas.openxmlformats.org/officeDocument/2006/relationships" r:embed="rId1" cstate="print">
          <a:duotone>
            <a:schemeClr val="bg2">
              <a:shade val="45000"/>
              <a:satMod val="135000"/>
            </a:schemeClr>
            <a:prstClr val="white"/>
          </a:duotone>
          <a:extLst>
            <a:ext uri="{BEBA8EAE-BF5A-486C-A8C5-ECC9F3942E4B}">
              <a14:imgProps xmlns:a14="http://schemas.microsoft.com/office/drawing/2010/main">
                <a14:imgLayer r:embed="rId2">
                  <a14:imgEffect>
                    <a14:saturation sat="66000"/>
                  </a14:imgEffect>
                </a14:imgLayer>
              </a14:imgProps>
            </a:ext>
            <a:ext uri="{28A0092B-C50C-407E-A947-70E740481C1C}">
              <a14:useLocalDpi xmlns:a14="http://schemas.microsoft.com/office/drawing/2010/main" val="0"/>
            </a:ext>
          </a:extLst>
        </a:blip>
        <a:srcRect l="4054" r="18859"/>
        <a:stretch/>
      </xdr:blipFill>
      <xdr:spPr>
        <a:xfrm>
          <a:off x="38100" y="38100"/>
          <a:ext cx="6448425" cy="4712073"/>
        </a:xfrm>
        <a:prstGeom prst="rect">
          <a:avLst/>
        </a:prstGeom>
      </xdr:spPr>
    </xdr:pic>
    <xdr:clientData/>
  </xdr:twoCellAnchor>
  <xdr:twoCellAnchor>
    <xdr:from>
      <xdr:col>7</xdr:col>
      <xdr:colOff>164726</xdr:colOff>
      <xdr:row>16</xdr:row>
      <xdr:rowOff>165287</xdr:rowOff>
    </xdr:from>
    <xdr:to>
      <xdr:col>19</xdr:col>
      <xdr:colOff>560966</xdr:colOff>
      <xdr:row>24</xdr:row>
      <xdr:rowOff>153857</xdr:rowOff>
    </xdr:to>
    <xdr:sp macro="" textlink="">
      <xdr:nvSpPr>
        <xdr:cNvPr id="7" name="Retângulo 6"/>
        <xdr:cNvSpPr/>
      </xdr:nvSpPr>
      <xdr:spPr>
        <a:xfrm>
          <a:off x="4431926" y="3222812"/>
          <a:ext cx="7711440" cy="1512570"/>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pt-BR"/>
        </a:p>
      </xdr:txBody>
    </xdr:sp>
    <xdr:clientData/>
  </xdr:twoCellAnchor>
  <xdr:oneCellAnchor>
    <xdr:from>
      <xdr:col>10</xdr:col>
      <xdr:colOff>476250</xdr:colOff>
      <xdr:row>0</xdr:row>
      <xdr:rowOff>78441</xdr:rowOff>
    </xdr:from>
    <xdr:ext cx="5572686" cy="3176126"/>
    <xdr:sp macro="" textlink="">
      <xdr:nvSpPr>
        <xdr:cNvPr id="3" name="CaixaDeTexto 2"/>
        <xdr:cNvSpPr txBox="1"/>
      </xdr:nvSpPr>
      <xdr:spPr>
        <a:xfrm>
          <a:off x="6572250" y="78441"/>
          <a:ext cx="5572686" cy="31761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Aft>
              <a:spcPts val="0"/>
            </a:spcAft>
          </a:pPr>
          <a:r>
            <a:rPr lang="pt-BR" sz="6000" b="1">
              <a:effectLst/>
              <a:latin typeface="Gadugi" panose="020B0502040204020203" pitchFamily="34" charset="0"/>
              <a:ea typeface="Calibri" panose="020F0502020204030204" pitchFamily="34" charset="0"/>
            </a:rPr>
            <a:t>Tegma</a:t>
          </a:r>
          <a:r>
            <a:rPr lang="pt-BR" sz="6000">
              <a:effectLst/>
            </a:rPr>
            <a:t> </a:t>
          </a:r>
        </a:p>
        <a:p>
          <a:pPr algn="ctr">
            <a:spcAft>
              <a:spcPts val="0"/>
            </a:spcAft>
          </a:pPr>
          <a:r>
            <a:rPr lang="pt-BR" sz="6000" b="1">
              <a:solidFill>
                <a:srgbClr val="EA7423"/>
              </a:solidFill>
              <a:effectLst/>
              <a:latin typeface="Gadugi" panose="020B0502040204020203" pitchFamily="34" charset="0"/>
              <a:ea typeface="Calibri" panose="020F0502020204030204" pitchFamily="34" charset="0"/>
            </a:rPr>
            <a:t>Gestão Logística SA</a:t>
          </a:r>
          <a:endParaRPr lang="pt-BR" sz="6000">
            <a:solidFill>
              <a:srgbClr val="EA7423"/>
            </a:solidFill>
            <a:effectLst/>
            <a:latin typeface="Times New Roman" panose="02020603050405020304" pitchFamily="18" charset="0"/>
            <a:ea typeface="Times New Roman" panose="02020603050405020304" pitchFamily="18" charset="0"/>
          </a:endParaRPr>
        </a:p>
      </xdr:txBody>
    </xdr:sp>
    <xdr:clientData/>
  </xdr:oneCellAnchor>
  <xdr:oneCellAnchor>
    <xdr:from>
      <xdr:col>7</xdr:col>
      <xdr:colOff>232153</xdr:colOff>
      <xdr:row>16</xdr:row>
      <xdr:rowOff>136096</xdr:rowOff>
    </xdr:from>
    <xdr:ext cx="5743944" cy="1190711"/>
    <xdr:sp macro="" textlink="">
      <xdr:nvSpPr>
        <xdr:cNvPr id="9" name="CaixaDeTexto 8"/>
        <xdr:cNvSpPr txBox="1"/>
      </xdr:nvSpPr>
      <xdr:spPr>
        <a:xfrm>
          <a:off x="4499353" y="3193621"/>
          <a:ext cx="5743944" cy="11907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nSpc>
              <a:spcPct val="115000"/>
            </a:lnSpc>
            <a:spcAft>
              <a:spcPts val="0"/>
            </a:spcAft>
          </a:pPr>
          <a:r>
            <a:rPr lang="pt-BR" sz="2800" b="1">
              <a:solidFill>
                <a:srgbClr val="FFFFFF"/>
              </a:solidFill>
              <a:effectLst/>
              <a:latin typeface="Gadugi" panose="020B0502040204020203" pitchFamily="34" charset="0"/>
              <a:ea typeface="Calibri" panose="020F0502020204030204" pitchFamily="34" charset="0"/>
            </a:rPr>
            <a:t>Guia de Premissas para Valuation</a:t>
          </a:r>
          <a:endParaRPr lang="pt-BR" sz="1800">
            <a:effectLst/>
            <a:latin typeface="Times New Roman" panose="02020603050405020304" pitchFamily="18" charset="0"/>
            <a:ea typeface="Times New Roman" panose="02020603050405020304" pitchFamily="18" charset="0"/>
          </a:endParaRPr>
        </a:p>
        <a:p>
          <a:pPr>
            <a:lnSpc>
              <a:spcPct val="115000"/>
            </a:lnSpc>
            <a:spcAft>
              <a:spcPts val="0"/>
            </a:spcAft>
          </a:pPr>
          <a:r>
            <a:rPr lang="pt-BR" sz="2800" b="1">
              <a:effectLst/>
              <a:latin typeface="Gadugi" panose="020B0502040204020203" pitchFamily="34" charset="0"/>
              <a:ea typeface="Calibri" panose="020F0502020204030204" pitchFamily="34" charset="0"/>
            </a:rPr>
            <a:t>Dezembro/2023</a:t>
          </a:r>
          <a:endParaRPr lang="pt-BR" sz="1800">
            <a:effectLst/>
            <a:latin typeface="Times New Roman" panose="02020603050405020304" pitchFamily="18" charset="0"/>
            <a:ea typeface="Times New Roman" panose="02020603050405020304" pitchFamily="18" charset="0"/>
          </a:endParaRPr>
        </a:p>
      </xdr:txBody>
    </xdr:sp>
    <xdr:clientData/>
  </xdr:oneCellAnchor>
  <xdr:twoCellAnchor editAs="oneCell">
    <xdr:from>
      <xdr:col>18</xdr:col>
      <xdr:colOff>149204</xdr:colOff>
      <xdr:row>0</xdr:row>
      <xdr:rowOff>180976</xdr:rowOff>
    </xdr:from>
    <xdr:to>
      <xdr:col>18</xdr:col>
      <xdr:colOff>552449</xdr:colOff>
      <xdr:row>3</xdr:row>
      <xdr:rowOff>66676</xdr:rowOff>
    </xdr:to>
    <xdr:pic>
      <xdr:nvPicPr>
        <xdr:cNvPr id="6" name="Imagem 5" descr="https://cdn-icons-png.flaticon.com/512/1946/1946488.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2004" y="18097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265872</xdr:colOff>
      <xdr:row>20</xdr:row>
      <xdr:rowOff>109538</xdr:rowOff>
    </xdr:from>
    <xdr:to>
      <xdr:col>18</xdr:col>
      <xdr:colOff>571500</xdr:colOff>
      <xdr:row>22</xdr:row>
      <xdr:rowOff>128588</xdr:rowOff>
    </xdr:to>
    <xdr:pic>
      <xdr:nvPicPr>
        <xdr:cNvPr id="8" name="Imagem 7"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238672" y="392906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38100</xdr:colOff>
      <xdr:row>3</xdr:row>
      <xdr:rowOff>66674</xdr:rowOff>
    </xdr:from>
    <xdr:to>
      <xdr:col>19</xdr:col>
      <xdr:colOff>228600</xdr:colOff>
      <xdr:row>4</xdr:row>
      <xdr:rowOff>152399</xdr:rowOff>
    </xdr:to>
    <xdr:sp macro="" textlink="">
      <xdr:nvSpPr>
        <xdr:cNvPr id="4" name="CaixaDeTexto 3"/>
        <xdr:cNvSpPr txBox="1"/>
      </xdr:nvSpPr>
      <xdr:spPr>
        <a:xfrm>
          <a:off x="11010900" y="6476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xdr:from>
      <xdr:col>18</xdr:col>
      <xdr:colOff>74220</xdr:colOff>
      <xdr:row>22</xdr:row>
      <xdr:rowOff>100012</xdr:rowOff>
    </xdr:from>
    <xdr:to>
      <xdr:col>19</xdr:col>
      <xdr:colOff>333375</xdr:colOff>
      <xdr:row>23</xdr:row>
      <xdr:rowOff>148441</xdr:rowOff>
    </xdr:to>
    <xdr:sp macro="" textlink="">
      <xdr:nvSpPr>
        <xdr:cNvPr id="11" name="CaixaDeTexto 10"/>
        <xdr:cNvSpPr txBox="1"/>
      </xdr:nvSpPr>
      <xdr:spPr>
        <a:xfrm>
          <a:off x="10984675" y="4182155"/>
          <a:ext cx="865291" cy="2339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6" name="Imagem 5"/>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7" name="Título 1">
          <a:extLst>
            <a:ext uri="{FF2B5EF4-FFF2-40B4-BE49-F238E27FC236}">
              <a16:creationId xmlns:a16="http://schemas.microsoft.com/office/drawing/2014/main" id="{866AD641-32AC-0422-1C8E-35516F28CE59}"/>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Disclaimer</a:t>
          </a:r>
        </a:p>
      </xdr:txBody>
    </xdr:sp>
    <xdr:clientData/>
  </xdr:twoCellAnchor>
  <xdr:oneCellAnchor>
    <xdr:from>
      <xdr:col>0</xdr:col>
      <xdr:colOff>428623</xdr:colOff>
      <xdr:row>3</xdr:row>
      <xdr:rowOff>59951</xdr:rowOff>
    </xdr:from>
    <xdr:ext cx="8863543" cy="2338141"/>
    <xdr:sp macro="" textlink="">
      <xdr:nvSpPr>
        <xdr:cNvPr id="8" name="CaixaDeTexto 7">
          <a:hlinkClick xmlns:r="http://schemas.openxmlformats.org/officeDocument/2006/relationships" r:id="rId2"/>
        </xdr:cNvPr>
        <xdr:cNvSpPr txBox="1"/>
      </xdr:nvSpPr>
      <xdr:spPr>
        <a:xfrm>
          <a:off x="428623" y="617340"/>
          <a:ext cx="8863543" cy="23381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600">
              <a:solidFill>
                <a:schemeClr val="tx1"/>
              </a:solidFill>
              <a:effectLst/>
              <a:latin typeface="Montserrat" panose="00000500000000000000" pitchFamily="2" charset="0"/>
              <a:ea typeface="+mn-ea"/>
              <a:cs typeface="+mn-cs"/>
            </a:rPr>
            <a:t>"</a:t>
          </a:r>
          <a:r>
            <a:rPr lang="pt-BR" sz="1600" i="1">
              <a:solidFill>
                <a:schemeClr val="tx1"/>
              </a:solidFill>
              <a:effectLst/>
              <a:latin typeface="Montserrat" panose="00000500000000000000" pitchFamily="2" charset="0"/>
              <a:ea typeface="+mn-ea"/>
              <a:cs typeface="+mn-cs"/>
            </a:rPr>
            <a:t>Esse documento não deve ser considerado como uma orientação de como a companhia irá se comportar no futuro, mas somente o padrão de como se comportou no passado para ajudar analistas e investidores (as) a realizar suas projeções.</a:t>
          </a:r>
        </a:p>
        <a:p>
          <a:pPr>
            <a:spcBef>
              <a:spcPts val="600"/>
            </a:spcBef>
          </a:pPr>
          <a:r>
            <a:rPr lang="pt-BR" sz="1600" i="1">
              <a:solidFill>
                <a:schemeClr val="tx1"/>
              </a:solidFill>
              <a:effectLst/>
              <a:latin typeface="Montserrat" panose="00000500000000000000" pitchFamily="2" charset="0"/>
              <a:ea typeface="+mn-ea"/>
              <a:cs typeface="+mn-cs"/>
            </a:rPr>
            <a:t>O desempenho passado não deve ser considerado uma indicação ou garantia de desempenho futuro e nenhuma representação ou garantia, expressa ou implícita, é feita em relação ao desempenho futuro.</a:t>
          </a:r>
          <a:r>
            <a:rPr lang="pt-BR" sz="1600">
              <a:solidFill>
                <a:schemeClr val="tx1"/>
              </a:solidFill>
              <a:effectLst/>
              <a:latin typeface="Montserrat" panose="00000500000000000000" pitchFamily="2" charset="0"/>
              <a:ea typeface="+mn-ea"/>
              <a:cs typeface="+mn-cs"/>
            </a:rPr>
            <a:t>"</a:t>
          </a:r>
        </a:p>
        <a:p>
          <a:pPr>
            <a:spcBef>
              <a:spcPts val="600"/>
            </a:spcBef>
          </a:pPr>
          <a:r>
            <a:rPr lang="pt-BR" sz="1600">
              <a:solidFill>
                <a:schemeClr val="tx1"/>
              </a:solidFill>
              <a:effectLst/>
              <a:latin typeface="Montserrat" panose="00000500000000000000" pitchFamily="2" charset="0"/>
              <a:ea typeface="+mn-ea"/>
              <a:cs typeface="+mn-cs"/>
            </a:rPr>
            <a:t>O arquivo Série histórica, clicando </a:t>
          </a:r>
          <a:r>
            <a:rPr lang="pt-BR" sz="1600" u="heavy">
              <a:solidFill>
                <a:schemeClr val="tx1"/>
              </a:solidFill>
              <a:effectLst/>
              <a:latin typeface="Montserrat" panose="00000500000000000000" pitchFamily="2" charset="0"/>
              <a:ea typeface="+mn-ea"/>
              <a:cs typeface="+mn-cs"/>
              <a:hlinkClick xmlns:r="http://schemas.openxmlformats.org/officeDocument/2006/relationships" r:id=""/>
            </a:rPr>
            <a:t>aqui</a:t>
          </a:r>
          <a:r>
            <a:rPr lang="pt-BR" sz="1600">
              <a:solidFill>
                <a:schemeClr val="tx1"/>
              </a:solidFill>
              <a:effectLst/>
              <a:latin typeface="Montserrat" panose="00000500000000000000" pitchFamily="2" charset="0"/>
              <a:ea typeface="+mn-ea"/>
              <a:cs typeface="+mn-cs"/>
            </a:rPr>
            <a:t>, pode servir de base para o </a:t>
          </a:r>
          <a:r>
            <a:rPr lang="pt-BR" sz="1600" i="1">
              <a:solidFill>
                <a:schemeClr val="tx1"/>
              </a:solidFill>
              <a:effectLst/>
              <a:latin typeface="Montserrat" panose="00000500000000000000" pitchFamily="2" charset="0"/>
              <a:ea typeface="+mn-ea"/>
              <a:cs typeface="+mn-cs"/>
            </a:rPr>
            <a:t>valuation</a:t>
          </a:r>
          <a:r>
            <a:rPr lang="pt-BR" sz="1600">
              <a:solidFill>
                <a:schemeClr val="tx1"/>
              </a:solidFill>
              <a:effectLst/>
              <a:latin typeface="Montserrat" panose="00000500000000000000" pitchFamily="2" charset="0"/>
              <a:ea typeface="+mn-ea"/>
              <a:cs typeface="+mn-cs"/>
            </a:rPr>
            <a:t>.</a:t>
          </a:r>
          <a:endParaRPr lang="pt-BR" sz="1600">
            <a:latin typeface="Montserrat" panose="00000500000000000000" pitchFamily="2" charset="0"/>
          </a:endParaRPr>
        </a:p>
      </xdr:txBody>
    </xdr:sp>
    <xdr:clientData/>
  </xdr:oneCellAnchor>
  <xdr:twoCellAnchor editAs="oneCell">
    <xdr:from>
      <xdr:col>0</xdr:col>
      <xdr:colOff>40821</xdr:colOff>
      <xdr:row>15</xdr:row>
      <xdr:rowOff>82933</xdr:rowOff>
    </xdr:from>
    <xdr:to>
      <xdr:col>19</xdr:col>
      <xdr:colOff>560999</xdr:colOff>
      <xdr:row>24</xdr:row>
      <xdr:rowOff>163287</xdr:rowOff>
    </xdr:to>
    <xdr:pic>
      <xdr:nvPicPr>
        <xdr:cNvPr id="13" name="Imagem 12">
          <a:extLst>
            <a:ext uri="{FF2B5EF4-FFF2-40B4-BE49-F238E27FC236}">
              <a16:creationId xmlns:a16="http://schemas.microsoft.com/office/drawing/2014/main" id="{47015D40-6D8D-FB25-79BA-DC0E54007E88}"/>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182"/>
        <a:stretch/>
      </xdr:blipFill>
      <xdr:spPr>
        <a:xfrm>
          <a:off x="40821" y="2994862"/>
          <a:ext cx="12154285" cy="1794854"/>
        </a:xfrm>
        <a:prstGeom prst="rect">
          <a:avLst/>
        </a:prstGeom>
      </xdr:spPr>
    </xdr:pic>
    <xdr:clientData/>
  </xdr:twoCellAnchor>
  <xdr:twoCellAnchor>
    <xdr:from>
      <xdr:col>0</xdr:col>
      <xdr:colOff>63953</xdr:colOff>
      <xdr:row>15</xdr:row>
      <xdr:rowOff>87085</xdr:rowOff>
    </xdr:from>
    <xdr:to>
      <xdr:col>19</xdr:col>
      <xdr:colOff>581025</xdr:colOff>
      <xdr:row>24</xdr:row>
      <xdr:rowOff>168985</xdr:rowOff>
    </xdr:to>
    <xdr:sp macro="" textlink="">
      <xdr:nvSpPr>
        <xdr:cNvPr id="14" name="Retângulo 13">
          <a:extLst>
            <a:ext uri="{FF2B5EF4-FFF2-40B4-BE49-F238E27FC236}">
              <a16:creationId xmlns:a16="http://schemas.microsoft.com/office/drawing/2014/main" id="{6C0C92B7-ECB2-C80B-F6E9-DBA08637F4A5}"/>
            </a:ext>
          </a:extLst>
        </xdr:cNvPr>
        <xdr:cNvSpPr/>
      </xdr:nvSpPr>
      <xdr:spPr>
        <a:xfrm>
          <a:off x="63953" y="2982685"/>
          <a:ext cx="12099472" cy="1796400"/>
        </a:xfrm>
        <a:prstGeom prst="rect">
          <a:avLst/>
        </a:prstGeom>
        <a:solidFill>
          <a:srgbClr val="00205B">
            <a:alpha val="27843"/>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18</xdr:col>
      <xdr:colOff>484947</xdr:colOff>
      <xdr:row>21</xdr:row>
      <xdr:rowOff>9525</xdr:rowOff>
    </xdr:from>
    <xdr:to>
      <xdr:col>19</xdr:col>
      <xdr:colOff>180975</xdr:colOff>
      <xdr:row>23</xdr:row>
      <xdr:rowOff>28575</xdr:rowOff>
    </xdr:to>
    <xdr:pic>
      <xdr:nvPicPr>
        <xdr:cNvPr id="12" name="Imagem 11" descr="https://cdn-icons-png.flaticon.com/512/591/591855.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9525</xdr:rowOff>
    </xdr:from>
    <xdr:to>
      <xdr:col>18</xdr:col>
      <xdr:colOff>238125</xdr:colOff>
      <xdr:row>23</xdr:row>
      <xdr:rowOff>28575</xdr:rowOff>
    </xdr:to>
    <xdr:pic>
      <xdr:nvPicPr>
        <xdr:cNvPr id="15" name="Imagem 14"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22</xdr:row>
      <xdr:rowOff>190499</xdr:rowOff>
    </xdr:from>
    <xdr:to>
      <xdr:col>19</xdr:col>
      <xdr:colOff>552450</xdr:colOff>
      <xdr:row>24</xdr:row>
      <xdr:rowOff>85724</xdr:rowOff>
    </xdr:to>
    <xdr:sp macro="" textlink="">
      <xdr:nvSpPr>
        <xdr:cNvPr id="16" name="CaixaDeTexto 15"/>
        <xdr:cNvSpPr txBox="1"/>
      </xdr:nvSpPr>
      <xdr:spPr>
        <a:xfrm>
          <a:off x="11334750"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218723</xdr:colOff>
      <xdr:row>23</xdr:row>
      <xdr:rowOff>704</xdr:rowOff>
    </xdr:from>
    <xdr:to>
      <xdr:col>18</xdr:col>
      <xdr:colOff>438150</xdr:colOff>
      <xdr:row>24</xdr:row>
      <xdr:rowOff>49389</xdr:rowOff>
    </xdr:to>
    <xdr:sp macro="" textlink="">
      <xdr:nvSpPr>
        <xdr:cNvPr id="17" name="CaixaDeTexto 16"/>
        <xdr:cNvSpPr txBox="1"/>
      </xdr:nvSpPr>
      <xdr:spPr>
        <a:xfrm>
          <a:off x="11133667" y="4262260"/>
          <a:ext cx="861483" cy="2321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twoCellAnchor editAs="oneCell">
    <xdr:from>
      <xdr:col>18</xdr:col>
      <xdr:colOff>253979</xdr:colOff>
      <xdr:row>1</xdr:row>
      <xdr:rowOff>57150</xdr:rowOff>
    </xdr:from>
    <xdr:to>
      <xdr:col>19</xdr:col>
      <xdr:colOff>47624</xdr:colOff>
      <xdr:row>3</xdr:row>
      <xdr:rowOff>133350</xdr:rowOff>
    </xdr:to>
    <xdr:pic>
      <xdr:nvPicPr>
        <xdr:cNvPr id="18" name="Imagem 17"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26779" y="2571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142875</xdr:colOff>
      <xdr:row>3</xdr:row>
      <xdr:rowOff>142873</xdr:rowOff>
    </xdr:from>
    <xdr:to>
      <xdr:col>19</xdr:col>
      <xdr:colOff>333375</xdr:colOff>
      <xdr:row>5</xdr:row>
      <xdr:rowOff>38098</xdr:rowOff>
    </xdr:to>
    <xdr:sp macro="" textlink="">
      <xdr:nvSpPr>
        <xdr:cNvPr id="19" name="CaixaDeTexto 18"/>
        <xdr:cNvSpPr txBox="1"/>
      </xdr:nvSpPr>
      <xdr:spPr>
        <a:xfrm>
          <a:off x="11115675" y="7238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13</xdr:col>
      <xdr:colOff>323851</xdr:colOff>
      <xdr:row>0</xdr:row>
      <xdr:rowOff>38100</xdr:rowOff>
    </xdr:from>
    <xdr:to>
      <xdr:col>19</xdr:col>
      <xdr:colOff>581025</xdr:colOff>
      <xdr:row>24</xdr:row>
      <xdr:rowOff>180660</xdr:rowOff>
    </xdr:to>
    <xdr:sp macro="" textlink="">
      <xdr:nvSpPr>
        <xdr:cNvPr id="17" name="Retângulo 16">
          <a:extLst>
            <a:ext uri="{FF2B5EF4-FFF2-40B4-BE49-F238E27FC236}">
              <a16:creationId xmlns:a16="http://schemas.microsoft.com/office/drawing/2014/main" id="{BE2F4387-E6D5-0AB7-AC07-68BBBCACD78A}"/>
            </a:ext>
          </a:extLst>
        </xdr:cNvPr>
        <xdr:cNvSpPr/>
      </xdr:nvSpPr>
      <xdr:spPr>
        <a:xfrm>
          <a:off x="8248651" y="38100"/>
          <a:ext cx="3914774" cy="472408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Sumário</a:t>
          </a:r>
        </a:p>
      </xdr:txBody>
    </xdr:sp>
    <xdr:clientData/>
  </xdr:twoCellAnchor>
  <xdr:twoCellAnchor editAs="oneCell">
    <xdr:from>
      <xdr:col>8</xdr:col>
      <xdr:colOff>533400</xdr:colOff>
      <xdr:row>5</xdr:row>
      <xdr:rowOff>28575</xdr:rowOff>
    </xdr:from>
    <xdr:to>
      <xdr:col>19</xdr:col>
      <xdr:colOff>569730</xdr:colOff>
      <xdr:row>24</xdr:row>
      <xdr:rowOff>180975</xdr:rowOff>
    </xdr:to>
    <xdr:pic>
      <xdr:nvPicPr>
        <xdr:cNvPr id="16" name="Imagem 15" descr="Caminhão de lixo&#10;&#10;Descrição gerada automaticamente com confiança média">
          <a:extLst>
            <a:ext uri="{FF2B5EF4-FFF2-40B4-BE49-F238E27FC236}">
              <a16:creationId xmlns:a16="http://schemas.microsoft.com/office/drawing/2014/main" id="{17E58852-DECC-A46A-0A98-C42B0568E41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5410200" y="990600"/>
          <a:ext cx="6741930" cy="3771900"/>
        </a:xfrm>
        <a:prstGeom prst="rect">
          <a:avLst/>
        </a:prstGeom>
      </xdr:spPr>
    </xdr:pic>
    <xdr:clientData/>
  </xdr:twoCellAnchor>
  <xdr:twoCellAnchor editAs="oneCell">
    <xdr:from>
      <xdr:col>18</xdr:col>
      <xdr:colOff>581025</xdr:colOff>
      <xdr:row>0</xdr:row>
      <xdr:rowOff>95250</xdr:rowOff>
    </xdr:from>
    <xdr:to>
      <xdr:col>19</xdr:col>
      <xdr:colOff>559603</xdr:colOff>
      <xdr:row>1</xdr:row>
      <xdr:rowOff>145950</xdr:rowOff>
    </xdr:to>
    <xdr:pic>
      <xdr:nvPicPr>
        <xdr:cNvPr id="18" name="Imagem 17">
          <a:extLst>
            <a:ext uri="{FF2B5EF4-FFF2-40B4-BE49-F238E27FC236}">
              <a16:creationId xmlns:a16="http://schemas.microsoft.com/office/drawing/2014/main" id="{9DC08F60-3082-15B0-CDBE-3A058402E8E8}"/>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553825" y="95250"/>
          <a:ext cx="588178" cy="241200"/>
        </a:xfrm>
        <a:prstGeom prst="rect">
          <a:avLst/>
        </a:prstGeom>
      </xdr:spPr>
    </xdr:pic>
    <xdr:clientData/>
  </xdr:twoCellAnchor>
  <xdr:twoCellAnchor editAs="oneCell">
    <xdr:from>
      <xdr:col>18</xdr:col>
      <xdr:colOff>484947</xdr:colOff>
      <xdr:row>21</xdr:row>
      <xdr:rowOff>104775</xdr:rowOff>
    </xdr:from>
    <xdr:to>
      <xdr:col>19</xdr:col>
      <xdr:colOff>180975</xdr:colOff>
      <xdr:row>23</xdr:row>
      <xdr:rowOff>123825</xdr:rowOff>
    </xdr:to>
    <xdr:pic>
      <xdr:nvPicPr>
        <xdr:cNvPr id="10" name="Imagem 9" descr="https://cdn-icons-png.flaticon.com/512/591/591855.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104775</xdr:rowOff>
    </xdr:from>
    <xdr:to>
      <xdr:col>18</xdr:col>
      <xdr:colOff>238125</xdr:colOff>
      <xdr:row>23</xdr:row>
      <xdr:rowOff>123825</xdr:rowOff>
    </xdr:to>
    <xdr:pic>
      <xdr:nvPicPr>
        <xdr:cNvPr id="11" name="Imagem 10"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23</xdr:row>
      <xdr:rowOff>95249</xdr:rowOff>
    </xdr:from>
    <xdr:to>
      <xdr:col>19</xdr:col>
      <xdr:colOff>552450</xdr:colOff>
      <xdr:row>24</xdr:row>
      <xdr:rowOff>180974</xdr:rowOff>
    </xdr:to>
    <xdr:sp macro="" textlink="">
      <xdr:nvSpPr>
        <xdr:cNvPr id="12" name="CaixaDeTexto 11"/>
        <xdr:cNvSpPr txBox="1"/>
      </xdr:nvSpPr>
      <xdr:spPr>
        <a:xfrm>
          <a:off x="11334750" y="44862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218723</xdr:colOff>
      <xdr:row>23</xdr:row>
      <xdr:rowOff>91722</xdr:rowOff>
    </xdr:from>
    <xdr:to>
      <xdr:col>18</xdr:col>
      <xdr:colOff>438150</xdr:colOff>
      <xdr:row>24</xdr:row>
      <xdr:rowOff>180974</xdr:rowOff>
    </xdr:to>
    <xdr:sp macro="" textlink="">
      <xdr:nvSpPr>
        <xdr:cNvPr id="13" name="CaixaDeTexto 12"/>
        <xdr:cNvSpPr txBox="1"/>
      </xdr:nvSpPr>
      <xdr:spPr>
        <a:xfrm>
          <a:off x="11133667" y="4473222"/>
          <a:ext cx="861483" cy="27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twoCellAnchor editAs="oneCell">
    <xdr:from>
      <xdr:col>18</xdr:col>
      <xdr:colOff>120629</xdr:colOff>
      <xdr:row>0</xdr:row>
      <xdr:rowOff>152400</xdr:rowOff>
    </xdr:from>
    <xdr:to>
      <xdr:col>18</xdr:col>
      <xdr:colOff>523874</xdr:colOff>
      <xdr:row>3</xdr:row>
      <xdr:rowOff>38100</xdr:rowOff>
    </xdr:to>
    <xdr:pic>
      <xdr:nvPicPr>
        <xdr:cNvPr id="14" name="Imagem 13" descr="https://cdn-icons-png.flaticon.com/512/1946/1946488.pn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09342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16</xdr:col>
      <xdr:colOff>22412</xdr:colOff>
      <xdr:row>0</xdr:row>
      <xdr:rowOff>49306</xdr:rowOff>
    </xdr:from>
    <xdr:to>
      <xdr:col>19</xdr:col>
      <xdr:colOff>587187</xdr:colOff>
      <xdr:row>24</xdr:row>
      <xdr:rowOff>168088</xdr:rowOff>
    </xdr:to>
    <xdr:sp macro="" textlink="">
      <xdr:nvSpPr>
        <xdr:cNvPr id="8" name="Retângulo 7">
          <a:extLst>
            <a:ext uri="{FF2B5EF4-FFF2-40B4-BE49-F238E27FC236}">
              <a16:creationId xmlns:a16="http://schemas.microsoft.com/office/drawing/2014/main" id="{BE2F4387-E6D5-0AB7-AC07-68BBBCACD78A}"/>
            </a:ext>
          </a:extLst>
        </xdr:cNvPr>
        <xdr:cNvSpPr/>
      </xdr:nvSpPr>
      <xdr:spPr>
        <a:xfrm>
          <a:off x="9776012" y="49306"/>
          <a:ext cx="2393575" cy="4700307"/>
        </a:xfrm>
        <a:prstGeom prst="rect">
          <a:avLst/>
        </a:prstGeom>
        <a:solidFill>
          <a:srgbClr val="76717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4" name="Título 1">
          <a:extLst>
            <a:ext uri="{FF2B5EF4-FFF2-40B4-BE49-F238E27FC236}">
              <a16:creationId xmlns:a16="http://schemas.microsoft.com/office/drawing/2014/main" id="{866AD641-32AC-0422-1C8E-35516F28CE59}"/>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Sobre a Tegma</a:t>
          </a:r>
        </a:p>
      </xdr:txBody>
    </xdr:sp>
    <xdr:clientData/>
  </xdr:twoCellAnchor>
  <xdr:twoCellAnchor editAs="oneCell">
    <xdr:from>
      <xdr:col>13</xdr:col>
      <xdr:colOff>78442</xdr:colOff>
      <xdr:row>4</xdr:row>
      <xdr:rowOff>66677</xdr:rowOff>
    </xdr:from>
    <xdr:to>
      <xdr:col>18</xdr:col>
      <xdr:colOff>591762</xdr:colOff>
      <xdr:row>19</xdr:row>
      <xdr:rowOff>24781</xdr:rowOff>
    </xdr:to>
    <xdr:pic>
      <xdr:nvPicPr>
        <xdr:cNvPr id="7" name="Imagem 6" descr="Uma imagem contendo biblioteca, cena, armazém, quarto&#10;&#10;Descrição gerada automaticamente">
          <a:extLst>
            <a:ext uri="{FF2B5EF4-FFF2-40B4-BE49-F238E27FC236}">
              <a16:creationId xmlns:a16="http://schemas.microsoft.com/office/drawing/2014/main" id="{42BD5714-36DE-BBAE-54F8-85A48CC767C2}"/>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b="-1"/>
        <a:stretch/>
      </xdr:blipFill>
      <xdr:spPr>
        <a:xfrm>
          <a:off x="7944971" y="839883"/>
          <a:ext cx="3538909" cy="2815604"/>
        </a:xfrm>
        <a:prstGeom prst="rect">
          <a:avLst/>
        </a:prstGeom>
      </xdr:spPr>
    </xdr:pic>
    <xdr:clientData/>
  </xdr:twoCellAnchor>
  <xdr:twoCellAnchor editAs="oneCell">
    <xdr:from>
      <xdr:col>18</xdr:col>
      <xdr:colOff>515469</xdr:colOff>
      <xdr:row>0</xdr:row>
      <xdr:rowOff>82923</xdr:rowOff>
    </xdr:from>
    <xdr:to>
      <xdr:col>19</xdr:col>
      <xdr:colOff>502580</xdr:colOff>
      <xdr:row>1</xdr:row>
      <xdr:rowOff>142438</xdr:rowOff>
    </xdr:to>
    <xdr:pic>
      <xdr:nvPicPr>
        <xdr:cNvPr id="9" name="Imagem 8">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07587" y="82923"/>
          <a:ext cx="592228" cy="251696"/>
        </a:xfrm>
        <a:prstGeom prst="rect">
          <a:avLst/>
        </a:prstGeom>
      </xdr:spPr>
    </xdr:pic>
    <xdr:clientData/>
  </xdr:twoCellAnchor>
  <xdr:oneCellAnchor>
    <xdr:from>
      <xdr:col>0</xdr:col>
      <xdr:colOff>0</xdr:colOff>
      <xdr:row>3</xdr:row>
      <xdr:rowOff>100853</xdr:rowOff>
    </xdr:from>
    <xdr:ext cx="8226778" cy="3984360"/>
    <xdr:sp macro="" textlink="">
      <xdr:nvSpPr>
        <xdr:cNvPr id="10" name="CaixaDeTexto 9"/>
        <xdr:cNvSpPr txBox="1"/>
      </xdr:nvSpPr>
      <xdr:spPr>
        <a:xfrm>
          <a:off x="0" y="672353"/>
          <a:ext cx="8226778" cy="39843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a:solidFill>
                <a:schemeClr val="tx1"/>
              </a:solidFill>
              <a:effectLst/>
              <a:latin typeface="Montserrat" panose="00000500000000000000" pitchFamily="2" charset="0"/>
              <a:ea typeface="+mn-ea"/>
              <a:cs typeface="+mn-cs"/>
            </a:rPr>
            <a:t>A Tegma é uma operadora logística com atuação em todo o Brasil em serviços de transporte, armazenagem e gestão de cadeia de suprimentos para diversos setores da economia nacional.</a:t>
          </a:r>
        </a:p>
        <a:p>
          <a:pPr>
            <a:spcBef>
              <a:spcPts val="600"/>
            </a:spcBef>
          </a:pPr>
          <a:r>
            <a:rPr lang="pt-BR" sz="1200">
              <a:solidFill>
                <a:schemeClr val="tx1"/>
              </a:solidFill>
              <a:effectLst/>
              <a:latin typeface="Montserrat" panose="00000500000000000000" pitchFamily="2" charset="0"/>
              <a:ea typeface="+mn-ea"/>
              <a:cs typeface="+mn-cs"/>
            </a:rPr>
            <a:t>A empresa é dividida em duas divisões, a logística automotiva (que atualmente consiste somente na </a:t>
          </a:r>
          <a:r>
            <a:rPr lang="pt-BR" sz="1200" b="1">
              <a:solidFill>
                <a:srgbClr val="EA7423"/>
              </a:solidFill>
              <a:effectLst/>
              <a:latin typeface="Montserrat" panose="00000500000000000000" pitchFamily="2" charset="0"/>
              <a:ea typeface="+mn-ea"/>
              <a:cs typeface="+mn-cs"/>
            </a:rPr>
            <a:t>logística de veículos</a:t>
          </a:r>
          <a:r>
            <a:rPr lang="pt-BR" sz="1200">
              <a:solidFill>
                <a:schemeClr val="tx1"/>
              </a:solidFill>
              <a:effectLst/>
              <a:latin typeface="Montserrat" panose="00000500000000000000" pitchFamily="2" charset="0"/>
              <a:ea typeface="+mn-ea"/>
              <a:cs typeface="+mn-cs"/>
            </a:rPr>
            <a:t>) e na logística integrada. A logística de veículos é a operação principal da empresa, fundada em 1969 e consiste na logística de veículos zero-quilômetro desde as montadoras ou portos até concessionárias ou portos (veículos produzidos nacionalmente, </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importados</a:t>
          </a:r>
          <a:r>
            <a:rPr lang="pt-BR" sz="1200" baseline="0">
              <a:solidFill>
                <a:schemeClr val="tx1"/>
              </a:solidFill>
              <a:effectLst/>
              <a:latin typeface="Montserrat" panose="00000500000000000000" pitchFamily="2" charset="0"/>
              <a:ea typeface="+mn-ea"/>
              <a:cs typeface="+mn-cs"/>
            </a:rPr>
            <a:t> e</a:t>
          </a:r>
          <a:r>
            <a:rPr lang="pt-BR" sz="1200">
              <a:solidFill>
                <a:schemeClr val="tx1"/>
              </a:solidFill>
              <a:effectLst/>
              <a:latin typeface="Montserrat" panose="00000500000000000000" pitchFamily="2" charset="0"/>
              <a:ea typeface="+mn-ea"/>
              <a:cs typeface="+mn-cs"/>
            </a:rPr>
            <a:t> exportação), incluindo não somente o transporte, mas gestão de pátios, armazenagem, rastreamento e adequação para a venda (PDI – Pre delivery inspection).</a:t>
          </a:r>
        </a:p>
        <a:p>
          <a:pPr>
            <a:spcBef>
              <a:spcPts val="600"/>
            </a:spcBef>
          </a:pPr>
          <a:r>
            <a:rPr lang="pt-BR" sz="1200">
              <a:solidFill>
                <a:schemeClr val="tx1"/>
              </a:solidFill>
              <a:effectLst/>
              <a:latin typeface="Montserrat" panose="00000500000000000000" pitchFamily="2" charset="0"/>
              <a:ea typeface="+mn-ea"/>
              <a:cs typeface="+mn-cs"/>
            </a:rPr>
            <a:t>A logística integrada é dividida em duas operações: a </a:t>
          </a:r>
          <a:r>
            <a:rPr lang="pt-BR" sz="1200" b="1">
              <a:solidFill>
                <a:srgbClr val="EA7423"/>
              </a:solidFill>
              <a:effectLst/>
              <a:latin typeface="Montserrat" panose="00000500000000000000" pitchFamily="2" charset="0"/>
              <a:ea typeface="+mn-ea"/>
              <a:cs typeface="+mn-cs"/>
            </a:rPr>
            <a:t>logística industrial </a:t>
          </a:r>
          <a:r>
            <a:rPr lang="pt-BR" sz="1200">
              <a:solidFill>
                <a:schemeClr val="tx1"/>
              </a:solidFill>
              <a:effectLst/>
              <a:latin typeface="Montserrat" panose="00000500000000000000" pitchFamily="2" charset="0"/>
              <a:ea typeface="+mn-ea"/>
              <a:cs typeface="+mn-cs"/>
            </a:rPr>
            <a:t>e a </a:t>
          </a:r>
          <a:r>
            <a:rPr lang="pt-BR" sz="1200" b="1">
              <a:solidFill>
                <a:srgbClr val="EA7423"/>
              </a:solidFill>
              <a:effectLst/>
              <a:latin typeface="Montserrat" panose="00000500000000000000" pitchFamily="2" charset="0"/>
              <a:ea typeface="+mn-ea"/>
              <a:cs typeface="+mn-cs"/>
            </a:rPr>
            <a:t>armazenagem</a:t>
          </a:r>
          <a:r>
            <a:rPr lang="pt-BR" sz="1200">
              <a:solidFill>
                <a:schemeClr val="tx1"/>
              </a:solidFill>
              <a:effectLst/>
              <a:latin typeface="Montserrat" panose="00000500000000000000" pitchFamily="2" charset="0"/>
              <a:ea typeface="+mn-ea"/>
              <a:cs typeface="+mn-cs"/>
            </a:rPr>
            <a:t>. A logística industrial consiste no serviço de administração de insumos entre fornecedores e as linhas de produção de fábricas químicas (principalmente fábricas de sabão em pó e vidreiras) e de eletrodomésticos. O serviço consiste na armazenagem e na expedição de granéis sólidos para a </a:t>
          </a:r>
          <a:r>
            <a:rPr lang="pt-BR" sz="1200" b="1">
              <a:solidFill>
                <a:srgbClr val="EA7423"/>
              </a:solidFill>
              <a:effectLst/>
              <a:latin typeface="Montserrat" panose="00000500000000000000" pitchFamily="2" charset="0"/>
              <a:ea typeface="+mn-ea"/>
              <a:cs typeface="+mn-cs"/>
            </a:rPr>
            <a:t>operação de químicos </a:t>
          </a:r>
          <a:r>
            <a:rPr lang="pt-BR" sz="1200">
              <a:solidFill>
                <a:schemeClr val="tx1"/>
              </a:solidFill>
              <a:effectLst/>
              <a:latin typeface="Montserrat" panose="00000500000000000000" pitchFamily="2" charset="0"/>
              <a:ea typeface="+mn-ea"/>
              <a:cs typeface="+mn-cs"/>
            </a:rPr>
            <a:t>ou na gestão de embalagens para manuseio de peças para a </a:t>
          </a:r>
          <a:r>
            <a:rPr lang="pt-BR" sz="1200" b="1">
              <a:solidFill>
                <a:srgbClr val="EA7423"/>
              </a:solidFill>
              <a:effectLst/>
              <a:latin typeface="Montserrat" panose="00000500000000000000" pitchFamily="2" charset="0"/>
              <a:ea typeface="+mn-ea"/>
              <a:cs typeface="+mn-cs"/>
            </a:rPr>
            <a:t>operação de eletrodomésticos</a:t>
          </a:r>
          <a:r>
            <a:rPr lang="pt-BR" sz="1200">
              <a:solidFill>
                <a:schemeClr val="tx1"/>
              </a:solidFill>
              <a:effectLst/>
              <a:latin typeface="Montserrat" panose="00000500000000000000" pitchFamily="2" charset="0"/>
              <a:ea typeface="+mn-ea"/>
              <a:cs typeface="+mn-cs"/>
            </a:rPr>
            <a:t>. O serviço de armazenagem consiste na oferta de gestão de estoques, etiquetagem e montagem de kits para empresas de bens de consumo como as do ramo alimentícios e e-commerce.</a:t>
          </a:r>
        </a:p>
        <a:p>
          <a:pPr>
            <a:spcBef>
              <a:spcPts val="600"/>
            </a:spcBef>
          </a:pPr>
          <a:r>
            <a:rPr lang="pt-BR" sz="1200">
              <a:solidFill>
                <a:schemeClr val="tx1"/>
              </a:solidFill>
              <a:effectLst/>
              <a:latin typeface="Montserrat" panose="00000500000000000000" pitchFamily="2" charset="0"/>
              <a:ea typeface="+mn-ea"/>
              <a:cs typeface="+mn-cs"/>
            </a:rPr>
            <a:t>A empresa tem uma estratégia de negócio essencialmente </a:t>
          </a:r>
          <a:r>
            <a:rPr lang="pt-BR" sz="1200" b="1" i="1">
              <a:solidFill>
                <a:srgbClr val="EA7423"/>
              </a:solidFill>
              <a:effectLst/>
              <a:latin typeface="Montserrat" panose="00000500000000000000" pitchFamily="2" charset="0"/>
              <a:ea typeface="+mn-ea"/>
              <a:cs typeface="+mn-cs"/>
            </a:rPr>
            <a:t>asset light</a:t>
          </a:r>
          <a:r>
            <a:rPr lang="pt-BR" sz="1200">
              <a:solidFill>
                <a:schemeClr val="tx1"/>
              </a:solidFill>
              <a:effectLst/>
              <a:latin typeface="Montserrat" panose="00000500000000000000" pitchFamily="2" charset="0"/>
              <a:ea typeface="+mn-ea"/>
              <a:cs typeface="+mn-cs"/>
            </a:rPr>
            <a:t>, ou seja, pouco intensiva em capital, em razão de boa parte da frota utilizada para o transporte ser terceirizada e de seus armazéns e pátios serem majoritariamente alugados.</a:t>
          </a:r>
        </a:p>
      </xdr:txBody>
    </xdr:sp>
    <xdr:clientData/>
  </xdr:oneCellAnchor>
  <xdr:twoCellAnchor editAs="oneCell">
    <xdr:from>
      <xdr:col>18</xdr:col>
      <xdr:colOff>437322</xdr:colOff>
      <xdr:row>21</xdr:row>
      <xdr:rowOff>38100</xdr:rowOff>
    </xdr:from>
    <xdr:to>
      <xdr:col>19</xdr:col>
      <xdr:colOff>133350</xdr:colOff>
      <xdr:row>23</xdr:row>
      <xdr:rowOff>57150</xdr:rowOff>
    </xdr:to>
    <xdr:pic>
      <xdr:nvPicPr>
        <xdr:cNvPr id="17" name="Imagem 16" descr="https://cdn-icons-png.flaticon.com/512/591/591855.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012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494472</xdr:colOff>
      <xdr:row>21</xdr:row>
      <xdr:rowOff>38100</xdr:rowOff>
    </xdr:from>
    <xdr:to>
      <xdr:col>18</xdr:col>
      <xdr:colOff>190500</xdr:colOff>
      <xdr:row>23</xdr:row>
      <xdr:rowOff>57150</xdr:rowOff>
    </xdr:to>
    <xdr:pic>
      <xdr:nvPicPr>
        <xdr:cNvPr id="18" name="Imagem 17"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5767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314325</xdr:colOff>
      <xdr:row>23</xdr:row>
      <xdr:rowOff>28574</xdr:rowOff>
    </xdr:from>
    <xdr:to>
      <xdr:col>19</xdr:col>
      <xdr:colOff>504825</xdr:colOff>
      <xdr:row>24</xdr:row>
      <xdr:rowOff>114299</xdr:rowOff>
    </xdr:to>
    <xdr:sp macro="" textlink="">
      <xdr:nvSpPr>
        <xdr:cNvPr id="19" name="CaixaDeTexto 18"/>
        <xdr:cNvSpPr txBox="1"/>
      </xdr:nvSpPr>
      <xdr:spPr>
        <a:xfrm>
          <a:off x="11287125"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155223</xdr:colOff>
      <xdr:row>23</xdr:row>
      <xdr:rowOff>35278</xdr:rowOff>
    </xdr:from>
    <xdr:to>
      <xdr:col>18</xdr:col>
      <xdr:colOff>390525</xdr:colOff>
      <xdr:row>24</xdr:row>
      <xdr:rowOff>121355</xdr:rowOff>
    </xdr:to>
    <xdr:sp macro="" textlink="">
      <xdr:nvSpPr>
        <xdr:cNvPr id="20" name="CaixaDeTexto 19"/>
        <xdr:cNvSpPr txBox="1"/>
      </xdr:nvSpPr>
      <xdr:spPr>
        <a:xfrm>
          <a:off x="11070167" y="4416778"/>
          <a:ext cx="877358" cy="2765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twoCellAnchor editAs="oneCell">
    <xdr:from>
      <xdr:col>13</xdr:col>
      <xdr:colOff>180975</xdr:colOff>
      <xdr:row>18</xdr:row>
      <xdr:rowOff>184878</xdr:rowOff>
    </xdr:from>
    <xdr:to>
      <xdr:col>15</xdr:col>
      <xdr:colOff>523875</xdr:colOff>
      <xdr:row>24</xdr:row>
      <xdr:rowOff>104775</xdr:rowOff>
    </xdr:to>
    <xdr:pic>
      <xdr:nvPicPr>
        <xdr:cNvPr id="13" name="Imagem 12" descr="Imagem em preto e branco com texto preto sobre fundo branco&#10;&#10;Descrição gerada automaticamente">
          <a:extLst>
            <a:ext uri="{FF2B5EF4-FFF2-40B4-BE49-F238E27FC236}">
              <a16:creationId xmlns:a16="http://schemas.microsoft.com/office/drawing/2014/main" id="{CA03594A-E263-437D-8F2B-E3545981915F}"/>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b="16468"/>
        <a:stretch/>
      </xdr:blipFill>
      <xdr:spPr>
        <a:xfrm>
          <a:off x="8105775" y="3623403"/>
          <a:ext cx="1562100" cy="1062897"/>
        </a:xfrm>
        <a:prstGeom prst="rect">
          <a:avLst/>
        </a:prstGeom>
      </xdr:spPr>
    </xdr:pic>
    <xdr:clientData/>
  </xdr:twoCellAnchor>
  <xdr:twoCellAnchor editAs="oneCell">
    <xdr:from>
      <xdr:col>17</xdr:col>
      <xdr:colOff>604723</xdr:colOff>
      <xdr:row>0</xdr:row>
      <xdr:rowOff>106456</xdr:rowOff>
    </xdr:from>
    <xdr:to>
      <xdr:col>18</xdr:col>
      <xdr:colOff>398368</xdr:colOff>
      <xdr:row>2</xdr:row>
      <xdr:rowOff>182656</xdr:rowOff>
    </xdr:to>
    <xdr:pic>
      <xdr:nvPicPr>
        <xdr:cNvPr id="15" name="Imagem 14" descr="https://cdn-icons-png.flaticon.com/512/1946/1946488.png">
          <a:hlinkClick xmlns:r="http://schemas.openxmlformats.org/officeDocument/2006/relationships" r:id="rId6"/>
        </xdr:cNvPr>
        <xdr:cNvPicPr>
          <a:picLocks noChangeAspect="1" noChangeArrowheads="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0967923" y="10645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493619</xdr:colOff>
      <xdr:row>2</xdr:row>
      <xdr:rowOff>182654</xdr:rowOff>
    </xdr:from>
    <xdr:to>
      <xdr:col>19</xdr:col>
      <xdr:colOff>74519</xdr:colOff>
      <xdr:row>4</xdr:row>
      <xdr:rowOff>77879</xdr:rowOff>
    </xdr:to>
    <xdr:sp macro="" textlink="">
      <xdr:nvSpPr>
        <xdr:cNvPr id="16" name="CaixaDeTexto 15"/>
        <xdr:cNvSpPr txBox="1"/>
      </xdr:nvSpPr>
      <xdr:spPr>
        <a:xfrm>
          <a:off x="10856819" y="57317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3" name="Imagem 2"/>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866AD641-32AC-0422-1C8E-35516F28CE59}"/>
            </a:ext>
          </a:extLst>
        </xdr:cNvPr>
        <xdr:cNvSpPr txBox="1">
          <a:spLocks/>
        </xdr:cNvSpPr>
      </xdr:nvSpPr>
      <xdr:spPr>
        <a:xfrm>
          <a:off x="1330698" y="273424"/>
          <a:ext cx="8584514"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6" name="Imagem 5">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222516</xdr:colOff>
      <xdr:row>4</xdr:row>
      <xdr:rowOff>114460</xdr:rowOff>
    </xdr:from>
    <xdr:ext cx="6825983" cy="3310009"/>
    <xdr:sp macro="" textlink="">
      <xdr:nvSpPr>
        <xdr:cNvPr id="7" name="CaixaDeTexto 6"/>
        <xdr:cNvSpPr txBox="1"/>
      </xdr:nvSpPr>
      <xdr:spPr>
        <a:xfrm>
          <a:off x="222516" y="876460"/>
          <a:ext cx="6825983" cy="3310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400">
              <a:solidFill>
                <a:schemeClr val="tx1"/>
              </a:solidFill>
              <a:effectLst/>
              <a:latin typeface="Montserrat" panose="00000500000000000000" pitchFamily="2" charset="0"/>
              <a:ea typeface="+mn-ea"/>
              <a:cs typeface="+mn-cs"/>
            </a:rPr>
            <a:t>A receita da Operação de Logística de Veículos depende principalmente do serviço de transporte de veículos</a:t>
          </a:r>
          <a:r>
            <a:rPr lang="pt-BR" sz="1400" baseline="0">
              <a:solidFill>
                <a:schemeClr val="tx1"/>
              </a:solidFill>
              <a:effectLst/>
              <a:latin typeface="Montserrat" panose="00000500000000000000" pitchFamily="2" charset="0"/>
              <a:ea typeface="+mn-ea"/>
              <a:cs typeface="+mn-cs"/>
            </a:rPr>
            <a:t> novos</a:t>
          </a:r>
          <a:r>
            <a:rPr lang="pt-BR" sz="1400">
              <a:solidFill>
                <a:schemeClr val="tx1"/>
              </a:solidFill>
              <a:effectLst/>
              <a:latin typeface="Montserrat" panose="00000500000000000000" pitchFamily="2" charset="0"/>
              <a:ea typeface="+mn-ea"/>
              <a:cs typeface="+mn-cs"/>
            </a:rPr>
            <a:t>, mas também do transporte de veículos usados, de gestão de pátios, armazenagem, PDI (</a:t>
          </a:r>
          <a:r>
            <a:rPr lang="pt-BR" sz="1400" i="1">
              <a:solidFill>
                <a:schemeClr val="tx1"/>
              </a:solidFill>
              <a:effectLst/>
              <a:latin typeface="Montserrat" panose="00000500000000000000" pitchFamily="2" charset="0"/>
              <a:ea typeface="+mn-ea"/>
              <a:cs typeface="+mn-cs"/>
            </a:rPr>
            <a:t>Pre delivery inspection</a:t>
          </a:r>
          <a:r>
            <a:rPr lang="pt-BR" sz="1400">
              <a:solidFill>
                <a:schemeClr val="tx1"/>
              </a:solidFill>
              <a:effectLst/>
              <a:latin typeface="Montserrat" panose="00000500000000000000" pitchFamily="2" charset="0"/>
              <a:ea typeface="+mn-ea"/>
              <a:cs typeface="+mn-cs"/>
            </a:rPr>
            <a:t>)¹ e de transferências de veículos entre montadoras e pátios. </a:t>
          </a:r>
        </a:p>
        <a:p>
          <a:pPr>
            <a:spcBef>
              <a:spcPts val="600"/>
            </a:spcBef>
          </a:pPr>
          <a:r>
            <a:rPr lang="pt-BR" sz="1400">
              <a:solidFill>
                <a:schemeClr val="tx1"/>
              </a:solidFill>
              <a:effectLst/>
              <a:latin typeface="Montserrat" panose="00000500000000000000" pitchFamily="2" charset="0"/>
              <a:ea typeface="+mn-ea"/>
              <a:cs typeface="+mn-cs"/>
            </a:rPr>
            <a:t>A </a:t>
          </a:r>
          <a:r>
            <a:rPr lang="pt-BR" sz="1400" b="1" u="sng">
              <a:solidFill>
                <a:srgbClr val="EA7423"/>
              </a:solidFill>
              <a:effectLst/>
              <a:latin typeface="Montserrat" panose="00000500000000000000" pitchFamily="2" charset="0"/>
              <a:ea typeface="+mn-ea"/>
              <a:cs typeface="+mn-cs"/>
            </a:rPr>
            <a:t>receita de transporte de veículos novos</a:t>
          </a:r>
          <a:r>
            <a:rPr lang="pt-BR" sz="1400" b="1" u="sng" baseline="0">
              <a:solidFill>
                <a:srgbClr val="EA7423"/>
              </a:solidFill>
              <a:effectLst/>
              <a:latin typeface="Montserrat" panose="00000500000000000000" pitchFamily="2" charset="0"/>
              <a:ea typeface="+mn-ea"/>
              <a:cs typeface="+mn-cs"/>
            </a:rPr>
            <a:t> </a:t>
          </a:r>
          <a:r>
            <a:rPr lang="pt-BR" sz="1400">
              <a:solidFill>
                <a:schemeClr val="tx1"/>
              </a:solidFill>
              <a:effectLst/>
              <a:latin typeface="Montserrat" panose="00000500000000000000" pitchFamily="2" charset="0"/>
              <a:ea typeface="+mn-ea"/>
              <a:cs typeface="+mn-cs"/>
            </a:rPr>
            <a:t>(que é a grande parcela da receita da divisão), advém de uma tarifa cobrada por </a:t>
          </a:r>
          <a:r>
            <a:rPr lang="pt-BR" sz="1400" b="1" u="sng">
              <a:solidFill>
                <a:srgbClr val="EA7423"/>
              </a:solidFill>
              <a:effectLst/>
              <a:latin typeface="Montserrat" panose="00000500000000000000" pitchFamily="2" charset="0"/>
              <a:ea typeface="+mn-ea"/>
              <a:cs typeface="+mn-cs"/>
            </a:rPr>
            <a:t>quilometro percorrido </a:t>
          </a:r>
          <a:r>
            <a:rPr lang="pt-BR" sz="1400">
              <a:solidFill>
                <a:schemeClr val="tx1"/>
              </a:solidFill>
              <a:effectLst/>
              <a:latin typeface="Montserrat" panose="00000500000000000000" pitchFamily="2" charset="0"/>
              <a:ea typeface="+mn-ea"/>
              <a:cs typeface="+mn-cs"/>
            </a:rPr>
            <a:t>por </a:t>
          </a:r>
          <a:r>
            <a:rPr lang="pt-BR" sz="1400" b="1" u="sng">
              <a:solidFill>
                <a:srgbClr val="EA7423"/>
              </a:solidFill>
              <a:effectLst/>
              <a:latin typeface="Montserrat" panose="00000500000000000000" pitchFamily="2" charset="0"/>
              <a:ea typeface="+mn-ea"/>
              <a:cs typeface="+mn-cs"/>
            </a:rPr>
            <a:t>cada veículo transportado </a:t>
          </a:r>
          <a:r>
            <a:rPr lang="pt-BR" sz="1400">
              <a:solidFill>
                <a:schemeClr val="tx1"/>
              </a:solidFill>
              <a:effectLst/>
              <a:latin typeface="Montserrat" panose="00000500000000000000" pitchFamily="2" charset="0"/>
              <a:ea typeface="+mn-ea"/>
              <a:cs typeface="+mn-cs"/>
            </a:rPr>
            <a:t>e as receitas de PDI,</a:t>
          </a:r>
          <a:r>
            <a:rPr lang="pt-BR" sz="1400" baseline="0">
              <a:solidFill>
                <a:schemeClr val="tx1"/>
              </a:solidFill>
              <a:effectLst/>
              <a:latin typeface="Montserrat" panose="00000500000000000000" pitchFamily="2" charset="0"/>
              <a:ea typeface="+mn-ea"/>
              <a:cs typeface="+mn-cs"/>
            </a:rPr>
            <a:t> logística de veículos usados e</a:t>
          </a:r>
          <a:r>
            <a:rPr lang="pt-BR" sz="1400">
              <a:solidFill>
                <a:schemeClr val="tx1"/>
              </a:solidFill>
              <a:effectLst/>
              <a:latin typeface="Montserrat" panose="00000500000000000000" pitchFamily="2" charset="0"/>
              <a:ea typeface="+mn-ea"/>
              <a:cs typeface="+mn-cs"/>
            </a:rPr>
            <a:t> administração de pátios dependem da demanda dos clientes pelos serviços.</a:t>
          </a:r>
        </a:p>
        <a:p>
          <a:pPr>
            <a:spcBef>
              <a:spcPts val="600"/>
            </a:spcBef>
          </a:pPr>
          <a:r>
            <a:rPr lang="pt-BR" sz="1400">
              <a:solidFill>
                <a:schemeClr val="tx1"/>
              </a:solidFill>
              <a:effectLst/>
              <a:latin typeface="Montserrat" panose="00000500000000000000" pitchFamily="2" charset="0"/>
              <a:ea typeface="+mn-ea"/>
              <a:cs typeface="+mn-cs"/>
            </a:rPr>
            <a:t>Como a receita de transporte da operação de Logística de Veículos Novos corresponde à grande maioria da receita da divisão e as outras operações não têm parâmetros mensuráveis de sua receita, a sugestão é projetar somente a receita</a:t>
          </a:r>
          <a:r>
            <a:rPr lang="pt-BR" sz="1400" baseline="0">
              <a:solidFill>
                <a:schemeClr val="tx1"/>
              </a:solidFill>
              <a:effectLst/>
              <a:latin typeface="Montserrat" panose="00000500000000000000" pitchFamily="2" charset="0"/>
              <a:ea typeface="+mn-ea"/>
              <a:cs typeface="+mn-cs"/>
            </a:rPr>
            <a:t> de logística de veículos novos, conforme detalhado ao lado.</a:t>
          </a:r>
          <a:endParaRPr lang="pt-BR" sz="1400">
            <a:solidFill>
              <a:schemeClr val="tx1"/>
            </a:solidFill>
            <a:effectLst/>
            <a:latin typeface="Montserrat" panose="00000500000000000000" pitchFamily="2" charset="0"/>
            <a:ea typeface="+mn-ea"/>
            <a:cs typeface="+mn-cs"/>
          </a:endParaRP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22" name="Imagem 21">
          <a:extLst>
            <a:ext uri="{FF2B5EF4-FFF2-40B4-BE49-F238E27FC236}">
              <a16:creationId xmlns:a16="http://schemas.microsoft.com/office/drawing/2014/main" id="{3E0D1052-862B-54B8-95CF-4C3DE2FA7C6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592228" cy="251696"/>
        </a:xfrm>
        <a:prstGeom prst="rect">
          <a:avLst/>
        </a:prstGeom>
      </xdr:spPr>
    </xdr:pic>
    <xdr:clientData/>
  </xdr:twoCellAnchor>
  <xdr:oneCellAnchor>
    <xdr:from>
      <xdr:col>0</xdr:col>
      <xdr:colOff>68035</xdr:colOff>
      <xdr:row>22</xdr:row>
      <xdr:rowOff>53228</xdr:rowOff>
    </xdr:from>
    <xdr:ext cx="5637440" cy="342530"/>
    <xdr:sp macro="" textlink="">
      <xdr:nvSpPr>
        <xdr:cNvPr id="23" name="CaixaDeTexto 22"/>
        <xdr:cNvSpPr txBox="1"/>
      </xdr:nvSpPr>
      <xdr:spPr>
        <a:xfrm>
          <a:off x="68035" y="4253753"/>
          <a:ext cx="5637440" cy="342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800">
              <a:solidFill>
                <a:schemeClr val="tx1"/>
              </a:solidFill>
              <a:effectLst/>
              <a:latin typeface="Montserrat" panose="00000500000000000000" pitchFamily="2" charset="0"/>
              <a:ea typeface="+mn-ea"/>
              <a:cs typeface="+mn-cs"/>
            </a:rPr>
            <a:t>¹ Inspeção, preparação, instalação de componentes e tropicalização de veículos, que recebem etiquetas de instruções e manuais em português, além de todos os itens e acessórios exigidos pela legislação brasileira.</a:t>
          </a:r>
        </a:p>
      </xdr:txBody>
    </xdr:sp>
    <xdr:clientData/>
  </xdr:oneCellAnchor>
  <xdr:twoCellAnchor editAs="oneCell">
    <xdr:from>
      <xdr:col>16</xdr:col>
      <xdr:colOff>112055</xdr:colOff>
      <xdr:row>0</xdr:row>
      <xdr:rowOff>33619</xdr:rowOff>
    </xdr:from>
    <xdr:to>
      <xdr:col>19</xdr:col>
      <xdr:colOff>571496</xdr:colOff>
      <xdr:row>1048576</xdr:row>
      <xdr:rowOff>19050</xdr:rowOff>
    </xdr:to>
    <xdr:pic>
      <xdr:nvPicPr>
        <xdr:cNvPr id="25" name="Imagem 24">
          <a:extLst>
            <a:ext uri="{FF2B5EF4-FFF2-40B4-BE49-F238E27FC236}">
              <a16:creationId xmlns:a16="http://schemas.microsoft.com/office/drawing/2014/main" id="{1618F179-0172-B671-06CE-FD5A8A09F13B}"/>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51552"/>
        <a:stretch/>
      </xdr:blipFill>
      <xdr:spPr>
        <a:xfrm>
          <a:off x="9793937" y="33619"/>
          <a:ext cx="2274794" cy="4751293"/>
        </a:xfrm>
        <a:prstGeom prst="rect">
          <a:avLst/>
        </a:prstGeom>
      </xdr:spPr>
    </xdr:pic>
    <xdr:clientData/>
  </xdr:twoCellAnchor>
  <xdr:twoCellAnchor>
    <xdr:from>
      <xdr:col>15</xdr:col>
      <xdr:colOff>392206</xdr:colOff>
      <xdr:row>0</xdr:row>
      <xdr:rowOff>0</xdr:rowOff>
    </xdr:from>
    <xdr:to>
      <xdr:col>19</xdr:col>
      <xdr:colOff>593910</xdr:colOff>
      <xdr:row>25</xdr:row>
      <xdr:rowOff>0</xdr:rowOff>
    </xdr:to>
    <xdr:grpSp>
      <xdr:nvGrpSpPr>
        <xdr:cNvPr id="28" name="Agrupar 27">
          <a:extLst>
            <a:ext uri="{FF2B5EF4-FFF2-40B4-BE49-F238E27FC236}">
              <a16:creationId xmlns:a16="http://schemas.microsoft.com/office/drawing/2014/main" id="{0A3AD9C6-A8CE-C440-6CE5-7CB93D688790}"/>
            </a:ext>
          </a:extLst>
        </xdr:cNvPr>
        <xdr:cNvGrpSpPr/>
      </xdr:nvGrpSpPr>
      <xdr:grpSpPr>
        <a:xfrm>
          <a:off x="10023039" y="0"/>
          <a:ext cx="2769927" cy="4762500"/>
          <a:chOff x="5507735" y="2613621"/>
          <a:chExt cx="905725" cy="1632502"/>
        </a:xfrm>
      </xdr:grpSpPr>
      <xdr:sp macro="" textlink="">
        <xdr:nvSpPr>
          <xdr:cNvPr id="29" name="Forma Livre: Forma 34">
            <a:extLst>
              <a:ext uri="{FF2B5EF4-FFF2-40B4-BE49-F238E27FC236}">
                <a16:creationId xmlns:a16="http://schemas.microsoft.com/office/drawing/2014/main" id="{8C97EAAC-8B32-4696-2262-0A0AEBAE4AC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30" name="Forma Livre: Forma 35">
            <a:extLst>
              <a:ext uri="{FF2B5EF4-FFF2-40B4-BE49-F238E27FC236}">
                <a16:creationId xmlns:a16="http://schemas.microsoft.com/office/drawing/2014/main" id="{06D62DB8-C600-E7B8-429A-DCAEFEEEDEB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26" name="Retângulo 25">
          <a:extLst>
            <a:ext uri="{FF2B5EF4-FFF2-40B4-BE49-F238E27FC236}">
              <a16:creationId xmlns:a16="http://schemas.microsoft.com/office/drawing/2014/main" id="{2F9BDDC6-A421-62AE-705A-C3BB3771D6A7}"/>
            </a:ext>
          </a:extLst>
        </xdr:cNvPr>
        <xdr:cNvSpPr/>
      </xdr:nvSpPr>
      <xdr:spPr>
        <a:xfrm>
          <a:off x="7172567" y="47225"/>
          <a:ext cx="2733433" cy="4720077"/>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oneCellAnchor>
    <xdr:from>
      <xdr:col>11</xdr:col>
      <xdr:colOff>461842</xdr:colOff>
      <xdr:row>1</xdr:row>
      <xdr:rowOff>127267</xdr:rowOff>
    </xdr:from>
    <xdr:ext cx="2689412" cy="1499449"/>
    <xdr:sp macro="" textlink="">
      <xdr:nvSpPr>
        <xdr:cNvPr id="31" name="CaixaDeTexto 30"/>
        <xdr:cNvSpPr txBox="1"/>
      </xdr:nvSpPr>
      <xdr:spPr>
        <a:xfrm>
          <a:off x="7167442" y="327292"/>
          <a:ext cx="2689412" cy="14994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800" i="1">
              <a:solidFill>
                <a:schemeClr val="tx1"/>
              </a:solidFill>
              <a:effectLst/>
              <a:latin typeface="Montserrat" panose="00000500000000000000" pitchFamily="2" charset="0"/>
              <a:ea typeface="+mn-ea"/>
              <a:cs typeface="+mn-cs"/>
            </a:rPr>
            <a:t>Como calcular a receita de transporte da operação de Logística de Veículos Novos?</a:t>
          </a:r>
        </a:p>
      </xdr:txBody>
    </xdr:sp>
    <xdr:clientData/>
  </xdr:oneCellAnchor>
  <xdr:oneCellAnchor>
    <xdr:from>
      <xdr:col>11</xdr:col>
      <xdr:colOff>438151</xdr:colOff>
      <xdr:row>10</xdr:row>
      <xdr:rowOff>168649</xdr:rowOff>
    </xdr:from>
    <xdr:ext cx="2709902" cy="2165208"/>
    <mc:AlternateContent xmlns:mc="http://schemas.openxmlformats.org/markup-compatibility/2006" xmlns:a14="http://schemas.microsoft.com/office/drawing/2010/main">
      <mc:Choice Requires="a14">
        <xdr:sp macro="" textlink="">
          <xdr:nvSpPr>
            <xdr:cNvPr id="24" name="CaixaDeTexto 23"/>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14:m>
                <m:oMathPara xmlns:m="http://schemas.openxmlformats.org/officeDocument/2006/math">
                  <m:oMathParaPr>
                    <m:jc m:val="centerGroup"/>
                  </m:oMathParaPr>
                  <m:oMath xmlns:m="http://schemas.openxmlformats.org/officeDocument/2006/math">
                    <m:r>
                      <a:rPr lang="pt-BR" sz="1800" b="1" i="0">
                        <a:latin typeface="Cambria Math" panose="02040503050406030204" pitchFamily="18" charset="0"/>
                        <a:ea typeface="Cambria Math" panose="02040503050406030204" pitchFamily="18" charset="0"/>
                      </a:rPr>
                      <m:t>(</m:t>
                    </m:r>
                    <m:r>
                      <m:rPr>
                        <m:sty m:val="p"/>
                      </m:rPr>
                      <a:rPr lang="pt-BR" sz="1800">
                        <a:latin typeface="Cambria Math" panose="02040503050406030204" pitchFamily="18" charset="0"/>
                        <a:ea typeface="Cambria Math" panose="02040503050406030204" pitchFamily="18" charset="0"/>
                      </a:rPr>
                      <m:t>Quantidade</m:t>
                    </m:r>
                    <m:r>
                      <a:rPr lang="pt-BR" sz="1800" b="0" i="0">
                        <a:latin typeface="Cambria Math" panose="02040503050406030204" pitchFamily="18" charset="0"/>
                        <a:ea typeface="Cambria Math" panose="02040503050406030204" pitchFamily="18" charset="0"/>
                      </a:rPr>
                      <m:t> </m:t>
                    </m:r>
                    <m:r>
                      <m:rPr>
                        <m:sty m:val="p"/>
                      </m:rPr>
                      <a:rPr lang="pt-BR" sz="1800" b="0" i="0">
                        <a:latin typeface="Cambria Math" panose="02040503050406030204" pitchFamily="18" charset="0"/>
                        <a:ea typeface="Cambria Math" panose="02040503050406030204" pitchFamily="18" charset="0"/>
                      </a:rPr>
                      <m:t>de</m:t>
                    </m:r>
                    <m:r>
                      <a:rPr lang="pt-BR" sz="1800" b="0" i="0">
                        <a:latin typeface="Cambria Math" panose="02040503050406030204" pitchFamily="18" charset="0"/>
                        <a:ea typeface="Cambria Math" panose="02040503050406030204" pitchFamily="18" charset="0"/>
                      </a:rPr>
                      <m:t> </m:t>
                    </m:r>
                    <m:r>
                      <m:rPr>
                        <m:sty m:val="p"/>
                      </m:rPr>
                      <a:rPr lang="pt-BR" sz="1800" b="0" i="0">
                        <a:latin typeface="Cambria Math" panose="02040503050406030204" pitchFamily="18" charset="0"/>
                        <a:ea typeface="Cambria Math" panose="02040503050406030204" pitchFamily="18" charset="0"/>
                      </a:rPr>
                      <m:t>ve</m:t>
                    </m:r>
                    <m:r>
                      <a:rPr lang="pt-BR" sz="1800" b="0" i="1">
                        <a:latin typeface="Cambria Math" panose="02040503050406030204" pitchFamily="18" charset="0"/>
                        <a:ea typeface="Cambria Math" panose="02040503050406030204" pitchFamily="18" charset="0"/>
                      </a:rPr>
                      <m:t>í</m:t>
                    </m:r>
                    <m:r>
                      <a:rPr lang="pt-BR" sz="1800" b="0" i="1">
                        <a:latin typeface="Cambria Math" panose="02040503050406030204" pitchFamily="18" charset="0"/>
                        <a:ea typeface="Cambria Math" panose="02040503050406030204" pitchFamily="18" charset="0"/>
                      </a:rPr>
                      <m:t>𝑐𝑢𝑙𝑜𝑠</m:t>
                    </m:r>
                    <m:r>
                      <a:rPr lang="pt-BR" sz="1800" b="0" i="1">
                        <a:latin typeface="Cambria Math" panose="02040503050406030204" pitchFamily="18" charset="0"/>
                        <a:ea typeface="Cambria Math" panose="02040503050406030204" pitchFamily="18" charset="0"/>
                      </a:rPr>
                      <m:t> </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𝑡𝑟𝑎𝑛𝑠𝑝𝑜𝑟𝑡𝑎𝑑𝑜𝑠</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𝑥</m:t>
                    </m:r>
                  </m:oMath>
                </m:oMathPara>
              </a14:m>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Distância média</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Tarifa de transporte</a:t>
              </a:r>
            </a:p>
            <a:p>
              <a:pPr algn="ctr"/>
              <a14:m>
                <m:oMathPara xmlns:m="http://schemas.openxmlformats.org/officeDocument/2006/math">
                  <m:oMathParaPr>
                    <m:jc m:val="centerGroup"/>
                  </m:oMathParaPr>
                  <m:oMath xmlns:m="http://schemas.openxmlformats.org/officeDocument/2006/math">
                    <m:r>
                      <a:rPr lang="pt-BR" sz="1800" i="1">
                        <a:latin typeface="Cambria Math" panose="02040503050406030204" pitchFamily="18" charset="0"/>
                        <a:ea typeface="Cambria Math" panose="02040503050406030204" pitchFamily="18" charset="0"/>
                      </a:rPr>
                      <m:t>=</m:t>
                    </m:r>
                  </m:oMath>
                </m:oMathPara>
              </a14:m>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Receita bruta</a:t>
              </a:r>
            </a:p>
          </xdr:txBody>
        </xdr:sp>
      </mc:Choice>
      <mc:Fallback xmlns="">
        <xdr:sp macro="" textlink="">
          <xdr:nvSpPr>
            <xdr:cNvPr id="24" name="CaixaDeTexto 23"/>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lang="pt-BR" sz="1800" b="1" i="0">
                  <a:latin typeface="Cambria Math" panose="02040503050406030204" pitchFamily="18" charset="0"/>
                  <a:ea typeface="Cambria Math" panose="02040503050406030204" pitchFamily="18" charset="0"/>
                </a:rPr>
                <a:t>(</a:t>
              </a:r>
              <a:r>
                <a:rPr lang="pt-BR" sz="1800" i="0">
                  <a:latin typeface="Cambria Math" panose="02040503050406030204" pitchFamily="18" charset="0"/>
                  <a:ea typeface="Cambria Math" panose="02040503050406030204" pitchFamily="18" charset="0"/>
                </a:rPr>
                <a:t>Quantidade</a:t>
              </a:r>
              <a:r>
                <a:rPr lang="pt-BR" sz="1800" b="0" i="0">
                  <a:latin typeface="Cambria Math" panose="02040503050406030204" pitchFamily="18" charset="0"/>
                  <a:ea typeface="Cambria Math" panose="02040503050406030204" pitchFamily="18" charset="0"/>
                </a:rPr>
                <a:t> de veí𝑐𝑢𝑙𝑜𝑠 </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𝑡𝑟𝑎𝑛𝑠𝑝𝑜𝑟𝑡𝑎𝑑𝑜𝑠</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𝑥</a:t>
              </a:r>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Distância média</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Tarifa de transporte</a:t>
              </a:r>
            </a:p>
            <a:p>
              <a:pPr algn="ctr"/>
              <a:r>
                <a:rPr lang="pt-BR" sz="1800" i="0">
                  <a:latin typeface="Cambria Math" panose="02040503050406030204" pitchFamily="18" charset="0"/>
                  <a:ea typeface="Cambria Math" panose="02040503050406030204" pitchFamily="18" charset="0"/>
                </a:rPr>
                <a:t>=</a:t>
              </a:r>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Receita bruta</a:t>
              </a:r>
            </a:p>
          </xdr:txBody>
        </xdr:sp>
      </mc:Fallback>
    </mc:AlternateContent>
    <xdr:clientData/>
  </xdr:oneCellAnchor>
  <xdr:twoCellAnchor editAs="oneCell">
    <xdr:from>
      <xdr:col>18</xdr:col>
      <xdr:colOff>456372</xdr:colOff>
      <xdr:row>21</xdr:row>
      <xdr:rowOff>28575</xdr:rowOff>
    </xdr:from>
    <xdr:to>
      <xdr:col>19</xdr:col>
      <xdr:colOff>152400</xdr:colOff>
      <xdr:row>23</xdr:row>
      <xdr:rowOff>47625</xdr:rowOff>
    </xdr:to>
    <xdr:pic>
      <xdr:nvPicPr>
        <xdr:cNvPr id="18" name="Imagem 17" descr="https://cdn-icons-png.flaticon.com/512/591/591855.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91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513522</xdr:colOff>
      <xdr:row>21</xdr:row>
      <xdr:rowOff>28575</xdr:rowOff>
    </xdr:from>
    <xdr:to>
      <xdr:col>18</xdr:col>
      <xdr:colOff>209550</xdr:colOff>
      <xdr:row>23</xdr:row>
      <xdr:rowOff>47625</xdr:rowOff>
    </xdr:to>
    <xdr:pic>
      <xdr:nvPicPr>
        <xdr:cNvPr id="19" name="Imagem 18"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rot="10800000">
          <a:off x="108767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333375</xdr:colOff>
      <xdr:row>23</xdr:row>
      <xdr:rowOff>19049</xdr:rowOff>
    </xdr:from>
    <xdr:to>
      <xdr:col>19</xdr:col>
      <xdr:colOff>523875</xdr:colOff>
      <xdr:row>24</xdr:row>
      <xdr:rowOff>104774</xdr:rowOff>
    </xdr:to>
    <xdr:sp macro="" textlink="">
      <xdr:nvSpPr>
        <xdr:cNvPr id="20" name="CaixaDeTexto 19"/>
        <xdr:cNvSpPr txBox="1"/>
      </xdr:nvSpPr>
      <xdr:spPr>
        <a:xfrm>
          <a:off x="11306175" y="44100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17</xdr:col>
      <xdr:colOff>176389</xdr:colOff>
      <xdr:row>23</xdr:row>
      <xdr:rowOff>19050</xdr:rowOff>
    </xdr:from>
    <xdr:to>
      <xdr:col>18</xdr:col>
      <xdr:colOff>409575</xdr:colOff>
      <xdr:row>24</xdr:row>
      <xdr:rowOff>84668</xdr:rowOff>
    </xdr:to>
    <xdr:sp macro="" textlink="">
      <xdr:nvSpPr>
        <xdr:cNvPr id="21" name="CaixaDeTexto 20"/>
        <xdr:cNvSpPr txBox="1"/>
      </xdr:nvSpPr>
      <xdr:spPr>
        <a:xfrm>
          <a:off x="11091333" y="4400550"/>
          <a:ext cx="875242" cy="2561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twoCellAnchor editAs="oneCell">
    <xdr:from>
      <xdr:col>9</xdr:col>
      <xdr:colOff>381001</xdr:colOff>
      <xdr:row>18</xdr:row>
      <xdr:rowOff>137584</xdr:rowOff>
    </xdr:from>
    <xdr:to>
      <xdr:col>11</xdr:col>
      <xdr:colOff>362563</xdr:colOff>
      <xdr:row>25</xdr:row>
      <xdr:rowOff>9525</xdr:rowOff>
    </xdr:to>
    <xdr:pic>
      <xdr:nvPicPr>
        <xdr:cNvPr id="27" name="Gráfico 16">
          <a:extLst>
            <a:ext uri="{FF2B5EF4-FFF2-40B4-BE49-F238E27FC236}">
              <a16:creationId xmlns:a16="http://schemas.microsoft.com/office/drawing/2014/main" id="{80D83CDF-4B3A-AEBD-B789-2738A0D2E0ED}"/>
            </a:ext>
          </a:extLst>
        </xdr:cNvPr>
        <xdr:cNvPicPr>
          <a:picLocks noChangeAspect="1"/>
        </xdr:cNvPicPr>
      </xdr:nvPicPr>
      <xdr:blipFill>
        <a:blip xmlns:r="http://schemas.openxmlformats.org/officeDocument/2006/relationships" r:embed="rId7" cstate="screen">
          <a:grayscl/>
          <a:extLst>
            <a:ext uri="{BEBA8EAE-BF5A-486C-A8C5-ECC9F3942E4B}">
              <a14:imgProps xmlns:a14="http://schemas.microsoft.com/office/drawing/2010/main">
                <a14:imgLayer r:embed="rId8">
                  <a14:imgEffect>
                    <a14:brightnessContrast bright="65000"/>
                  </a14:imgEffect>
                </a14:imgLayer>
              </a14:imgProps>
            </a:ext>
            <a:ext uri="{28A0092B-C50C-407E-A947-70E740481C1C}">
              <a14:useLocalDpi xmlns:a14="http://schemas.microsoft.com/office/drawing/2010/main"/>
            </a:ext>
            <a:ext uri="{96DAC541-7B7A-43D3-8B79-37D633B846F1}">
              <asvg:svgBlip xmlns:p="http://schemas.openxmlformats.org/presentationml/2006/main" xmlns:asvg="http://schemas.microsoft.com/office/drawing/2016/SVG/main" xmlns="" xmlns:lc="http://schemas.openxmlformats.org/drawingml/2006/lockedCanvas" r:embed="rId65"/>
            </a:ext>
          </a:extLst>
        </a:blip>
        <a:stretch>
          <a:fillRect/>
        </a:stretch>
      </xdr:blipFill>
      <xdr:spPr>
        <a:xfrm>
          <a:off x="5867401" y="3576109"/>
          <a:ext cx="1200762" cy="1205441"/>
        </a:xfrm>
        <a:prstGeom prst="rect">
          <a:avLst/>
        </a:prstGeom>
      </xdr:spPr>
    </xdr:pic>
    <xdr:clientData/>
  </xdr:twoCellAnchor>
  <xdr:twoCellAnchor editAs="oneCell">
    <xdr:from>
      <xdr:col>18</xdr:col>
      <xdr:colOff>122310</xdr:colOff>
      <xdr:row>0</xdr:row>
      <xdr:rowOff>123825</xdr:rowOff>
    </xdr:from>
    <xdr:to>
      <xdr:col>18</xdr:col>
      <xdr:colOff>525555</xdr:colOff>
      <xdr:row>3</xdr:row>
      <xdr:rowOff>9525</xdr:rowOff>
    </xdr:to>
    <xdr:pic>
      <xdr:nvPicPr>
        <xdr:cNvPr id="32" name="Imagem 31" descr="https://cdn-icons-png.flaticon.com/512/1946/1946488.png">
          <a:hlinkClick xmlns:r="http://schemas.openxmlformats.org/officeDocument/2006/relationships" r:id="rId66"/>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1095110"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11206</xdr:colOff>
      <xdr:row>3</xdr:row>
      <xdr:rowOff>9523</xdr:rowOff>
    </xdr:from>
    <xdr:to>
      <xdr:col>19</xdr:col>
      <xdr:colOff>201706</xdr:colOff>
      <xdr:row>4</xdr:row>
      <xdr:rowOff>95248</xdr:rowOff>
    </xdr:to>
    <xdr:sp macro="" textlink="">
      <xdr:nvSpPr>
        <xdr:cNvPr id="33" name="CaixaDeTexto 32"/>
        <xdr:cNvSpPr txBox="1"/>
      </xdr:nvSpPr>
      <xdr:spPr>
        <a:xfrm>
          <a:off x="10984006"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1</xdr:col>
      <xdr:colOff>79934</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502579</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8591550" cy="1746632"/>
    <xdr:sp macro="" textlink="">
      <xdr:nvSpPr>
        <xdr:cNvPr id="16" name="CaixaDeTexto 15"/>
        <xdr:cNvSpPr txBox="1"/>
      </xdr:nvSpPr>
      <xdr:spPr>
        <a:xfrm>
          <a:off x="285750" y="742509"/>
          <a:ext cx="8591550" cy="17466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Indicador - veículos novos transportados e </a:t>
          </a:r>
          <a:r>
            <a:rPr lang="pt-BR" sz="1200" b="1" i="1">
              <a:solidFill>
                <a:srgbClr val="EA7423"/>
              </a:solidFill>
              <a:effectLst/>
              <a:latin typeface="Montserrat" panose="00000500000000000000" pitchFamily="2" charset="0"/>
              <a:ea typeface="+mn-ea"/>
              <a:cs typeface="+mn-cs"/>
            </a:rPr>
            <a:t>market share</a:t>
          </a:r>
        </a:p>
        <a:p>
          <a:pPr>
            <a:spcBef>
              <a:spcPts val="600"/>
            </a:spcBef>
          </a:pPr>
          <a:r>
            <a:rPr lang="pt-BR" sz="1200">
              <a:solidFill>
                <a:schemeClr val="tx1"/>
              </a:solidFill>
              <a:effectLst/>
              <a:latin typeface="Montserrat" panose="00000500000000000000" pitchFamily="2" charset="0"/>
              <a:ea typeface="+mn-ea"/>
              <a:cs typeface="+mn-cs"/>
            </a:rPr>
            <a:t>A quantidade de veículos transportados pela Tegma nos últimos cinco anos (2019-2023) correspondeu a, em média, </a:t>
          </a:r>
          <a:r>
            <a:rPr lang="pt-BR" sz="1200" b="1">
              <a:solidFill>
                <a:schemeClr val="accent2"/>
              </a:solidFill>
              <a:effectLst/>
              <a:latin typeface="Montserrat" panose="00000500000000000000" pitchFamily="2" charset="0"/>
              <a:ea typeface="+mn-ea"/>
              <a:cs typeface="+mn-cs"/>
            </a:rPr>
            <a:t>25%</a:t>
          </a:r>
          <a:r>
            <a:rPr lang="pt-BR" sz="1200">
              <a:solidFill>
                <a:schemeClr val="tx1"/>
              </a:solidFill>
              <a:effectLst/>
              <a:latin typeface="Montserrat" panose="00000500000000000000" pitchFamily="2" charset="0"/>
              <a:ea typeface="+mn-ea"/>
              <a:cs typeface="+mn-cs"/>
            </a:rPr>
            <a:t> da quantidade de veículos leves e comerciais leves vendidos</a:t>
          </a:r>
          <a:r>
            <a:rPr lang="pt-BR" sz="1200" baseline="0">
              <a:solidFill>
                <a:schemeClr val="tx1"/>
              </a:solidFill>
              <a:effectLst/>
              <a:latin typeface="Montserrat" panose="00000500000000000000" pitchFamily="2" charset="0"/>
              <a:ea typeface="+mn-ea"/>
              <a:cs typeface="+mn-cs"/>
            </a:rPr>
            <a:t> no Brasil e exportados</a:t>
          </a:r>
          <a:r>
            <a:rPr lang="pt-BR" sz="1200">
              <a:solidFill>
                <a:schemeClr val="tx1"/>
              </a:solidFill>
              <a:effectLst/>
              <a:latin typeface="Montserrat" panose="00000500000000000000" pitchFamily="2" charset="0"/>
              <a:ea typeface="+mn-ea"/>
              <a:cs typeface="+mn-cs"/>
            </a:rPr>
            <a:t>. A Tegma transporta veículos para entregas domésticas (produzidos nacionalmente ou importados) e para exportação (que pode</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 ser por via rodoviária até países do Mercosul ou até os portos). A Companhia também realiza as entregas de veículos </a:t>
          </a:r>
          <a:r>
            <a:rPr lang="pt-BR" sz="1200" b="1">
              <a:solidFill>
                <a:schemeClr val="accent2"/>
              </a:solidFill>
              <a:effectLst/>
              <a:latin typeface="Montserrat" panose="00000500000000000000" pitchFamily="2" charset="0"/>
              <a:ea typeface="+mn-ea"/>
              <a:cs typeface="+mn-cs"/>
            </a:rPr>
            <a:t>adquiridos pelas locadoras de veículos</a:t>
          </a:r>
          <a:r>
            <a:rPr lang="pt-BR" sz="1200">
              <a:solidFill>
                <a:schemeClr val="tx1"/>
              </a:solidFill>
              <a:effectLst/>
              <a:latin typeface="Montserrat" panose="00000500000000000000" pitchFamily="2" charset="0"/>
              <a:ea typeface="+mn-ea"/>
              <a:cs typeface="+mn-cs"/>
            </a:rPr>
            <a:t>, que ganharam bastante representatividade nos últimos anos.</a:t>
          </a:r>
        </a:p>
        <a:p>
          <a:pPr>
            <a:spcBef>
              <a:spcPts val="600"/>
            </a:spcBef>
          </a:pPr>
          <a:r>
            <a:rPr lang="pt-BR" sz="1200">
              <a:solidFill>
                <a:schemeClr val="tx1"/>
              </a:solidFill>
              <a:effectLst/>
              <a:latin typeface="Montserrat" panose="00000500000000000000" pitchFamily="2" charset="0"/>
              <a:ea typeface="+mn-ea"/>
              <a:cs typeface="+mn-cs"/>
            </a:rPr>
            <a:t>O market share do serviço de transporte de veículos zero km é calculado de acordo com a tabela abaixo: </a:t>
          </a:r>
        </a:p>
      </xdr:txBody>
    </xdr:sp>
    <xdr:clientData/>
  </xdr:oneCellAnchor>
  <xdr:oneCellAnchor>
    <xdr:from>
      <xdr:col>0</xdr:col>
      <xdr:colOff>514350</xdr:colOff>
      <xdr:row>21</xdr:row>
      <xdr:rowOff>32368</xdr:rowOff>
    </xdr:from>
    <xdr:ext cx="6800850" cy="201722"/>
    <xdr:sp macro="" textlink="">
      <xdr:nvSpPr>
        <xdr:cNvPr id="17" name="CaixaDeTexto 16"/>
        <xdr:cNvSpPr txBox="1"/>
      </xdr:nvSpPr>
      <xdr:spPr>
        <a:xfrm>
          <a:off x="514350" y="4032868"/>
          <a:ext cx="6800850" cy="20172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r>
            <a:rPr lang="pt-BR" sz="700">
              <a:solidFill>
                <a:schemeClr val="tx1"/>
              </a:solidFill>
              <a:effectLst/>
              <a:latin typeface="Montserrat" panose="00000500000000000000" pitchFamily="2" charset="0"/>
              <a:ea typeface="+mn-ea"/>
              <a:cs typeface="+mn-cs"/>
            </a:rPr>
            <a:t>¹ Fonte: Carta da ANFAVEA - Leves e comerciais leves (https://anfavea.com.br/site/edicoes-em-excel/)</a:t>
          </a:r>
        </a:p>
      </xdr:txBody>
    </xdr:sp>
    <xdr:clientData/>
  </xdr:oneCellAnchor>
  <xdr:twoCellAnchor editAs="oneCell">
    <xdr:from>
      <xdr:col>15</xdr:col>
      <xdr:colOff>26863</xdr:colOff>
      <xdr:row>0</xdr:row>
      <xdr:rowOff>9525</xdr:rowOff>
    </xdr:from>
    <xdr:to>
      <xdr:col>19</xdr:col>
      <xdr:colOff>600074</xdr:colOff>
      <xdr:row>24</xdr:row>
      <xdr:rowOff>161925</xdr:rowOff>
    </xdr:to>
    <xdr:pic>
      <xdr:nvPicPr>
        <xdr:cNvPr id="12" name="Imagem 11"/>
        <xdr:cNvPicPr>
          <a:picLocks noChangeAspect="1"/>
        </xdr:cNvPicPr>
      </xdr:nvPicPr>
      <xdr:blipFill>
        <a:blip xmlns:r="http://schemas.openxmlformats.org/officeDocument/2006/relationships" r:embed="rId3"/>
        <a:stretch>
          <a:fillRect/>
        </a:stretch>
      </xdr:blipFill>
      <xdr:spPr>
        <a:xfrm>
          <a:off x="9170863" y="9525"/>
          <a:ext cx="3011612" cy="4724400"/>
        </a:xfrm>
        <a:prstGeom prst="rect">
          <a:avLst/>
        </a:prstGeom>
      </xdr:spPr>
    </xdr:pic>
    <xdr:clientData/>
  </xdr:twoCellAnchor>
  <xdr:twoCellAnchor editAs="oneCell">
    <xdr:from>
      <xdr:col>18</xdr:col>
      <xdr:colOff>241092</xdr:colOff>
      <xdr:row>0</xdr:row>
      <xdr:rowOff>71718</xdr:rowOff>
    </xdr:from>
    <xdr:to>
      <xdr:col>19</xdr:col>
      <xdr:colOff>34736</xdr:colOff>
      <xdr:row>2</xdr:row>
      <xdr:rowOff>147918</xdr:rowOff>
    </xdr:to>
    <xdr:pic>
      <xdr:nvPicPr>
        <xdr:cNvPr id="11" name="Imagem 10"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13892" y="717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129988</xdr:colOff>
      <xdr:row>2</xdr:row>
      <xdr:rowOff>157441</xdr:rowOff>
    </xdr:from>
    <xdr:to>
      <xdr:col>19</xdr:col>
      <xdr:colOff>320488</xdr:colOff>
      <xdr:row>4</xdr:row>
      <xdr:rowOff>52666</xdr:rowOff>
    </xdr:to>
    <xdr:sp macro="" textlink="">
      <xdr:nvSpPr>
        <xdr:cNvPr id="13" name="CaixaDeTexto 12"/>
        <xdr:cNvSpPr txBox="1"/>
      </xdr:nvSpPr>
      <xdr:spPr>
        <a:xfrm>
          <a:off x="11102788" y="5384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351597</xdr:colOff>
      <xdr:row>20</xdr:row>
      <xdr:rowOff>57150</xdr:rowOff>
    </xdr:from>
    <xdr:to>
      <xdr:col>19</xdr:col>
      <xdr:colOff>47624</xdr:colOff>
      <xdr:row>22</xdr:row>
      <xdr:rowOff>76200</xdr:rowOff>
    </xdr:to>
    <xdr:pic>
      <xdr:nvPicPr>
        <xdr:cNvPr id="14" name="Imagem 13"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2439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408747</xdr:colOff>
      <xdr:row>20</xdr:row>
      <xdr:rowOff>57150</xdr:rowOff>
    </xdr:from>
    <xdr:to>
      <xdr:col>18</xdr:col>
      <xdr:colOff>104775</xdr:colOff>
      <xdr:row>22</xdr:row>
      <xdr:rowOff>76200</xdr:rowOff>
    </xdr:to>
    <xdr:pic>
      <xdr:nvPicPr>
        <xdr:cNvPr id="15" name="Imagem 14"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7194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228600</xdr:colOff>
      <xdr:row>22</xdr:row>
      <xdr:rowOff>47624</xdr:rowOff>
    </xdr:from>
    <xdr:to>
      <xdr:col>19</xdr:col>
      <xdr:colOff>419100</xdr:colOff>
      <xdr:row>23</xdr:row>
      <xdr:rowOff>133349</xdr:rowOff>
    </xdr:to>
    <xdr:sp macro="" textlink="">
      <xdr:nvSpPr>
        <xdr:cNvPr id="18" name="CaixaDeTexto 17"/>
        <xdr:cNvSpPr txBox="1"/>
      </xdr:nvSpPr>
      <xdr:spPr>
        <a:xfrm>
          <a:off x="11201400" y="42386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0</xdr:colOff>
      <xdr:row>22</xdr:row>
      <xdr:rowOff>47624</xdr:rowOff>
    </xdr:from>
    <xdr:to>
      <xdr:col>18</xdr:col>
      <xdr:colOff>304800</xdr:colOff>
      <xdr:row>23</xdr:row>
      <xdr:rowOff>98777</xdr:rowOff>
    </xdr:to>
    <xdr:sp macro="" textlink="">
      <xdr:nvSpPr>
        <xdr:cNvPr id="19" name="CaixaDeTexto 18"/>
        <xdr:cNvSpPr txBox="1"/>
      </xdr:nvSpPr>
      <xdr:spPr>
        <a:xfrm>
          <a:off x="11027833" y="4238624"/>
          <a:ext cx="946856" cy="2416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11</xdr:col>
      <xdr:colOff>222250</xdr:colOff>
      <xdr:row>12</xdr:row>
      <xdr:rowOff>162278</xdr:rowOff>
    </xdr:from>
    <xdr:ext cx="2074333" cy="1601611"/>
    <xdr:sp macro="" textlink="">
      <xdr:nvSpPr>
        <xdr:cNvPr id="21" name="CaixaDeTexto 20"/>
        <xdr:cNvSpPr txBox="1"/>
      </xdr:nvSpPr>
      <xdr:spPr>
        <a:xfrm>
          <a:off x="7397750" y="2448278"/>
          <a:ext cx="2074333" cy="160161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100" b="1">
              <a:solidFill>
                <a:srgbClr val="EA7423"/>
              </a:solidFill>
              <a:effectLst/>
              <a:latin typeface="Montserrat" panose="00000500000000000000" pitchFamily="2" charset="0"/>
              <a:ea typeface="+mn-ea"/>
              <a:cs typeface="+mn-cs"/>
            </a:rPr>
            <a:t>Para fins de projeção</a:t>
          </a:r>
          <a:r>
            <a:rPr lang="pt-BR" sz="1100" b="0" baseline="0">
              <a:solidFill>
                <a:schemeClr val="tx1"/>
              </a:solidFill>
              <a:effectLst/>
              <a:latin typeface="Montserrat" panose="00000500000000000000" pitchFamily="2" charset="0"/>
              <a:ea typeface="+mn-ea"/>
              <a:cs typeface="+mn-cs"/>
            </a:rPr>
            <a:t> </a:t>
          </a:r>
          <a:r>
            <a:rPr lang="pt-BR" sz="1100" baseline="0">
              <a:solidFill>
                <a:schemeClr val="tx1"/>
              </a:solidFill>
              <a:effectLst/>
              <a:latin typeface="Montserrat" panose="00000500000000000000" pitchFamily="2" charset="0"/>
              <a:ea typeface="+mn-ea"/>
              <a:cs typeface="+mn-cs"/>
            </a:rPr>
            <a:t>As associações dos produtores e distribuidores de veículos, ANFAVEA e FENABRAVE, divulgam anualmente suas projeções públicas para o ano subsequente. Essa pode ser uma forma de se projetar as vendas para o ano seguinte.</a:t>
          </a:r>
        </a:p>
      </xdr:txBody>
    </xdr:sp>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142785</xdr:rowOff>
    </xdr:from>
    <xdr:ext cx="7814028" cy="3016723"/>
    <xdr:sp macro="" textlink="">
      <xdr:nvSpPr>
        <xdr:cNvPr id="5" name="CaixaDeTexto 4"/>
        <xdr:cNvSpPr txBox="1"/>
      </xdr:nvSpPr>
      <xdr:spPr>
        <a:xfrm>
          <a:off x="285750" y="714285"/>
          <a:ext cx="7814028" cy="301672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400" b="1">
              <a:solidFill>
                <a:srgbClr val="EA7423"/>
              </a:solidFill>
              <a:effectLst/>
              <a:latin typeface="Montserrat" panose="00000500000000000000" pitchFamily="2" charset="0"/>
              <a:ea typeface="+mn-ea"/>
              <a:cs typeface="+mn-cs"/>
            </a:rPr>
            <a:t>Indicador - Distância média</a:t>
          </a:r>
        </a:p>
        <a:p>
          <a:pPr>
            <a:spcBef>
              <a:spcPts val="600"/>
            </a:spcBef>
          </a:pPr>
          <a:r>
            <a:rPr lang="pt-BR" sz="1400">
              <a:solidFill>
                <a:schemeClr val="tx1"/>
              </a:solidFill>
              <a:effectLst/>
              <a:latin typeface="Montserrat" panose="00000500000000000000" pitchFamily="2" charset="0"/>
              <a:ea typeface="+mn-ea"/>
              <a:cs typeface="+mn-cs"/>
            </a:rPr>
            <a:t>A distância média é um indicador divulgado nos resultados e reflete o raio de distribuição das nossas entregas. Ela é calculada pela divisão da quantidade total de quilômetros percorridos por todos os veículos (ex: um caminhão com dez</a:t>
          </a:r>
          <a:r>
            <a:rPr lang="pt-BR" sz="1400" baseline="0">
              <a:solidFill>
                <a:schemeClr val="tx1"/>
              </a:solidFill>
              <a:effectLst/>
              <a:latin typeface="Montserrat" panose="00000500000000000000" pitchFamily="2" charset="0"/>
              <a:ea typeface="+mn-ea"/>
              <a:cs typeface="+mn-cs"/>
            </a:rPr>
            <a:t> veículos que percorra 1.000 km e entregue todos veículos no mesmo destino, contribuirá com 10.000 km na distância total) </a:t>
          </a:r>
          <a:r>
            <a:rPr lang="pt-BR" sz="1400">
              <a:solidFill>
                <a:schemeClr val="tx1"/>
              </a:solidFill>
              <a:effectLst/>
              <a:latin typeface="Montserrat" panose="00000500000000000000" pitchFamily="2" charset="0"/>
              <a:ea typeface="+mn-ea"/>
              <a:cs typeface="+mn-cs"/>
            </a:rPr>
            <a:t>pela quantidade de veículos transportados. A variação desse indicador reflete a participação das vendas de veículos nas regiões atendidas pela Tegma em todo o país.</a:t>
          </a:r>
          <a:r>
            <a:rPr lang="pt-BR" sz="1400" baseline="0">
              <a:solidFill>
                <a:schemeClr val="tx1"/>
              </a:solidFill>
              <a:effectLst/>
              <a:latin typeface="Montserrat" panose="00000500000000000000" pitchFamily="2" charset="0"/>
              <a:ea typeface="+mn-ea"/>
              <a:cs typeface="+mn-cs"/>
            </a:rPr>
            <a:t> Como a grande parcela dos </a:t>
          </a:r>
          <a:br>
            <a:rPr lang="pt-BR" sz="1400" baseline="0">
              <a:solidFill>
                <a:schemeClr val="tx1"/>
              </a:solidFill>
              <a:effectLst/>
              <a:latin typeface="Montserrat" panose="00000500000000000000" pitchFamily="2" charset="0"/>
              <a:ea typeface="+mn-ea"/>
              <a:cs typeface="+mn-cs"/>
            </a:rPr>
          </a:br>
          <a:r>
            <a:rPr lang="pt-BR" sz="1400" baseline="0">
              <a:solidFill>
                <a:schemeClr val="tx1"/>
              </a:solidFill>
              <a:effectLst/>
              <a:latin typeface="Montserrat" panose="00000500000000000000" pitchFamily="2" charset="0"/>
              <a:ea typeface="+mn-ea"/>
              <a:cs typeface="+mn-cs"/>
            </a:rPr>
            <a:t>veículos tanto produzidos como importados pelo Brasil é pela região Sudeste,  </a:t>
          </a:r>
          <a:br>
            <a:rPr lang="pt-BR" sz="1400" baseline="0">
              <a:solidFill>
                <a:schemeClr val="tx1"/>
              </a:solidFill>
              <a:effectLst/>
              <a:latin typeface="Montserrat" panose="00000500000000000000" pitchFamily="2" charset="0"/>
              <a:ea typeface="+mn-ea"/>
              <a:cs typeface="+mn-cs"/>
            </a:rPr>
          </a:br>
          <a:r>
            <a:rPr lang="pt-BR" sz="1400" baseline="0">
              <a:solidFill>
                <a:schemeClr val="tx1"/>
              </a:solidFill>
              <a:effectLst/>
              <a:latin typeface="Montserrat" panose="00000500000000000000" pitchFamily="2" charset="0"/>
              <a:ea typeface="+mn-ea"/>
              <a:cs typeface="+mn-cs"/>
            </a:rPr>
            <a:t>quanto maior a participação das vendas fora do Sudeste, maior é a </a:t>
          </a:r>
          <a:br>
            <a:rPr lang="pt-BR" sz="1400" baseline="0">
              <a:solidFill>
                <a:schemeClr val="tx1"/>
              </a:solidFill>
              <a:effectLst/>
              <a:latin typeface="Montserrat" panose="00000500000000000000" pitchFamily="2" charset="0"/>
              <a:ea typeface="+mn-ea"/>
              <a:cs typeface="+mn-cs"/>
            </a:rPr>
          </a:br>
          <a:r>
            <a:rPr lang="pt-BR" sz="1400" baseline="0">
              <a:solidFill>
                <a:schemeClr val="tx1"/>
              </a:solidFill>
              <a:effectLst/>
              <a:latin typeface="Montserrat" panose="00000500000000000000" pitchFamily="2" charset="0"/>
              <a:ea typeface="+mn-ea"/>
              <a:cs typeface="+mn-cs"/>
            </a:rPr>
            <a:t>distância média da Tegma</a:t>
          </a:r>
          <a:r>
            <a:rPr lang="pt-BR" sz="1400">
              <a:solidFill>
                <a:schemeClr val="tx1"/>
              </a:solidFill>
              <a:effectLst/>
              <a:latin typeface="Montserrat" panose="00000500000000000000" pitchFamily="2" charset="0"/>
              <a:ea typeface="+mn-ea"/>
              <a:cs typeface="+mn-cs"/>
            </a:rPr>
            <a:t>. O histórico desse indicador é mostrado na tabela abaixo.</a:t>
          </a:r>
        </a:p>
      </xdr:txBody>
    </xdr:sp>
    <xdr:clientData/>
  </xdr:oneCellAnchor>
  <xdr:twoCellAnchor editAs="oneCell">
    <xdr:from>
      <xdr:col>15</xdr:col>
      <xdr:colOff>266700</xdr:colOff>
      <xdr:row>0</xdr:row>
      <xdr:rowOff>5060</xdr:rowOff>
    </xdr:from>
    <xdr:to>
      <xdr:col>19</xdr:col>
      <xdr:colOff>602474</xdr:colOff>
      <xdr:row>24</xdr:row>
      <xdr:rowOff>174223</xdr:rowOff>
    </xdr:to>
    <xdr:pic>
      <xdr:nvPicPr>
        <xdr:cNvPr id="16" name="Imagem 15">
          <a:extLst>
            <a:ext uri="{FF2B5EF4-FFF2-40B4-BE49-F238E27FC236}">
              <a16:creationId xmlns:a16="http://schemas.microsoft.com/office/drawing/2014/main" id="{12FCEE8B-2C44-EEDF-A00D-7A34AB7FD41E}"/>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colorTemperature colorTemp="5900"/>
                  </a14:imgEffect>
                </a14:imgLayer>
              </a14:imgProps>
            </a:ext>
            <a:ext uri="{28A0092B-C50C-407E-A947-70E740481C1C}">
              <a14:useLocalDpi xmlns:a14="http://schemas.microsoft.com/office/drawing/2010/main"/>
            </a:ext>
          </a:extLst>
        </a:blip>
        <a:srcRect/>
        <a:stretch/>
      </xdr:blipFill>
      <xdr:spPr>
        <a:xfrm>
          <a:off x="9410700" y="5060"/>
          <a:ext cx="2774174" cy="4741163"/>
        </a:xfrm>
        <a:prstGeom prst="rect">
          <a:avLst/>
        </a:prstGeom>
      </xdr:spPr>
    </xdr:pic>
    <xdr:clientData/>
  </xdr:twoCellAnchor>
  <xdr:twoCellAnchor editAs="oneCell">
    <xdr:from>
      <xdr:col>18</xdr:col>
      <xdr:colOff>446847</xdr:colOff>
      <xdr:row>20</xdr:row>
      <xdr:rowOff>171450</xdr:rowOff>
    </xdr:from>
    <xdr:to>
      <xdr:col>19</xdr:col>
      <xdr:colOff>142875</xdr:colOff>
      <xdr:row>23</xdr:row>
      <xdr:rowOff>0</xdr:rowOff>
    </xdr:to>
    <xdr:pic>
      <xdr:nvPicPr>
        <xdr:cNvPr id="14" name="Imagem 13"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20</xdr:row>
      <xdr:rowOff>171450</xdr:rowOff>
    </xdr:from>
    <xdr:to>
      <xdr:col>18</xdr:col>
      <xdr:colOff>200025</xdr:colOff>
      <xdr:row>23</xdr:row>
      <xdr:rowOff>0</xdr:rowOff>
    </xdr:to>
    <xdr:pic>
      <xdr:nvPicPr>
        <xdr:cNvPr id="15" name="Imagem 14" descr="https://cdn-icons-png.flaticon.com/512/591/591855.png">
          <a:hlinkClick xmlns:r="http://schemas.openxmlformats.org/officeDocument/2006/relationships" r:id="rId7"/>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22</xdr:row>
      <xdr:rowOff>161924</xdr:rowOff>
    </xdr:from>
    <xdr:to>
      <xdr:col>19</xdr:col>
      <xdr:colOff>514350</xdr:colOff>
      <xdr:row>24</xdr:row>
      <xdr:rowOff>57149</xdr:rowOff>
    </xdr:to>
    <xdr:sp macro="" textlink="">
      <xdr:nvSpPr>
        <xdr:cNvPr id="18" name="CaixaDeTexto 17"/>
        <xdr:cNvSpPr txBox="1"/>
      </xdr:nvSpPr>
      <xdr:spPr>
        <a:xfrm>
          <a:off x="11296650" y="43529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15</xdr:col>
      <xdr:colOff>76200</xdr:colOff>
      <xdr:row>0</xdr:row>
      <xdr:rowOff>0</xdr:rowOff>
    </xdr:from>
    <xdr:to>
      <xdr:col>19</xdr:col>
      <xdr:colOff>514350</xdr:colOff>
      <xdr:row>24</xdr:row>
      <xdr:rowOff>84964</xdr:rowOff>
    </xdr:to>
    <xdr:sp macro="" textlink="">
      <xdr:nvSpPr>
        <xdr:cNvPr id="17" name="Freeform 5">
          <a:extLst>
            <a:ext uri="{FF2B5EF4-FFF2-40B4-BE49-F238E27FC236}">
              <a16:creationId xmlns:a16="http://schemas.microsoft.com/office/drawing/2014/main" id="{CEB3B94B-6840-5B11-741C-7200189F7C72}"/>
            </a:ext>
          </a:extLst>
        </xdr:cNvPr>
        <xdr:cNvSpPr>
          <a:spLocks noChangeAspect="1" noEditPoints="1"/>
        </xdr:cNvSpPr>
      </xdr:nvSpPr>
      <xdr:spPr bwMode="auto">
        <a:xfrm>
          <a:off x="9220200" y="0"/>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xdr:from>
      <xdr:col>17</xdr:col>
      <xdr:colOff>162280</xdr:colOff>
      <xdr:row>22</xdr:row>
      <xdr:rowOff>161924</xdr:rowOff>
    </xdr:from>
    <xdr:to>
      <xdr:col>18</xdr:col>
      <xdr:colOff>421218</xdr:colOff>
      <xdr:row>24</xdr:row>
      <xdr:rowOff>21167</xdr:rowOff>
    </xdr:to>
    <xdr:sp macro="" textlink="">
      <xdr:nvSpPr>
        <xdr:cNvPr id="19" name="CaixaDeTexto 18"/>
        <xdr:cNvSpPr txBox="1"/>
      </xdr:nvSpPr>
      <xdr:spPr>
        <a:xfrm>
          <a:off x="11077224" y="4352924"/>
          <a:ext cx="900994" cy="24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twoCellAnchor editAs="oneCell">
    <xdr:from>
      <xdr:col>18</xdr:col>
      <xdr:colOff>301604</xdr:colOff>
      <xdr:row>0</xdr:row>
      <xdr:rowOff>104775</xdr:rowOff>
    </xdr:from>
    <xdr:to>
      <xdr:col>19</xdr:col>
      <xdr:colOff>95249</xdr:colOff>
      <xdr:row>2</xdr:row>
      <xdr:rowOff>180975</xdr:rowOff>
    </xdr:to>
    <xdr:pic>
      <xdr:nvPicPr>
        <xdr:cNvPr id="12" name="Imagem 11" descr="https://cdn-icons-png.flaticon.com/512/1946/1946488.png">
          <a:hlinkClick xmlns:r="http://schemas.openxmlformats.org/officeDocument/2006/relationships" r:id="rId8"/>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1274404" y="1047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2</xdr:row>
      <xdr:rowOff>190498</xdr:rowOff>
    </xdr:from>
    <xdr:to>
      <xdr:col>19</xdr:col>
      <xdr:colOff>381000</xdr:colOff>
      <xdr:row>4</xdr:row>
      <xdr:rowOff>85723</xdr:rowOff>
    </xdr:to>
    <xdr:sp macro="" textlink="">
      <xdr:nvSpPr>
        <xdr:cNvPr id="13" name="CaixaDeTexto 12"/>
        <xdr:cNvSpPr txBox="1"/>
      </xdr:nvSpPr>
      <xdr:spPr>
        <a:xfrm>
          <a:off x="11163300" y="5714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oneCellAnchor>
    <xdr:from>
      <xdr:col>12</xdr:col>
      <xdr:colOff>116417</xdr:colOff>
      <xdr:row>14</xdr:row>
      <xdr:rowOff>38805</xdr:rowOff>
    </xdr:from>
    <xdr:ext cx="1922638" cy="1668640"/>
    <xdr:sp macro="" textlink="">
      <xdr:nvSpPr>
        <xdr:cNvPr id="20" name="CaixaDeTexto 19"/>
        <xdr:cNvSpPr txBox="1"/>
      </xdr:nvSpPr>
      <xdr:spPr>
        <a:xfrm>
          <a:off x="7821084" y="2705805"/>
          <a:ext cx="1922638" cy="166864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300" b="1">
              <a:solidFill>
                <a:srgbClr val="EA7423"/>
              </a:solidFill>
              <a:effectLst/>
              <a:latin typeface="Montserrat" panose="00000500000000000000" pitchFamily="2" charset="0"/>
              <a:ea typeface="+mn-ea"/>
              <a:cs typeface="+mn-cs"/>
            </a:rPr>
            <a:t>Para fins de projeção</a:t>
          </a:r>
          <a:r>
            <a:rPr lang="pt-BR" sz="1300" b="0" baseline="0">
              <a:solidFill>
                <a:schemeClr val="tx1"/>
              </a:solidFill>
              <a:effectLst/>
              <a:latin typeface="Montserrat" panose="00000500000000000000" pitchFamily="2" charset="0"/>
              <a:ea typeface="+mn-ea"/>
              <a:cs typeface="+mn-cs"/>
            </a:rPr>
            <a:t> </a:t>
          </a:r>
          <a:r>
            <a:rPr lang="pt-BR" sz="1300" baseline="0">
              <a:solidFill>
                <a:schemeClr val="tx1"/>
              </a:solidFill>
              <a:effectLst/>
              <a:latin typeface="Montserrat" panose="00000500000000000000" pitchFamily="2" charset="0"/>
              <a:ea typeface="+mn-ea"/>
              <a:cs typeface="+mn-cs"/>
            </a:rPr>
            <a:t>Não existe premissas suficientes para se conseguir projetar a km média do futuro. O passado é a única forma de se se ter um parâmetro.</a:t>
          </a:r>
        </a:p>
      </xdr:txBody>
    </xdr:sp>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Indicador - receita por km/veículo </a:t>
          </a:r>
        </a:p>
        <a:p>
          <a:pPr>
            <a:spcBef>
              <a:spcPts val="600"/>
            </a:spcBef>
          </a:pPr>
          <a:r>
            <a:rPr lang="pt-BR" sz="1200">
              <a:solidFill>
                <a:schemeClr val="tx1"/>
              </a:solidFill>
              <a:effectLst/>
              <a:latin typeface="Montserrat" panose="00000500000000000000" pitchFamily="2" charset="0"/>
              <a:ea typeface="+mn-ea"/>
              <a:cs typeface="+mn-cs"/>
            </a:rPr>
            <a:t>Apesar de se tratar de uma aproximação, quando se divide a receita bruta da operação de logística de veículos pela quilometragem total percorrida naquele período, é possível se estimar a tarifa que é cobrada das clientes por veículo por quilômetro percorrido. A tarifa é reajustada anualmente por inflação logística negociada com os clientes.</a:t>
          </a:r>
        </a:p>
      </xdr:txBody>
    </xdr:sp>
    <xdr:clientData/>
  </xdr:oneCellAnchor>
  <xdr:oneCellAnchor>
    <xdr:from>
      <xdr:col>0</xdr:col>
      <xdr:colOff>285750</xdr:colOff>
      <xdr:row>19</xdr:row>
      <xdr:rowOff>74700</xdr:rowOff>
    </xdr:from>
    <xdr:ext cx="6858000" cy="279885"/>
    <xdr:sp macro="" textlink="">
      <xdr:nvSpPr>
        <xdr:cNvPr id="8" name="CaixaDeTexto 7"/>
        <xdr:cNvSpPr txBox="1"/>
      </xdr:nvSpPr>
      <xdr:spPr>
        <a:xfrm>
          <a:off x="285750" y="3694200"/>
          <a:ext cx="6858000"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15</xdr:col>
      <xdr:colOff>285750</xdr:colOff>
      <xdr:row>0</xdr:row>
      <xdr:rowOff>28022</xdr:rowOff>
    </xdr:from>
    <xdr:to>
      <xdr:col>19</xdr:col>
      <xdr:colOff>581079</xdr:colOff>
      <xdr:row>24</xdr:row>
      <xdr:rowOff>165270</xdr:rowOff>
    </xdr:to>
    <xdr:pic>
      <xdr:nvPicPr>
        <xdr:cNvPr id="13" name="Imagem 12">
          <a:extLst>
            <a:ext uri="{FF2B5EF4-FFF2-40B4-BE49-F238E27FC236}">
              <a16:creationId xmlns:a16="http://schemas.microsoft.com/office/drawing/2014/main" id="{B202E0DA-55CE-933E-B11C-89893141E94E}"/>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t="19038" b="12078"/>
        <a:stretch/>
      </xdr:blipFill>
      <xdr:spPr>
        <a:xfrm>
          <a:off x="9429750" y="28022"/>
          <a:ext cx="2733729" cy="4709248"/>
        </a:xfrm>
        <a:prstGeom prst="rect">
          <a:avLst/>
        </a:prstGeom>
      </xdr:spPr>
    </xdr:pic>
    <xdr:clientData/>
  </xdr:twoCellAnchor>
  <xdr:twoCellAnchor>
    <xdr:from>
      <xdr:col>15</xdr:col>
      <xdr:colOff>296954</xdr:colOff>
      <xdr:row>0</xdr:row>
      <xdr:rowOff>10759</xdr:rowOff>
    </xdr:from>
    <xdr:to>
      <xdr:col>19</xdr:col>
      <xdr:colOff>600075</xdr:colOff>
      <xdr:row>24</xdr:row>
      <xdr:rowOff>180975</xdr:rowOff>
    </xdr:to>
    <xdr:sp macro="" textlink="">
      <xdr:nvSpPr>
        <xdr:cNvPr id="14" name="Retângulo 13">
          <a:extLst>
            <a:ext uri="{FF2B5EF4-FFF2-40B4-BE49-F238E27FC236}">
              <a16:creationId xmlns:a16="http://schemas.microsoft.com/office/drawing/2014/main" id="{0DC9BD21-5E58-6F09-CEA0-A8D10690A859}"/>
            </a:ext>
          </a:extLst>
        </xdr:cNvPr>
        <xdr:cNvSpPr/>
      </xdr:nvSpPr>
      <xdr:spPr>
        <a:xfrm>
          <a:off x="9440954" y="10759"/>
          <a:ext cx="2741521" cy="4742216"/>
        </a:xfrm>
        <a:prstGeom prst="rect">
          <a:avLst/>
        </a:prstGeom>
        <a:solidFill>
          <a:schemeClr val="tx1">
            <a:alpha val="27843"/>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xdr:from>
      <xdr:col>15</xdr:col>
      <xdr:colOff>38100</xdr:colOff>
      <xdr:row>0</xdr:row>
      <xdr:rowOff>72138</xdr:rowOff>
    </xdr:from>
    <xdr:to>
      <xdr:col>19</xdr:col>
      <xdr:colOff>476250</xdr:colOff>
      <xdr:row>24</xdr:row>
      <xdr:rowOff>157102</xdr:rowOff>
    </xdr:to>
    <xdr:sp macro="" textlink="">
      <xdr:nvSpPr>
        <xdr:cNvPr id="15" name="Freeform 5">
          <a:extLst>
            <a:ext uri="{FF2B5EF4-FFF2-40B4-BE49-F238E27FC236}">
              <a16:creationId xmlns:a16="http://schemas.microsoft.com/office/drawing/2014/main" id="{CEB3B94B-6840-5B11-741C-7200189F7C72}"/>
            </a:ext>
          </a:extLst>
        </xdr:cNvPr>
        <xdr:cNvSpPr>
          <a:spLocks noChangeAspect="1" noEditPoints="1"/>
        </xdr:cNvSpPr>
      </xdr:nvSpPr>
      <xdr:spPr bwMode="auto">
        <a:xfrm>
          <a:off x="9182100" y="72138"/>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editAs="oneCell">
    <xdr:from>
      <xdr:col>18</xdr:col>
      <xdr:colOff>511154</xdr:colOff>
      <xdr:row>0</xdr:row>
      <xdr:rowOff>123825</xdr:rowOff>
    </xdr:from>
    <xdr:to>
      <xdr:col>19</xdr:col>
      <xdr:colOff>304799</xdr:colOff>
      <xdr:row>3</xdr:row>
      <xdr:rowOff>9525</xdr:rowOff>
    </xdr:to>
    <xdr:pic>
      <xdr:nvPicPr>
        <xdr:cNvPr id="16" name="Imagem 15"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83954"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400050</xdr:colOff>
      <xdr:row>3</xdr:row>
      <xdr:rowOff>19048</xdr:rowOff>
    </xdr:from>
    <xdr:to>
      <xdr:col>19</xdr:col>
      <xdr:colOff>590550</xdr:colOff>
      <xdr:row>4</xdr:row>
      <xdr:rowOff>104773</xdr:rowOff>
    </xdr:to>
    <xdr:sp macro="" textlink="">
      <xdr:nvSpPr>
        <xdr:cNvPr id="17" name="CaixaDeTexto 16"/>
        <xdr:cNvSpPr txBox="1"/>
      </xdr:nvSpPr>
      <xdr:spPr>
        <a:xfrm>
          <a:off x="11372850"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380172</xdr:colOff>
      <xdr:row>20</xdr:row>
      <xdr:rowOff>133350</xdr:rowOff>
    </xdr:from>
    <xdr:to>
      <xdr:col>19</xdr:col>
      <xdr:colOff>76200</xdr:colOff>
      <xdr:row>22</xdr:row>
      <xdr:rowOff>152400</xdr:rowOff>
    </xdr:to>
    <xdr:pic>
      <xdr:nvPicPr>
        <xdr:cNvPr id="18" name="Imagem 17"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35297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437322</xdr:colOff>
      <xdr:row>20</xdr:row>
      <xdr:rowOff>133350</xdr:rowOff>
    </xdr:from>
    <xdr:to>
      <xdr:col>18</xdr:col>
      <xdr:colOff>133350</xdr:colOff>
      <xdr:row>22</xdr:row>
      <xdr:rowOff>152400</xdr:rowOff>
    </xdr:to>
    <xdr:pic>
      <xdr:nvPicPr>
        <xdr:cNvPr id="19" name="Imagem 18"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0052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22</xdr:row>
      <xdr:rowOff>123824</xdr:rowOff>
    </xdr:from>
    <xdr:to>
      <xdr:col>19</xdr:col>
      <xdr:colOff>447675</xdr:colOff>
      <xdr:row>24</xdr:row>
      <xdr:rowOff>19049</xdr:rowOff>
    </xdr:to>
    <xdr:sp macro="" textlink="">
      <xdr:nvSpPr>
        <xdr:cNvPr id="20" name="CaixaDeTexto 19"/>
        <xdr:cNvSpPr txBox="1"/>
      </xdr:nvSpPr>
      <xdr:spPr>
        <a:xfrm>
          <a:off x="11229975" y="43148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17</xdr:col>
      <xdr:colOff>84667</xdr:colOff>
      <xdr:row>22</xdr:row>
      <xdr:rowOff>123824</xdr:rowOff>
    </xdr:from>
    <xdr:to>
      <xdr:col>18</xdr:col>
      <xdr:colOff>333375</xdr:colOff>
      <xdr:row>24</xdr:row>
      <xdr:rowOff>21167</xdr:rowOff>
    </xdr:to>
    <xdr:sp macro="" textlink="">
      <xdr:nvSpPr>
        <xdr:cNvPr id="21" name="CaixaDeTexto 20"/>
        <xdr:cNvSpPr txBox="1"/>
      </xdr:nvSpPr>
      <xdr:spPr>
        <a:xfrm>
          <a:off x="10999611" y="4314824"/>
          <a:ext cx="890764" cy="2783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oneCellAnchor>
    <xdr:from>
      <xdr:col>0</xdr:col>
      <xdr:colOff>211666</xdr:colOff>
      <xdr:row>9</xdr:row>
      <xdr:rowOff>139254</xdr:rowOff>
    </xdr:from>
    <xdr:ext cx="8008056" cy="789703"/>
    <xdr:sp macro="" textlink="">
      <xdr:nvSpPr>
        <xdr:cNvPr id="22" name="CaixaDeTexto 21"/>
        <xdr:cNvSpPr txBox="1"/>
      </xdr:nvSpPr>
      <xdr:spPr>
        <a:xfrm>
          <a:off x="211666" y="1853754"/>
          <a:ext cx="8008056" cy="78970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FF0000"/>
              </a:solidFill>
              <a:effectLst/>
              <a:latin typeface="Montserrat" panose="00000500000000000000" pitchFamily="2" charset="0"/>
              <a:ea typeface="+mn-ea"/>
              <a:cs typeface="+mn-cs"/>
            </a:rPr>
            <a:t>Obs.: A receita do segmento de logística de veículos divulgada inclui os outros serviços que não somente o de transporte, que podem variar com uma outra dinâmica. Portanto, a estimativa não é 100% precisa, mas como grande parte da receita provém do </a:t>
          </a:r>
          <a:br>
            <a:rPr lang="pt-BR" sz="1200" b="1">
              <a:solidFill>
                <a:srgbClr val="FF0000"/>
              </a:solidFill>
              <a:effectLst/>
              <a:latin typeface="Montserrat" panose="00000500000000000000" pitchFamily="2" charset="0"/>
              <a:ea typeface="+mn-ea"/>
              <a:cs typeface="+mn-cs"/>
            </a:rPr>
          </a:br>
          <a:r>
            <a:rPr lang="pt-BR" sz="1200" b="1">
              <a:solidFill>
                <a:srgbClr val="FF0000"/>
              </a:solidFill>
              <a:effectLst/>
              <a:latin typeface="Montserrat" panose="00000500000000000000" pitchFamily="2" charset="0"/>
              <a:ea typeface="+mn-ea"/>
              <a:cs typeface="+mn-cs"/>
            </a:rPr>
            <a:t>transporte, ela deve ser bem próxima. </a:t>
          </a:r>
        </a:p>
      </xdr:txBody>
    </xdr:sp>
    <xdr:clientData/>
  </xdr:oneCellAnchor>
  <xdr:oneCellAnchor>
    <xdr:from>
      <xdr:col>1</xdr:col>
      <xdr:colOff>42334</xdr:colOff>
      <xdr:row>19</xdr:row>
      <xdr:rowOff>63500</xdr:rowOff>
    </xdr:from>
    <xdr:ext cx="8117417" cy="962828"/>
    <xdr:sp macro="" textlink="">
      <xdr:nvSpPr>
        <xdr:cNvPr id="23" name="CaixaDeTexto 22"/>
        <xdr:cNvSpPr txBox="1"/>
      </xdr:nvSpPr>
      <xdr:spPr>
        <a:xfrm>
          <a:off x="656167" y="3683000"/>
          <a:ext cx="8117417" cy="96282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a:t>
          </a:r>
          <a:r>
            <a:rPr lang="pt-BR" sz="1200" baseline="0">
              <a:solidFill>
                <a:schemeClr val="tx1"/>
              </a:solidFill>
              <a:effectLst/>
              <a:latin typeface="Montserrat" panose="00000500000000000000" pitchFamily="2" charset="0"/>
              <a:ea typeface="+mn-ea"/>
              <a:cs typeface="+mn-cs"/>
            </a:rPr>
            <a:t>Uma maneira de projetar a receita da operação de logística de veículos seria 1: projetar a quantidade de veículos transportados; 2: estimar a km média; 3: estimar a tarifa de transporte (que depende da inflação de logística e de negociações comerciais); 4: multiplicar a distância total (veículos transportados x km média).</a:t>
          </a:r>
        </a:p>
      </xdr:txBody>
    </xdr:sp>
    <xdr:clientData/>
  </xdr:oneCellAnchor>
</xdr:wsDr>
</file>

<file path=xl/drawings/drawing9.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243417</xdr:colOff>
      <xdr:row>3</xdr:row>
      <xdr:rowOff>65174</xdr:rowOff>
    </xdr:from>
    <xdr:ext cx="9937750" cy="4125825"/>
    <xdr:sp macro="" textlink="">
      <xdr:nvSpPr>
        <xdr:cNvPr id="5" name="CaixaDeTexto 4"/>
        <xdr:cNvSpPr txBox="1"/>
      </xdr:nvSpPr>
      <xdr:spPr>
        <a:xfrm>
          <a:off x="243417" y="636674"/>
          <a:ext cx="9937750" cy="41258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300" b="1">
              <a:solidFill>
                <a:srgbClr val="EA7423"/>
              </a:solidFill>
              <a:effectLst/>
              <a:latin typeface="Montserrat" panose="00000500000000000000" pitchFamily="2" charset="0"/>
              <a:ea typeface="+mn-ea"/>
              <a:cs typeface="+mn-cs"/>
            </a:rPr>
            <a:t>Custos dos serviços prestados </a:t>
          </a:r>
        </a:p>
        <a:p>
          <a:pPr>
            <a:spcBef>
              <a:spcPts val="600"/>
            </a:spcBef>
          </a:pPr>
          <a:r>
            <a:rPr lang="pt-BR" sz="1300">
              <a:solidFill>
                <a:schemeClr val="tx1"/>
              </a:solidFill>
              <a:effectLst/>
              <a:latin typeface="Montserrat" panose="00000500000000000000" pitchFamily="2" charset="0"/>
              <a:ea typeface="+mn-ea"/>
              <a:cs typeface="+mn-cs"/>
            </a:rPr>
            <a:t>Os </a:t>
          </a:r>
          <a:r>
            <a:rPr lang="pt-BR" sz="1300" b="1">
              <a:solidFill>
                <a:schemeClr val="tx1"/>
              </a:solidFill>
              <a:effectLst/>
              <a:latin typeface="Montserrat" panose="00000500000000000000" pitchFamily="2" charset="0"/>
              <a:ea typeface="+mn-ea"/>
              <a:cs typeface="+mn-cs"/>
            </a:rPr>
            <a:t>custos dos serviços prestados</a:t>
          </a:r>
          <a:r>
            <a:rPr lang="pt-BR" sz="1300">
              <a:solidFill>
                <a:schemeClr val="tx1"/>
              </a:solidFill>
              <a:effectLst/>
              <a:latin typeface="Montserrat" panose="00000500000000000000" pitchFamily="2" charset="0"/>
              <a:ea typeface="+mn-ea"/>
              <a:cs typeface="+mn-cs"/>
            </a:rPr>
            <a:t> da divisão correspondem majoritariamente ao frete que a Tegma paga aos caminhoneiros terceirizados, responsáveis pela entrega final dos veículos até as concessionárias ou até os portos. </a:t>
          </a:r>
        </a:p>
        <a:p>
          <a:pPr>
            <a:spcBef>
              <a:spcPts val="600"/>
            </a:spcBef>
          </a:pPr>
          <a:r>
            <a:rPr lang="pt-BR" sz="1300">
              <a:solidFill>
                <a:schemeClr val="tx1"/>
              </a:solidFill>
              <a:effectLst/>
              <a:latin typeface="Montserrat" panose="00000500000000000000" pitchFamily="2" charset="0"/>
              <a:ea typeface="+mn-ea"/>
              <a:cs typeface="+mn-cs"/>
            </a:rPr>
            <a:t>Os custos variáveis correspondem a fretes, combustíveis, créditos de PIS/Cofins e outros custos variáveis. Os custos variáveis nos últimos 5 anos corresponderam a em média </a:t>
          </a:r>
          <a:r>
            <a:rPr kumimoji="0" lang="pt-BR" sz="1300" b="1" i="0" u="none" strike="noStrike" kern="0" cap="none" spc="0" normalizeH="0" baseline="0">
              <a:ln>
                <a:noFill/>
              </a:ln>
              <a:solidFill>
                <a:srgbClr val="EA7423"/>
              </a:solidFill>
              <a:effectLst/>
              <a:uLnTx/>
              <a:uFillTx/>
              <a:latin typeface="Montserrat" panose="00000500000000000000" pitchFamily="2" charset="0"/>
              <a:ea typeface="+mn-ea"/>
              <a:cs typeface="+mn-cs"/>
            </a:rPr>
            <a:t>63,8% da receita Líquida</a:t>
          </a:r>
          <a:r>
            <a:rPr lang="pt-BR" sz="1300">
              <a:solidFill>
                <a:schemeClr val="tx1"/>
              </a:solidFill>
              <a:effectLst/>
              <a:latin typeface="Montserrat" panose="00000500000000000000" pitchFamily="2" charset="0"/>
              <a:ea typeface="+mn-ea"/>
              <a:cs typeface="+mn-cs"/>
            </a:rPr>
            <a:t>.</a:t>
          </a:r>
        </a:p>
        <a:p>
          <a:pPr>
            <a:spcBef>
              <a:spcPts val="600"/>
            </a:spcBef>
          </a:pPr>
          <a:r>
            <a:rPr lang="pt-BR" sz="1300">
              <a:solidFill>
                <a:schemeClr val="tx1"/>
              </a:solidFill>
              <a:effectLst/>
              <a:latin typeface="Montserrat" panose="00000500000000000000" pitchFamily="2" charset="0"/>
              <a:ea typeface="+mn-ea"/>
              <a:cs typeface="+mn-cs"/>
            </a:rPr>
            <a:t>Os custos fixos correspondem a custos com pessoal operacional (principalmente dos responsáveis por fazer o manuseio dos veículos nos pátios de consolidação), depreciação e outros custos como manutenção da frota própria, vigilância, seguros, combustíveis (usados pela frota própria, que representa cerca de 7% da frota total), entre outros. Os custos fixos nos últimos 5 anos corresponderam a em média </a:t>
          </a:r>
          <a:r>
            <a:rPr kumimoji="0" lang="pt-BR" sz="1300" b="1" i="0" u="none" strike="noStrike" kern="0" cap="none" spc="0" normalizeH="0" baseline="0">
              <a:ln>
                <a:noFill/>
              </a:ln>
              <a:solidFill>
                <a:srgbClr val="EA7423"/>
              </a:solidFill>
              <a:effectLst/>
              <a:uLnTx/>
              <a:uFillTx/>
              <a:latin typeface="Montserrat" panose="00000500000000000000" pitchFamily="2" charset="0"/>
              <a:ea typeface="+mn-ea"/>
              <a:cs typeface="+mn-cs"/>
            </a:rPr>
            <a:t>13,5% da receita Líquida</a:t>
          </a:r>
          <a:r>
            <a:rPr lang="pt-BR" sz="1300">
              <a:solidFill>
                <a:schemeClr val="tx1"/>
              </a:solidFill>
              <a:effectLst/>
              <a:latin typeface="Montserrat" panose="00000500000000000000" pitchFamily="2" charset="0"/>
              <a:ea typeface="+mn-ea"/>
              <a:cs typeface="+mn-cs"/>
            </a:rPr>
            <a:t>.</a:t>
          </a:r>
        </a:p>
        <a:p>
          <a:pPr>
            <a:spcBef>
              <a:spcPts val="600"/>
            </a:spcBef>
          </a:pPr>
          <a:r>
            <a:rPr kumimoji="0" lang="pt-BR" sz="13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Despesas</a:t>
          </a:r>
          <a:endParaRPr lang="pt-BR" sz="1300">
            <a:solidFill>
              <a:srgbClr val="EA7423"/>
            </a:solidFill>
            <a:effectLst/>
            <a:latin typeface="Montserrat" panose="00000500000000000000" pitchFamily="2" charset="0"/>
            <a:ea typeface="+mn-ea"/>
            <a:cs typeface="+mn-cs"/>
          </a:endParaRPr>
        </a:p>
        <a:p>
          <a:pPr>
            <a:spcBef>
              <a:spcPts val="600"/>
            </a:spcBef>
          </a:pPr>
          <a:r>
            <a:rPr lang="pt-BR" sz="1300">
              <a:solidFill>
                <a:schemeClr val="tx1"/>
              </a:solidFill>
              <a:effectLst/>
              <a:latin typeface="Montserrat" panose="00000500000000000000" pitchFamily="2" charset="0"/>
              <a:ea typeface="+mn-ea"/>
              <a:cs typeface="+mn-cs"/>
            </a:rPr>
            <a:t>As </a:t>
          </a:r>
          <a:r>
            <a:rPr lang="pt-BR" sz="1300" b="1">
              <a:solidFill>
                <a:schemeClr val="tx1"/>
              </a:solidFill>
              <a:effectLst/>
              <a:latin typeface="Montserrat" panose="00000500000000000000" pitchFamily="2" charset="0"/>
              <a:ea typeface="+mn-ea"/>
              <a:cs typeface="+mn-cs"/>
            </a:rPr>
            <a:t>despesas</a:t>
          </a:r>
          <a:r>
            <a:rPr lang="pt-BR" sz="1300">
              <a:solidFill>
                <a:schemeClr val="tx1"/>
              </a:solidFill>
              <a:effectLst/>
              <a:latin typeface="Montserrat" panose="00000500000000000000" pitchFamily="2" charset="0"/>
              <a:ea typeface="+mn-ea"/>
              <a:cs typeface="+mn-cs"/>
            </a:rPr>
            <a:t> da divisão incluem despesas gerais e administrativas e outras receitas e despesas.</a:t>
          </a:r>
        </a:p>
        <a:p>
          <a:pPr>
            <a:spcBef>
              <a:spcPts val="600"/>
            </a:spcBef>
          </a:pPr>
          <a:r>
            <a:rPr kumimoji="0" lang="pt-BR" sz="13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Depreciação/amortização</a:t>
          </a:r>
          <a:endParaRPr lang="pt-BR" sz="1300">
            <a:solidFill>
              <a:srgbClr val="EA7423"/>
            </a:solidFill>
            <a:effectLst/>
            <a:latin typeface="Montserrat" panose="00000500000000000000" pitchFamily="2" charset="0"/>
            <a:ea typeface="+mn-ea"/>
            <a:cs typeface="+mn-cs"/>
          </a:endParaRPr>
        </a:p>
        <a:p>
          <a:pPr>
            <a:spcBef>
              <a:spcPts val="600"/>
            </a:spcBef>
          </a:pPr>
          <a:r>
            <a:rPr lang="pt-BR" sz="1300">
              <a:solidFill>
                <a:schemeClr val="tx1"/>
              </a:solidFill>
              <a:effectLst/>
              <a:latin typeface="Montserrat" panose="00000500000000000000" pitchFamily="2" charset="0"/>
              <a:ea typeface="+mn-ea"/>
              <a:cs typeface="+mn-cs"/>
            </a:rPr>
            <a:t>A </a:t>
          </a:r>
          <a:r>
            <a:rPr lang="pt-BR" sz="1300" b="1">
              <a:solidFill>
                <a:schemeClr val="tx1"/>
              </a:solidFill>
              <a:effectLst/>
              <a:latin typeface="Montserrat" panose="00000500000000000000" pitchFamily="2" charset="0"/>
              <a:ea typeface="+mn-ea"/>
              <a:cs typeface="+mn-cs"/>
            </a:rPr>
            <a:t>depreciação/amortização</a:t>
          </a:r>
          <a:r>
            <a:rPr lang="pt-BR" sz="1300">
              <a:solidFill>
                <a:schemeClr val="tx1"/>
              </a:solidFill>
              <a:effectLst/>
              <a:latin typeface="Montserrat" panose="00000500000000000000" pitchFamily="2" charset="0"/>
              <a:ea typeface="+mn-ea"/>
              <a:cs typeface="+mn-cs"/>
            </a:rPr>
            <a:t> da divisão reflete principalmente a depreciação das benfeitorias em terrenos e equipamentos de transporte próprios, além da amortização do direito de uso dos imóveis alugados.</a:t>
          </a:r>
        </a:p>
      </xdr:txBody>
    </xdr:sp>
    <xdr:clientData/>
  </xdr:oneCellAnchor>
  <xdr:twoCellAnchor editAs="oneCell">
    <xdr:from>
      <xdr:col>15</xdr:col>
      <xdr:colOff>600075</xdr:colOff>
      <xdr:row>0</xdr:row>
      <xdr:rowOff>19050</xdr:rowOff>
    </xdr:from>
    <xdr:to>
      <xdr:col>19</xdr:col>
      <xdr:colOff>571500</xdr:colOff>
      <xdr:row>24</xdr:row>
      <xdr:rowOff>152400</xdr:rowOff>
    </xdr:to>
    <xdr:pic>
      <xdr:nvPicPr>
        <xdr:cNvPr id="16" name="Imagem 15">
          <a:extLst>
            <a:ext uri="{FF2B5EF4-FFF2-40B4-BE49-F238E27FC236}">
              <a16:creationId xmlns:a16="http://schemas.microsoft.com/office/drawing/2014/main" id="{1618F179-0172-B671-06CE-FD5A8A09F13B}"/>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45002"/>
        <a:stretch/>
      </xdr:blipFill>
      <xdr:spPr>
        <a:xfrm>
          <a:off x="9744075" y="19050"/>
          <a:ext cx="2409825" cy="4705350"/>
        </a:xfrm>
        <a:prstGeom prst="rect">
          <a:avLst/>
        </a:prstGeom>
      </xdr:spPr>
    </xdr:pic>
    <xdr:clientData/>
  </xdr:twoCellAnchor>
  <xdr:twoCellAnchor>
    <xdr:from>
      <xdr:col>15</xdr:col>
      <xdr:colOff>333375</xdr:colOff>
      <xdr:row>0</xdr:row>
      <xdr:rowOff>0</xdr:rowOff>
    </xdr:from>
    <xdr:to>
      <xdr:col>19</xdr:col>
      <xdr:colOff>535079</xdr:colOff>
      <xdr:row>25</xdr:row>
      <xdr:rowOff>0</xdr:rowOff>
    </xdr:to>
    <xdr:grpSp>
      <xdr:nvGrpSpPr>
        <xdr:cNvPr id="17" name="Agrupar 16">
          <a:extLst>
            <a:ext uri="{FF2B5EF4-FFF2-40B4-BE49-F238E27FC236}">
              <a16:creationId xmlns:a16="http://schemas.microsoft.com/office/drawing/2014/main" id="{0A3AD9C6-A8CE-C440-6CE5-7CB93D688790}"/>
            </a:ext>
          </a:extLst>
        </xdr:cNvPr>
        <xdr:cNvGrpSpPr/>
      </xdr:nvGrpSpPr>
      <xdr:grpSpPr>
        <a:xfrm>
          <a:off x="9964208" y="0"/>
          <a:ext cx="2769927" cy="4762500"/>
          <a:chOff x="5507735" y="2613621"/>
          <a:chExt cx="905725" cy="1632502"/>
        </a:xfrm>
      </xdr:grpSpPr>
      <xdr:sp macro="" textlink="">
        <xdr:nvSpPr>
          <xdr:cNvPr id="18" name="Forma Livre: Forma 34">
            <a:extLst>
              <a:ext uri="{FF2B5EF4-FFF2-40B4-BE49-F238E27FC236}">
                <a16:creationId xmlns:a16="http://schemas.microsoft.com/office/drawing/2014/main" id="{8C97EAAC-8B32-4696-2262-0A0AEBAE4AC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9" name="Forma Livre: Forma 35">
            <a:extLst>
              <a:ext uri="{FF2B5EF4-FFF2-40B4-BE49-F238E27FC236}">
                <a16:creationId xmlns:a16="http://schemas.microsoft.com/office/drawing/2014/main" id="{06D62DB8-C600-E7B8-429A-DCAEFEEEDEB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383967</xdr:colOff>
      <xdr:row>0</xdr:row>
      <xdr:rowOff>176493</xdr:rowOff>
    </xdr:from>
    <xdr:to>
      <xdr:col>19</xdr:col>
      <xdr:colOff>177612</xdr:colOff>
      <xdr:row>3</xdr:row>
      <xdr:rowOff>62193</xdr:rowOff>
    </xdr:to>
    <xdr:pic>
      <xdr:nvPicPr>
        <xdr:cNvPr id="13" name="Imagem 12"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356767" y="17649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272863</xdr:colOff>
      <xdr:row>3</xdr:row>
      <xdr:rowOff>71716</xdr:rowOff>
    </xdr:from>
    <xdr:to>
      <xdr:col>19</xdr:col>
      <xdr:colOff>463363</xdr:colOff>
      <xdr:row>4</xdr:row>
      <xdr:rowOff>157441</xdr:rowOff>
    </xdr:to>
    <xdr:sp macro="" textlink="">
      <xdr:nvSpPr>
        <xdr:cNvPr id="14" name="CaixaDeTexto 13"/>
        <xdr:cNvSpPr txBox="1"/>
      </xdr:nvSpPr>
      <xdr:spPr>
        <a:xfrm>
          <a:off x="11245663" y="64321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465897</xdr:colOff>
      <xdr:row>20</xdr:row>
      <xdr:rowOff>76200</xdr:rowOff>
    </xdr:from>
    <xdr:to>
      <xdr:col>19</xdr:col>
      <xdr:colOff>161925</xdr:colOff>
      <xdr:row>22</xdr:row>
      <xdr:rowOff>95250</xdr:rowOff>
    </xdr:to>
    <xdr:pic>
      <xdr:nvPicPr>
        <xdr:cNvPr id="15" name="Imagem 14"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386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523047</xdr:colOff>
      <xdr:row>20</xdr:row>
      <xdr:rowOff>76200</xdr:rowOff>
    </xdr:from>
    <xdr:to>
      <xdr:col>18</xdr:col>
      <xdr:colOff>219075</xdr:colOff>
      <xdr:row>22</xdr:row>
      <xdr:rowOff>95250</xdr:rowOff>
    </xdr:to>
    <xdr:pic>
      <xdr:nvPicPr>
        <xdr:cNvPr id="20" name="Imagem 19"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86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342900</xdr:colOff>
      <xdr:row>22</xdr:row>
      <xdr:rowOff>66674</xdr:rowOff>
    </xdr:from>
    <xdr:to>
      <xdr:col>19</xdr:col>
      <xdr:colOff>533400</xdr:colOff>
      <xdr:row>23</xdr:row>
      <xdr:rowOff>152399</xdr:rowOff>
    </xdr:to>
    <xdr:sp macro="" textlink="">
      <xdr:nvSpPr>
        <xdr:cNvPr id="21" name="CaixaDeTexto 20"/>
        <xdr:cNvSpPr txBox="1"/>
      </xdr:nvSpPr>
      <xdr:spPr>
        <a:xfrm>
          <a:off x="1131570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17</xdr:col>
      <xdr:colOff>190500</xdr:colOff>
      <xdr:row>22</xdr:row>
      <xdr:rowOff>66674</xdr:rowOff>
    </xdr:from>
    <xdr:to>
      <xdr:col>18</xdr:col>
      <xdr:colOff>419100</xdr:colOff>
      <xdr:row>23</xdr:row>
      <xdr:rowOff>183444</xdr:rowOff>
    </xdr:to>
    <xdr:sp macro="" textlink="">
      <xdr:nvSpPr>
        <xdr:cNvPr id="22" name="CaixaDeTexto 21"/>
        <xdr:cNvSpPr txBox="1"/>
      </xdr:nvSpPr>
      <xdr:spPr>
        <a:xfrm>
          <a:off x="11105444" y="4257674"/>
          <a:ext cx="870656" cy="3072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Automotiva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Demonstração de Resultado </a:t>
          </a:r>
          <a:r>
            <a:rPr lang="pt-BR" sz="1200" b="1" baseline="0">
              <a:solidFill>
                <a:srgbClr val="EA7423"/>
              </a:solidFill>
              <a:effectLst/>
              <a:latin typeface="Montserrat" panose="00000500000000000000" pitchFamily="2" charset="0"/>
              <a:ea typeface="+mn-ea"/>
              <a:cs typeface="+mn-cs"/>
            </a:rPr>
            <a:t>(R$ mil)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14</xdr:col>
      <xdr:colOff>600075</xdr:colOff>
      <xdr:row>0</xdr:row>
      <xdr:rowOff>19050</xdr:rowOff>
    </xdr:from>
    <xdr:to>
      <xdr:col>19</xdr:col>
      <xdr:colOff>554162</xdr:colOff>
      <xdr:row>24</xdr:row>
      <xdr:rowOff>171450</xdr:rowOff>
    </xdr:to>
    <xdr:pic>
      <xdr:nvPicPr>
        <xdr:cNvPr id="17" name="Imagem 16"/>
        <xdr:cNvPicPr>
          <a:picLocks noChangeAspect="1"/>
        </xdr:cNvPicPr>
      </xdr:nvPicPr>
      <xdr:blipFill>
        <a:blip xmlns:r="http://schemas.openxmlformats.org/officeDocument/2006/relationships" r:embed="rId3"/>
        <a:stretch>
          <a:fillRect/>
        </a:stretch>
      </xdr:blipFill>
      <xdr:spPr>
        <a:xfrm>
          <a:off x="9588853" y="19050"/>
          <a:ext cx="3164365" cy="4724400"/>
        </a:xfrm>
        <a:prstGeom prst="rect">
          <a:avLst/>
        </a:prstGeom>
      </xdr:spPr>
    </xdr:pic>
    <xdr:clientData/>
  </xdr:twoCellAnchor>
  <xdr:twoCellAnchor editAs="oneCell">
    <xdr:from>
      <xdr:col>18</xdr:col>
      <xdr:colOff>196829</xdr:colOff>
      <xdr:row>1</xdr:row>
      <xdr:rowOff>0</xdr:rowOff>
    </xdr:from>
    <xdr:to>
      <xdr:col>18</xdr:col>
      <xdr:colOff>600074</xdr:colOff>
      <xdr:row>3</xdr:row>
      <xdr:rowOff>76200</xdr:rowOff>
    </xdr:to>
    <xdr:pic>
      <xdr:nvPicPr>
        <xdr:cNvPr id="11" name="Imagem 10"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69629" y="1905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85725</xdr:colOff>
      <xdr:row>3</xdr:row>
      <xdr:rowOff>85723</xdr:rowOff>
    </xdr:from>
    <xdr:to>
      <xdr:col>19</xdr:col>
      <xdr:colOff>276225</xdr:colOff>
      <xdr:row>4</xdr:row>
      <xdr:rowOff>171448</xdr:rowOff>
    </xdr:to>
    <xdr:sp macro="" textlink="">
      <xdr:nvSpPr>
        <xdr:cNvPr id="16" name="CaixaDeTexto 15"/>
        <xdr:cNvSpPr txBox="1"/>
      </xdr:nvSpPr>
      <xdr:spPr>
        <a:xfrm>
          <a:off x="11058525" y="6572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294447</xdr:colOff>
      <xdr:row>20</xdr:row>
      <xdr:rowOff>76200</xdr:rowOff>
    </xdr:from>
    <xdr:to>
      <xdr:col>18</xdr:col>
      <xdr:colOff>600075</xdr:colOff>
      <xdr:row>22</xdr:row>
      <xdr:rowOff>95250</xdr:rowOff>
    </xdr:to>
    <xdr:pic>
      <xdr:nvPicPr>
        <xdr:cNvPr id="18" name="Imagem 17"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67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351597</xdr:colOff>
      <xdr:row>20</xdr:row>
      <xdr:rowOff>76200</xdr:rowOff>
    </xdr:from>
    <xdr:to>
      <xdr:col>18</xdr:col>
      <xdr:colOff>47625</xdr:colOff>
      <xdr:row>22</xdr:row>
      <xdr:rowOff>95250</xdr:rowOff>
    </xdr:to>
    <xdr:pic>
      <xdr:nvPicPr>
        <xdr:cNvPr id="19" name="Imagem 18"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147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171450</xdr:colOff>
      <xdr:row>22</xdr:row>
      <xdr:rowOff>66674</xdr:rowOff>
    </xdr:from>
    <xdr:to>
      <xdr:col>19</xdr:col>
      <xdr:colOff>361950</xdr:colOff>
      <xdr:row>23</xdr:row>
      <xdr:rowOff>152399</xdr:rowOff>
    </xdr:to>
    <xdr:sp macro="" textlink="">
      <xdr:nvSpPr>
        <xdr:cNvPr id="20" name="CaixaDeTexto 19"/>
        <xdr:cNvSpPr txBox="1"/>
      </xdr:nvSpPr>
      <xdr:spPr>
        <a:xfrm>
          <a:off x="1114425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7056</xdr:colOff>
      <xdr:row>22</xdr:row>
      <xdr:rowOff>66675</xdr:rowOff>
    </xdr:from>
    <xdr:to>
      <xdr:col>18</xdr:col>
      <xdr:colOff>247650</xdr:colOff>
      <xdr:row>23</xdr:row>
      <xdr:rowOff>91723</xdr:rowOff>
    </xdr:to>
    <xdr:sp macro="" textlink="">
      <xdr:nvSpPr>
        <xdr:cNvPr id="21" name="CaixaDeTexto 20"/>
        <xdr:cNvSpPr txBox="1"/>
      </xdr:nvSpPr>
      <xdr:spPr>
        <a:xfrm>
          <a:off x="10922000" y="4257675"/>
          <a:ext cx="882650" cy="21554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12</xdr:col>
      <xdr:colOff>137583</xdr:colOff>
      <xdr:row>5</xdr:row>
      <xdr:rowOff>179916</xdr:rowOff>
    </xdr:from>
    <xdr:ext cx="1502835" cy="3432528"/>
    <xdr:sp macro="" textlink="">
      <xdr:nvSpPr>
        <xdr:cNvPr id="14" name="CaixaDeTexto 13"/>
        <xdr:cNvSpPr txBox="1"/>
      </xdr:nvSpPr>
      <xdr:spPr>
        <a:xfrm>
          <a:off x="7842250" y="1132416"/>
          <a:ext cx="1502835" cy="343252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a:t>
          </a:r>
        </a:p>
        <a:p>
          <a:pPr algn="ctr">
            <a:spcBef>
              <a:spcPts val="600"/>
            </a:spcBef>
          </a:pPr>
          <a:r>
            <a:rPr lang="pt-BR" sz="1200" baseline="0">
              <a:solidFill>
                <a:schemeClr val="tx1"/>
              </a:solidFill>
              <a:effectLst/>
              <a:latin typeface="Montserrat" panose="00000500000000000000" pitchFamily="2" charset="0"/>
              <a:ea typeface="+mn-ea"/>
              <a:cs typeface="+mn-cs"/>
            </a:rPr>
            <a:t>O DRE ao lado é o contábil e se encontra poluído por diversos eventos não recorrentes dos últimos 5 anos. Para visualizar o DRE sem esses eventos, consultar a série histórica na aba "Análise Rápida".</a:t>
          </a:r>
        </a:p>
      </xdr:txBody>
    </xdr:sp>
    <xdr:clientData/>
  </xdr:oneCellAnchor>
</xdr:wsDr>
</file>

<file path=xl/drawings/drawing11.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de Logística Integrada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222516</xdr:colOff>
      <xdr:row>4</xdr:row>
      <xdr:rowOff>114460</xdr:rowOff>
    </xdr:from>
    <xdr:ext cx="7108205" cy="3461332"/>
    <xdr:sp macro="" textlink="">
      <xdr:nvSpPr>
        <xdr:cNvPr id="5" name="CaixaDeTexto 4"/>
        <xdr:cNvSpPr txBox="1"/>
      </xdr:nvSpPr>
      <xdr:spPr>
        <a:xfrm>
          <a:off x="222516" y="876460"/>
          <a:ext cx="7108205" cy="34613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0" indent="0">
            <a:spcBef>
              <a:spcPts val="600"/>
            </a:spcBef>
          </a:pPr>
          <a:r>
            <a:rPr lang="pt-BR" sz="1200">
              <a:solidFill>
                <a:schemeClr val="tx1"/>
              </a:solidFill>
              <a:effectLst/>
              <a:latin typeface="Montserrat" panose="00000500000000000000" pitchFamily="2" charset="0"/>
              <a:ea typeface="+mn-ea"/>
              <a:cs typeface="+mn-cs"/>
            </a:rPr>
            <a:t>A receita bruta da </a:t>
          </a:r>
          <a:r>
            <a:rPr lang="pt-BR" sz="1200" b="1">
              <a:solidFill>
                <a:schemeClr val="tx1"/>
              </a:solidFill>
              <a:effectLst/>
              <a:latin typeface="Montserrat" panose="00000500000000000000" pitchFamily="2" charset="0"/>
              <a:ea typeface="+mn-ea"/>
              <a:cs typeface="+mn-cs"/>
            </a:rPr>
            <a:t>armazenagem</a:t>
          </a:r>
          <a:r>
            <a:rPr lang="pt-BR" sz="1200">
              <a:solidFill>
                <a:schemeClr val="tx1"/>
              </a:solidFill>
              <a:effectLst/>
              <a:latin typeface="Montserrat" panose="00000500000000000000" pitchFamily="2" charset="0"/>
              <a:ea typeface="+mn-ea"/>
              <a:cs typeface="+mn-cs"/>
            </a:rPr>
            <a:t> depende principalmente da demanda por gestão de estoques. A cobrança é realizada a partir do volume de pico contratado pelos clientes em um certo período.</a:t>
          </a:r>
        </a:p>
        <a:p>
          <a:pPr marL="0" indent="0">
            <a:spcBef>
              <a:spcPts val="600"/>
            </a:spcBef>
          </a:pPr>
          <a:r>
            <a:rPr lang="pt-BR" sz="1200">
              <a:solidFill>
                <a:schemeClr val="tx1"/>
              </a:solidFill>
              <a:effectLst/>
              <a:latin typeface="Montserrat" panose="00000500000000000000" pitchFamily="2" charset="0"/>
              <a:ea typeface="+mn-ea"/>
              <a:cs typeface="+mn-cs"/>
            </a:rPr>
            <a:t>A receita bruta </a:t>
          </a:r>
          <a:r>
            <a:rPr lang="pt-BR" sz="1200" b="1">
              <a:solidFill>
                <a:schemeClr val="tx1"/>
              </a:solidFill>
              <a:effectLst/>
              <a:latin typeface="Montserrat" panose="00000500000000000000" pitchFamily="2" charset="0"/>
              <a:ea typeface="+mn-ea"/>
              <a:cs typeface="+mn-cs"/>
            </a:rPr>
            <a:t>logística industrial</a:t>
          </a:r>
          <a:r>
            <a:rPr lang="pt-BR" sz="1200">
              <a:solidFill>
                <a:schemeClr val="tx1"/>
              </a:solidFill>
              <a:effectLst/>
              <a:latin typeface="Montserrat" panose="00000500000000000000" pitchFamily="2" charset="0"/>
              <a:ea typeface="+mn-ea"/>
              <a:cs typeface="+mn-cs"/>
            </a:rPr>
            <a:t>, por sua vez tem operações voltadas para dois segmentos: o setor </a:t>
          </a:r>
          <a:r>
            <a:rPr lang="pt-BR" sz="1200" b="1">
              <a:solidFill>
                <a:schemeClr val="tx1"/>
              </a:solidFill>
              <a:effectLst/>
              <a:latin typeface="Montserrat" panose="00000500000000000000" pitchFamily="2" charset="0"/>
              <a:ea typeface="+mn-ea"/>
              <a:cs typeface="+mn-cs"/>
            </a:rPr>
            <a:t>químicos</a:t>
          </a:r>
          <a:r>
            <a:rPr lang="pt-BR" sz="1200">
              <a:solidFill>
                <a:schemeClr val="tx1"/>
              </a:solidFill>
              <a:effectLst/>
              <a:latin typeface="Montserrat" panose="00000500000000000000" pitchFamily="2" charset="0"/>
              <a:ea typeface="+mn-ea"/>
              <a:cs typeface="+mn-cs"/>
            </a:rPr>
            <a:t> e o setor de </a:t>
          </a:r>
          <a:r>
            <a:rPr lang="pt-BR" sz="1200" b="1">
              <a:solidFill>
                <a:schemeClr val="tx1"/>
              </a:solidFill>
              <a:effectLst/>
              <a:latin typeface="Montserrat" panose="00000500000000000000" pitchFamily="2" charset="0"/>
              <a:ea typeface="+mn-ea"/>
              <a:cs typeface="+mn-cs"/>
            </a:rPr>
            <a:t>eletrodomésticos</a:t>
          </a:r>
          <a:r>
            <a:rPr lang="pt-BR" sz="1200">
              <a:solidFill>
                <a:schemeClr val="tx1"/>
              </a:solidFill>
              <a:effectLst/>
              <a:latin typeface="Montserrat" panose="00000500000000000000" pitchFamily="2" charset="0"/>
              <a:ea typeface="+mn-ea"/>
              <a:cs typeface="+mn-cs"/>
            </a:rPr>
            <a:t>. </a:t>
          </a:r>
        </a:p>
        <a:p>
          <a:pPr marL="0" indent="0">
            <a:spcBef>
              <a:spcPts val="600"/>
            </a:spcBef>
          </a:pPr>
          <a:r>
            <a:rPr lang="pt-BR" sz="1200">
              <a:solidFill>
                <a:schemeClr val="tx1"/>
              </a:solidFill>
              <a:effectLst/>
              <a:latin typeface="Montserrat" panose="00000500000000000000" pitchFamily="2" charset="0"/>
              <a:ea typeface="+mn-ea"/>
              <a:cs typeface="+mn-cs"/>
            </a:rPr>
            <a:t>O faturamento da logística industrial voltado para o setor </a:t>
          </a:r>
          <a:r>
            <a:rPr lang="pt-BR" sz="1200" b="1">
              <a:solidFill>
                <a:schemeClr val="tx1"/>
              </a:solidFill>
              <a:effectLst/>
              <a:latin typeface="Montserrat" panose="00000500000000000000" pitchFamily="2" charset="0"/>
              <a:ea typeface="+mn-ea"/>
              <a:cs typeface="+mn-cs"/>
            </a:rPr>
            <a:t>químico</a:t>
          </a:r>
          <a:r>
            <a:rPr lang="pt-BR" sz="1200">
              <a:solidFill>
                <a:schemeClr val="tx1"/>
              </a:solidFill>
              <a:effectLst/>
              <a:latin typeface="Montserrat" panose="00000500000000000000" pitchFamily="2" charset="0"/>
              <a:ea typeface="+mn-ea"/>
              <a:cs typeface="+mn-cs"/>
            </a:rPr>
            <a:t> depende da tonelagem de produtos químicos transportados e armazenados entre o Porto de Santos/SP, o armazém em Cubatão/SP e as respectivas fábricas. A dinâmica de crescimento desse negócio depende das vendas de produtos essenciais de cuidados pessoais e da produção de vidros no país (ambas indústrias que dependem da matéria prima que a Tegma administra).</a:t>
          </a:r>
        </a:p>
        <a:p>
          <a:pPr marL="0" indent="0">
            <a:spcBef>
              <a:spcPts val="600"/>
            </a:spcBef>
          </a:pPr>
          <a:r>
            <a:rPr lang="pt-BR" sz="1200">
              <a:solidFill>
                <a:schemeClr val="tx1"/>
              </a:solidFill>
              <a:effectLst/>
              <a:latin typeface="Montserrat" panose="00000500000000000000" pitchFamily="2" charset="0"/>
              <a:ea typeface="+mn-ea"/>
              <a:cs typeface="+mn-cs"/>
            </a:rPr>
            <a:t>A receita bruta da logística industrial voltada para o setor de </a:t>
          </a:r>
          <a:r>
            <a:rPr lang="pt-BR" sz="1200" b="1">
              <a:solidFill>
                <a:schemeClr val="tx1"/>
              </a:solidFill>
              <a:effectLst/>
              <a:latin typeface="Montserrat" panose="00000500000000000000" pitchFamily="2" charset="0"/>
              <a:ea typeface="+mn-ea"/>
              <a:cs typeface="+mn-cs"/>
            </a:rPr>
            <a:t>eletrodomésticos</a:t>
          </a:r>
          <a:r>
            <a:rPr lang="pt-BR" sz="1200">
              <a:solidFill>
                <a:schemeClr val="tx1"/>
              </a:solidFill>
              <a:effectLst/>
              <a:latin typeface="Montserrat" panose="00000500000000000000" pitchFamily="2" charset="0"/>
              <a:ea typeface="+mn-ea"/>
              <a:cs typeface="+mn-cs"/>
            </a:rPr>
            <a:t> depende, por sua vez, i) da quantidade de viagens para coletar peças entre os diversos fornecedores e levar até as fábricas dos clientes e ii)</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da remuneração dos investimentos realizados na aquisição de embalagens para acomodar as peças durante a logística, baseado em uma taxa de administração desse serviço. A dinâmica de crescimento desse negócio depende principalmente das vendas de eletrodomésticos no país.</a:t>
          </a: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6" name="Imagem 5">
          <a:extLst>
            <a:ext uri="{FF2B5EF4-FFF2-40B4-BE49-F238E27FC236}">
              <a16:creationId xmlns:a16="http://schemas.microsoft.com/office/drawing/2014/main" id="{3E0D1052-862B-54B8-95CF-4C3DE2FA7C6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306478" cy="251696"/>
        </a:xfrm>
        <a:prstGeom prst="rect">
          <a:avLst/>
        </a:prstGeom>
      </xdr:spPr>
    </xdr:pic>
    <xdr:clientData/>
  </xdr:twoCellAnchor>
  <xdr:twoCellAnchor>
    <xdr:from>
      <xdr:col>11</xdr:col>
      <xdr:colOff>135031</xdr:colOff>
      <xdr:row>0</xdr:row>
      <xdr:rowOff>0</xdr:rowOff>
    </xdr:from>
    <xdr:to>
      <xdr:col>15</xdr:col>
      <xdr:colOff>336735</xdr:colOff>
      <xdr:row>25</xdr:row>
      <xdr:rowOff>0</xdr:rowOff>
    </xdr:to>
    <xdr:grpSp>
      <xdr:nvGrpSpPr>
        <xdr:cNvPr id="9" name="Agrupar 8">
          <a:extLst>
            <a:ext uri="{FF2B5EF4-FFF2-40B4-BE49-F238E27FC236}">
              <a16:creationId xmlns:a16="http://schemas.microsoft.com/office/drawing/2014/main" id="{0A3AD9C6-A8CE-C440-6CE5-7CB93D688790}"/>
            </a:ext>
          </a:extLst>
        </xdr:cNvPr>
        <xdr:cNvGrpSpPr/>
      </xdr:nvGrpSpPr>
      <xdr:grpSpPr>
        <a:xfrm>
          <a:off x="7197642" y="0"/>
          <a:ext cx="2769926" cy="4762500"/>
          <a:chOff x="5507735" y="2613621"/>
          <a:chExt cx="905725" cy="1632502"/>
        </a:xfrm>
      </xdr:grpSpPr>
      <xdr:sp macro="" textlink="">
        <xdr:nvSpPr>
          <xdr:cNvPr id="10" name="Forma Livre: Forma 34">
            <a:extLst>
              <a:ext uri="{FF2B5EF4-FFF2-40B4-BE49-F238E27FC236}">
                <a16:creationId xmlns:a16="http://schemas.microsoft.com/office/drawing/2014/main" id="{8C97EAAC-8B32-4696-2262-0A0AEBAE4AC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6D62DB8-C600-E7B8-429A-DCAEFEEEDEB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12" name="Retângulo 11">
          <a:extLst>
            <a:ext uri="{FF2B5EF4-FFF2-40B4-BE49-F238E27FC236}">
              <a16:creationId xmlns:a16="http://schemas.microsoft.com/office/drawing/2014/main" id="{2F9BDDC6-A421-62AE-705A-C3BB3771D6A7}"/>
            </a:ext>
          </a:extLst>
        </xdr:cNvPr>
        <xdr:cNvSpPr/>
      </xdr:nvSpPr>
      <xdr:spPr>
        <a:xfrm>
          <a:off x="7142631" y="47225"/>
          <a:ext cx="2719826" cy="471599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15</xdr:col>
      <xdr:colOff>542984</xdr:colOff>
      <xdr:row>0</xdr:row>
      <xdr:rowOff>47625</xdr:rowOff>
    </xdr:from>
    <xdr:to>
      <xdr:col>16383</xdr:col>
      <xdr:colOff>9525</xdr:colOff>
      <xdr:row>24</xdr:row>
      <xdr:rowOff>171450</xdr:rowOff>
    </xdr:to>
    <xdr:pic>
      <xdr:nvPicPr>
        <xdr:cNvPr id="14" name="Imagem 13" descr="Uma imagem contendo edifício, ao ar livre, caminhão, rua&#10;&#10;Descrição gerada automaticamente">
          <a:extLst>
            <a:ext uri="{FF2B5EF4-FFF2-40B4-BE49-F238E27FC236}">
              <a16:creationId xmlns:a16="http://schemas.microsoft.com/office/drawing/2014/main" id="{E2A48207-012C-5F5E-99E8-FF7F2B397BF4}"/>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1250" r="17165"/>
        <a:stretch/>
      </xdr:blipFill>
      <xdr:spPr>
        <a:xfrm>
          <a:off x="9686984" y="47625"/>
          <a:ext cx="2514541" cy="4695825"/>
        </a:xfrm>
        <a:prstGeom prst="rect">
          <a:avLst/>
        </a:prstGeom>
      </xdr:spPr>
    </xdr:pic>
    <xdr:clientData/>
  </xdr:twoCellAnchor>
  <xdr:twoCellAnchor editAs="oneCell">
    <xdr:from>
      <xdr:col>18</xdr:col>
      <xdr:colOff>215879</xdr:colOff>
      <xdr:row>1</xdr:row>
      <xdr:rowOff>123825</xdr:rowOff>
    </xdr:from>
    <xdr:to>
      <xdr:col>19</xdr:col>
      <xdr:colOff>9524</xdr:colOff>
      <xdr:row>4</xdr:row>
      <xdr:rowOff>9525</xdr:rowOff>
    </xdr:to>
    <xdr:pic>
      <xdr:nvPicPr>
        <xdr:cNvPr id="13" name="Imagem 12"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3238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4</xdr:row>
      <xdr:rowOff>19048</xdr:rowOff>
    </xdr:from>
    <xdr:to>
      <xdr:col>19</xdr:col>
      <xdr:colOff>295275</xdr:colOff>
      <xdr:row>5</xdr:row>
      <xdr:rowOff>104773</xdr:rowOff>
    </xdr:to>
    <xdr:sp macro="" textlink="">
      <xdr:nvSpPr>
        <xdr:cNvPr id="15" name="CaixaDeTexto 14"/>
        <xdr:cNvSpPr txBox="1"/>
      </xdr:nvSpPr>
      <xdr:spPr>
        <a:xfrm>
          <a:off x="11077575" y="7905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521928</xdr:colOff>
      <xdr:row>20</xdr:row>
      <xdr:rowOff>180575</xdr:rowOff>
    </xdr:from>
    <xdr:to>
      <xdr:col>19</xdr:col>
      <xdr:colOff>217956</xdr:colOff>
      <xdr:row>23</xdr:row>
      <xdr:rowOff>9125</xdr:rowOff>
    </xdr:to>
    <xdr:pic>
      <xdr:nvPicPr>
        <xdr:cNvPr id="16" name="Imagem 15"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9472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579078</xdr:colOff>
      <xdr:row>20</xdr:row>
      <xdr:rowOff>180575</xdr:rowOff>
    </xdr:from>
    <xdr:to>
      <xdr:col>18</xdr:col>
      <xdr:colOff>275106</xdr:colOff>
      <xdr:row>23</xdr:row>
      <xdr:rowOff>9125</xdr:rowOff>
    </xdr:to>
    <xdr:pic>
      <xdr:nvPicPr>
        <xdr:cNvPr id="17" name="Imagem 16"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4227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398931</xdr:colOff>
      <xdr:row>22</xdr:row>
      <xdr:rowOff>171049</xdr:rowOff>
    </xdr:from>
    <xdr:to>
      <xdr:col>19</xdr:col>
      <xdr:colOff>589431</xdr:colOff>
      <xdr:row>24</xdr:row>
      <xdr:rowOff>66274</xdr:rowOff>
    </xdr:to>
    <xdr:sp macro="" textlink="">
      <xdr:nvSpPr>
        <xdr:cNvPr id="18" name="CaixaDeTexto 17"/>
        <xdr:cNvSpPr txBox="1"/>
      </xdr:nvSpPr>
      <xdr:spPr>
        <a:xfrm>
          <a:off x="11371731" y="43620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254001</xdr:colOff>
      <xdr:row>22</xdr:row>
      <xdr:rowOff>183444</xdr:rowOff>
    </xdr:from>
    <xdr:to>
      <xdr:col>18</xdr:col>
      <xdr:colOff>475131</xdr:colOff>
      <xdr:row>24</xdr:row>
      <xdr:rowOff>66274</xdr:rowOff>
    </xdr:to>
    <xdr:sp macro="" textlink="">
      <xdr:nvSpPr>
        <xdr:cNvPr id="19" name="CaixaDeTexto 18"/>
        <xdr:cNvSpPr txBox="1"/>
      </xdr:nvSpPr>
      <xdr:spPr>
        <a:xfrm>
          <a:off x="11168945" y="4374444"/>
          <a:ext cx="863186" cy="2638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de Logística Integrada</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twoCellAnchor editAs="oneCell">
    <xdr:from>
      <xdr:col>17</xdr:col>
      <xdr:colOff>108088</xdr:colOff>
      <xdr:row>0</xdr:row>
      <xdr:rowOff>0</xdr:rowOff>
    </xdr:from>
    <xdr:to>
      <xdr:col>16383</xdr:col>
      <xdr:colOff>15019</xdr:colOff>
      <xdr:row>25</xdr:row>
      <xdr:rowOff>0</xdr:rowOff>
    </xdr:to>
    <xdr:pic>
      <xdr:nvPicPr>
        <xdr:cNvPr id="12" name="Imagem 11" descr="Uma imagem contendo ao ar livre, edifício, cheio, trem&#10;&#10;Descrição gerada automaticamente">
          <a:extLst>
            <a:ext uri="{FF2B5EF4-FFF2-40B4-BE49-F238E27FC236}">
              <a16:creationId xmlns:a16="http://schemas.microsoft.com/office/drawing/2014/main" id="{42EF07EF-8B84-8BE9-4C5C-A75C5258966A}"/>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471288" y="0"/>
          <a:ext cx="1735731" cy="4762500"/>
        </a:xfrm>
        <a:prstGeom prst="rect">
          <a:avLst/>
        </a:prstGeom>
      </xdr:spPr>
    </xdr:pic>
    <xdr:clientData/>
  </xdr:twoCellAnchor>
  <xdr:twoCellAnchor>
    <xdr:from>
      <xdr:col>15</xdr:col>
      <xdr:colOff>38100</xdr:colOff>
      <xdr:row>1</xdr:row>
      <xdr:rowOff>121228</xdr:rowOff>
    </xdr:from>
    <xdr:to>
      <xdr:col>19</xdr:col>
      <xdr:colOff>568751</xdr:colOff>
      <xdr:row>23</xdr:row>
      <xdr:rowOff>1</xdr:rowOff>
    </xdr:to>
    <xdr:grpSp>
      <xdr:nvGrpSpPr>
        <xdr:cNvPr id="13" name="Agrupar 12">
          <a:extLst>
            <a:ext uri="{FF2B5EF4-FFF2-40B4-BE49-F238E27FC236}">
              <a16:creationId xmlns:a16="http://schemas.microsoft.com/office/drawing/2014/main" id="{C434DE9B-42BD-4CF5-64A0-AE52D4BB1D15}"/>
            </a:ext>
          </a:extLst>
        </xdr:cNvPr>
        <xdr:cNvGrpSpPr>
          <a:grpSpLocks noChangeAspect="1"/>
        </xdr:cNvGrpSpPr>
      </xdr:nvGrpSpPr>
      <xdr:grpSpPr>
        <a:xfrm>
          <a:off x="9668933" y="311728"/>
          <a:ext cx="3098874" cy="4069773"/>
          <a:chOff x="5307763" y="2613621"/>
          <a:chExt cx="1105698" cy="1632502"/>
        </a:xfrm>
      </xdr:grpSpPr>
      <xdr:sp macro="" textlink="">
        <xdr:nvSpPr>
          <xdr:cNvPr id="14" name="Forma Livre: Forma 28">
            <a:extLst>
              <a:ext uri="{FF2B5EF4-FFF2-40B4-BE49-F238E27FC236}">
                <a16:creationId xmlns:a16="http://schemas.microsoft.com/office/drawing/2014/main" id="{C26CA00D-238E-D3A3-DC61-C4C9F4DB2D79}"/>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5" name="Forma Livre: Forma 29">
            <a:extLst>
              <a:ext uri="{FF2B5EF4-FFF2-40B4-BE49-F238E27FC236}">
                <a16:creationId xmlns:a16="http://schemas.microsoft.com/office/drawing/2014/main" id="{752859A3-91D5-C0E0-3E6A-33A4A759DC3C}"/>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301604</xdr:colOff>
      <xdr:row>0</xdr:row>
      <xdr:rowOff>161925</xdr:rowOff>
    </xdr:from>
    <xdr:to>
      <xdr:col>19</xdr:col>
      <xdr:colOff>95249</xdr:colOff>
      <xdr:row>3</xdr:row>
      <xdr:rowOff>47625</xdr:rowOff>
    </xdr:to>
    <xdr:pic>
      <xdr:nvPicPr>
        <xdr:cNvPr id="10" name="Imagem 9"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74404" y="1619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57148</xdr:rowOff>
    </xdr:from>
    <xdr:to>
      <xdr:col>19</xdr:col>
      <xdr:colOff>381000</xdr:colOff>
      <xdr:row>4</xdr:row>
      <xdr:rowOff>142873</xdr:rowOff>
    </xdr:to>
    <xdr:sp macro="" textlink="">
      <xdr:nvSpPr>
        <xdr:cNvPr id="11" name="CaixaDeTexto 10"/>
        <xdr:cNvSpPr txBox="1"/>
      </xdr:nvSpPr>
      <xdr:spPr>
        <a:xfrm>
          <a:off x="11163300" y="6286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446847</xdr:colOff>
      <xdr:row>19</xdr:row>
      <xdr:rowOff>161925</xdr:rowOff>
    </xdr:from>
    <xdr:to>
      <xdr:col>19</xdr:col>
      <xdr:colOff>142875</xdr:colOff>
      <xdr:row>21</xdr:row>
      <xdr:rowOff>180975</xdr:rowOff>
    </xdr:to>
    <xdr:pic>
      <xdr:nvPicPr>
        <xdr:cNvPr id="16" name="Imagem 15"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19</xdr:row>
      <xdr:rowOff>161925</xdr:rowOff>
    </xdr:from>
    <xdr:to>
      <xdr:col>18</xdr:col>
      <xdr:colOff>200025</xdr:colOff>
      <xdr:row>21</xdr:row>
      <xdr:rowOff>180975</xdr:rowOff>
    </xdr:to>
    <xdr:pic>
      <xdr:nvPicPr>
        <xdr:cNvPr id="17" name="Imagem 16"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21</xdr:row>
      <xdr:rowOff>152399</xdr:rowOff>
    </xdr:from>
    <xdr:to>
      <xdr:col>19</xdr:col>
      <xdr:colOff>514350</xdr:colOff>
      <xdr:row>23</xdr:row>
      <xdr:rowOff>47624</xdr:rowOff>
    </xdr:to>
    <xdr:sp macro="" textlink="">
      <xdr:nvSpPr>
        <xdr:cNvPr id="18" name="CaixaDeTexto 17"/>
        <xdr:cNvSpPr txBox="1"/>
      </xdr:nvSpPr>
      <xdr:spPr>
        <a:xfrm>
          <a:off x="11296650" y="41528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176389</xdr:colOff>
      <xdr:row>21</xdr:row>
      <xdr:rowOff>152399</xdr:rowOff>
    </xdr:from>
    <xdr:to>
      <xdr:col>18</xdr:col>
      <xdr:colOff>400050</xdr:colOff>
      <xdr:row>23</xdr:row>
      <xdr:rowOff>28222</xdr:rowOff>
    </xdr:to>
    <xdr:sp macro="" textlink="">
      <xdr:nvSpPr>
        <xdr:cNvPr id="19" name="CaixaDeTexto 18"/>
        <xdr:cNvSpPr txBox="1"/>
      </xdr:nvSpPr>
      <xdr:spPr>
        <a:xfrm>
          <a:off x="11091333" y="4152899"/>
          <a:ext cx="865717" cy="2568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0</xdr:col>
      <xdr:colOff>285750</xdr:colOff>
      <xdr:row>3</xdr:row>
      <xdr:rowOff>171008</xdr:rowOff>
    </xdr:from>
    <xdr:ext cx="9448800" cy="3753291"/>
    <xdr:sp macro="" textlink="">
      <xdr:nvSpPr>
        <xdr:cNvPr id="5" name="CaixaDeTexto 4"/>
        <xdr:cNvSpPr txBox="1"/>
      </xdr:nvSpPr>
      <xdr:spPr>
        <a:xfrm>
          <a:off x="285750" y="742508"/>
          <a:ext cx="9448800" cy="37532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600" b="1">
              <a:solidFill>
                <a:srgbClr val="EA7423"/>
              </a:solidFill>
              <a:effectLst/>
              <a:latin typeface="Montserrat" panose="00000500000000000000" pitchFamily="2" charset="0"/>
              <a:ea typeface="+mn-ea"/>
              <a:cs typeface="+mn-cs"/>
            </a:rPr>
            <a:t>Custos dos serviços prestados </a:t>
          </a:r>
        </a:p>
        <a:p>
          <a:pPr>
            <a:spcBef>
              <a:spcPts val="600"/>
            </a:spcBef>
          </a:pPr>
          <a:r>
            <a:rPr lang="pt-BR" sz="1600">
              <a:solidFill>
                <a:schemeClr val="tx1"/>
              </a:solidFill>
              <a:effectLst/>
              <a:latin typeface="Montserrat" panose="00000500000000000000" pitchFamily="2" charset="0"/>
              <a:ea typeface="+mn-ea"/>
              <a:cs typeface="+mn-cs"/>
            </a:rPr>
            <a:t>Os </a:t>
          </a:r>
          <a:r>
            <a:rPr lang="pt-BR" sz="1600" b="1">
              <a:solidFill>
                <a:schemeClr val="tx1"/>
              </a:solidFill>
              <a:effectLst/>
              <a:latin typeface="Montserrat" panose="00000500000000000000" pitchFamily="2" charset="0"/>
              <a:ea typeface="+mn-ea"/>
              <a:cs typeface="+mn-cs"/>
            </a:rPr>
            <a:t>custos dos serviços prestados </a:t>
          </a:r>
          <a:r>
            <a:rPr lang="pt-BR" sz="1600">
              <a:solidFill>
                <a:schemeClr val="tx1"/>
              </a:solidFill>
              <a:effectLst/>
              <a:latin typeface="Montserrat" panose="00000500000000000000" pitchFamily="2" charset="0"/>
              <a:ea typeface="+mn-ea"/>
              <a:cs typeface="+mn-cs"/>
            </a:rPr>
            <a:t>da divisão correspondem a: (i) repasse de fretes de operadores logísticos terceirizados; (ii) custos de aluguel de armazéns, e (iii) demais custos fixos como manutenção de imóveis, vigilância, entre outros. Os custos variáveis correspondem a fretes, créditos de PIS/Cofins e outros custos variáveis.</a:t>
          </a: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Despesas</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As </a:t>
          </a:r>
          <a:r>
            <a:rPr lang="pt-BR" sz="1600" b="1">
              <a:solidFill>
                <a:schemeClr val="tx1"/>
              </a:solidFill>
              <a:effectLst/>
              <a:latin typeface="Montserrat" panose="00000500000000000000" pitchFamily="2" charset="0"/>
              <a:ea typeface="+mn-ea"/>
              <a:cs typeface="+mn-cs"/>
            </a:rPr>
            <a:t>despesas</a:t>
          </a:r>
          <a:r>
            <a:rPr lang="pt-BR" sz="1600">
              <a:solidFill>
                <a:schemeClr val="tx1"/>
              </a:solidFill>
              <a:effectLst/>
              <a:latin typeface="Montserrat" panose="00000500000000000000" pitchFamily="2" charset="0"/>
              <a:ea typeface="+mn-ea"/>
              <a:cs typeface="+mn-cs"/>
            </a:rPr>
            <a:t> da divisão correspondem a poucas áreas dedicadas da divisão.</a:t>
          </a: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Depreciação/amortização</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A d</a:t>
          </a:r>
          <a:r>
            <a:rPr lang="pt-BR" sz="1600" b="1">
              <a:solidFill>
                <a:schemeClr val="tx1"/>
              </a:solidFill>
              <a:effectLst/>
              <a:latin typeface="Montserrat" panose="00000500000000000000" pitchFamily="2" charset="0"/>
              <a:ea typeface="+mn-ea"/>
              <a:cs typeface="+mn-cs"/>
            </a:rPr>
            <a:t>epreciação/amortização</a:t>
          </a:r>
          <a:r>
            <a:rPr lang="pt-BR" sz="1600">
              <a:solidFill>
                <a:schemeClr val="tx1"/>
              </a:solidFill>
              <a:effectLst/>
              <a:latin typeface="Montserrat" panose="00000500000000000000" pitchFamily="2" charset="0"/>
              <a:ea typeface="+mn-ea"/>
              <a:cs typeface="+mn-cs"/>
            </a:rPr>
            <a:t> da divisão reflete principalmente os ativos como benfeitorias em armazéns e equipamentos de transporte próprios, além da amortização do direito de uso dos imóveis alugados.</a:t>
          </a:r>
        </a:p>
      </xdr:txBody>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da Divisão de Logística Integrada</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twoCellAnchor editAs="oneCell">
    <xdr:from>
      <xdr:col>16</xdr:col>
      <xdr:colOff>228601</xdr:colOff>
      <xdr:row>0</xdr:row>
      <xdr:rowOff>0</xdr:rowOff>
    </xdr:from>
    <xdr:to>
      <xdr:col>19</xdr:col>
      <xdr:colOff>590443</xdr:colOff>
      <xdr:row>24</xdr:row>
      <xdr:rowOff>161926</xdr:rowOff>
    </xdr:to>
    <xdr:pic>
      <xdr:nvPicPr>
        <xdr:cNvPr id="9" name="Imagem 8" descr="Caminhão de lixo&#10;&#10;Descrição gerada automaticamente com confiança média">
          <a:extLst>
            <a:ext uri="{FF2B5EF4-FFF2-40B4-BE49-F238E27FC236}">
              <a16:creationId xmlns:a16="http://schemas.microsoft.com/office/drawing/2014/main" id="{C7637B41-B418-BA37-96A1-D13B32EA60C8}"/>
            </a:ext>
          </a:extLst>
        </xdr:cNvPr>
        <xdr:cNvPicPr>
          <a:picLocks noChangeAspect="1"/>
        </xdr:cNvPicPr>
      </xdr:nvPicPr>
      <xdr:blipFill rotWithShape="1">
        <a:blip xmlns:r="http://schemas.openxmlformats.org/officeDocument/2006/relationships" r:embed="rId3" cstate="screen">
          <a:alphaModFix/>
          <a:extLst>
            <a:ext uri="{28A0092B-C50C-407E-A947-70E740481C1C}">
              <a14:useLocalDpi xmlns:a14="http://schemas.microsoft.com/office/drawing/2010/main"/>
            </a:ext>
          </a:extLst>
        </a:blip>
        <a:srcRect/>
        <a:stretch/>
      </xdr:blipFill>
      <xdr:spPr>
        <a:xfrm>
          <a:off x="9982201" y="0"/>
          <a:ext cx="2190642" cy="4733926"/>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Demonstração de Resultado </a:t>
          </a:r>
          <a:r>
            <a:rPr lang="pt-BR" sz="1200" b="1" baseline="0">
              <a:solidFill>
                <a:srgbClr val="EA7423"/>
              </a:solidFill>
              <a:effectLst/>
              <a:latin typeface="Montserrat" panose="00000500000000000000" pitchFamily="2" charset="0"/>
              <a:ea typeface="+mn-ea"/>
              <a:cs typeface="+mn-cs"/>
            </a:rPr>
            <a:t>(R$ mil)</a:t>
          </a:r>
          <a:r>
            <a:rPr lang="pt-BR" sz="1200" b="1">
              <a:solidFill>
                <a:srgbClr val="EA7423"/>
              </a:solidFill>
              <a:effectLst/>
              <a:latin typeface="Montserrat" panose="00000500000000000000" pitchFamily="2" charset="0"/>
              <a:ea typeface="+mn-ea"/>
              <a:cs typeface="+mn-cs"/>
            </a:rPr>
            <a:t> </a:t>
          </a:r>
        </a:p>
      </xdr:txBody>
    </xdr:sp>
    <xdr:clientData/>
  </xdr:oneCellAnchor>
  <xdr:twoCellAnchor>
    <xdr:from>
      <xdr:col>15</xdr:col>
      <xdr:colOff>47625</xdr:colOff>
      <xdr:row>2</xdr:row>
      <xdr:rowOff>95250</xdr:rowOff>
    </xdr:from>
    <xdr:to>
      <xdr:col>19</xdr:col>
      <xdr:colOff>578276</xdr:colOff>
      <xdr:row>23</xdr:row>
      <xdr:rowOff>164523</xdr:rowOff>
    </xdr:to>
    <xdr:grpSp>
      <xdr:nvGrpSpPr>
        <xdr:cNvPr id="11" name="Agrupar 10">
          <a:extLst>
            <a:ext uri="{FF2B5EF4-FFF2-40B4-BE49-F238E27FC236}">
              <a16:creationId xmlns:a16="http://schemas.microsoft.com/office/drawing/2014/main" id="{C434DE9B-42BD-4CF5-64A0-AE52D4BB1D15}"/>
            </a:ext>
          </a:extLst>
        </xdr:cNvPr>
        <xdr:cNvGrpSpPr>
          <a:grpSpLocks noChangeAspect="1"/>
        </xdr:cNvGrpSpPr>
      </xdr:nvGrpSpPr>
      <xdr:grpSpPr>
        <a:xfrm>
          <a:off x="9678458" y="476250"/>
          <a:ext cx="3098874" cy="4069773"/>
          <a:chOff x="5307763" y="2613621"/>
          <a:chExt cx="1105698" cy="1632502"/>
        </a:xfrm>
      </xdr:grpSpPr>
      <xdr:sp macro="" textlink="">
        <xdr:nvSpPr>
          <xdr:cNvPr id="12" name="Forma Livre: Forma 28">
            <a:extLst>
              <a:ext uri="{FF2B5EF4-FFF2-40B4-BE49-F238E27FC236}">
                <a16:creationId xmlns:a16="http://schemas.microsoft.com/office/drawing/2014/main" id="{C26CA00D-238E-D3A3-DC61-C4C9F4DB2D79}"/>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3" name="Forma Livre: Forma 29">
            <a:extLst>
              <a:ext uri="{FF2B5EF4-FFF2-40B4-BE49-F238E27FC236}">
                <a16:creationId xmlns:a16="http://schemas.microsoft.com/office/drawing/2014/main" id="{752859A3-91D5-C0E0-3E6A-33A4A759DC3C}"/>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368279</xdr:colOff>
      <xdr:row>0</xdr:row>
      <xdr:rowOff>152400</xdr:rowOff>
    </xdr:from>
    <xdr:to>
      <xdr:col>19</xdr:col>
      <xdr:colOff>161924</xdr:colOff>
      <xdr:row>3</xdr:row>
      <xdr:rowOff>38100</xdr:rowOff>
    </xdr:to>
    <xdr:pic>
      <xdr:nvPicPr>
        <xdr:cNvPr id="14" name="Imagem 13"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410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3</xdr:row>
      <xdr:rowOff>47623</xdr:rowOff>
    </xdr:from>
    <xdr:to>
      <xdr:col>19</xdr:col>
      <xdr:colOff>447675</xdr:colOff>
      <xdr:row>4</xdr:row>
      <xdr:rowOff>133348</xdr:rowOff>
    </xdr:to>
    <xdr:sp macro="" textlink="">
      <xdr:nvSpPr>
        <xdr:cNvPr id="15" name="CaixaDeTexto 14"/>
        <xdr:cNvSpPr txBox="1"/>
      </xdr:nvSpPr>
      <xdr:spPr>
        <a:xfrm>
          <a:off x="112299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20</xdr:row>
      <xdr:rowOff>85725</xdr:rowOff>
    </xdr:from>
    <xdr:to>
      <xdr:col>19</xdr:col>
      <xdr:colOff>104775</xdr:colOff>
      <xdr:row>22</xdr:row>
      <xdr:rowOff>104775</xdr:rowOff>
    </xdr:to>
    <xdr:pic>
      <xdr:nvPicPr>
        <xdr:cNvPr id="16" name="Imagem 15"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20</xdr:row>
      <xdr:rowOff>85725</xdr:rowOff>
    </xdr:from>
    <xdr:to>
      <xdr:col>18</xdr:col>
      <xdr:colOff>161925</xdr:colOff>
      <xdr:row>22</xdr:row>
      <xdr:rowOff>104775</xdr:rowOff>
    </xdr:to>
    <xdr:pic>
      <xdr:nvPicPr>
        <xdr:cNvPr id="17" name="Imagem 16"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22</xdr:row>
      <xdr:rowOff>76199</xdr:rowOff>
    </xdr:from>
    <xdr:to>
      <xdr:col>19</xdr:col>
      <xdr:colOff>476250</xdr:colOff>
      <xdr:row>23</xdr:row>
      <xdr:rowOff>161924</xdr:rowOff>
    </xdr:to>
    <xdr:sp macro="" textlink="">
      <xdr:nvSpPr>
        <xdr:cNvPr id="18" name="CaixaDeTexto 17"/>
        <xdr:cNvSpPr txBox="1"/>
      </xdr:nvSpPr>
      <xdr:spPr>
        <a:xfrm>
          <a:off x="1125855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134056</xdr:colOff>
      <xdr:row>22</xdr:row>
      <xdr:rowOff>76199</xdr:rowOff>
    </xdr:from>
    <xdr:to>
      <xdr:col>18</xdr:col>
      <xdr:colOff>361950</xdr:colOff>
      <xdr:row>23</xdr:row>
      <xdr:rowOff>176389</xdr:rowOff>
    </xdr:to>
    <xdr:sp macro="" textlink="">
      <xdr:nvSpPr>
        <xdr:cNvPr id="19" name="CaixaDeTexto 18"/>
        <xdr:cNvSpPr txBox="1"/>
      </xdr:nvSpPr>
      <xdr:spPr>
        <a:xfrm>
          <a:off x="11049000" y="4267199"/>
          <a:ext cx="869950" cy="2906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12</xdr:col>
      <xdr:colOff>444500</xdr:colOff>
      <xdr:row>5</xdr:row>
      <xdr:rowOff>91723</xdr:rowOff>
    </xdr:from>
    <xdr:ext cx="1989666" cy="3083278"/>
    <xdr:sp macro="" textlink="">
      <xdr:nvSpPr>
        <xdr:cNvPr id="22" name="CaixaDeTexto 21"/>
        <xdr:cNvSpPr txBox="1"/>
      </xdr:nvSpPr>
      <xdr:spPr>
        <a:xfrm>
          <a:off x="8149167" y="1044223"/>
          <a:ext cx="1989666" cy="308327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a:t>
          </a:r>
        </a:p>
        <a:p>
          <a:pPr algn="ctr">
            <a:spcBef>
              <a:spcPts val="600"/>
            </a:spcBef>
          </a:pPr>
          <a:r>
            <a:rPr lang="pt-BR" sz="1200" baseline="0">
              <a:solidFill>
                <a:schemeClr val="tx1"/>
              </a:solidFill>
              <a:effectLst/>
              <a:latin typeface="Montserrat" panose="00000500000000000000" pitchFamily="2" charset="0"/>
              <a:ea typeface="+mn-ea"/>
              <a:cs typeface="+mn-cs"/>
            </a:rPr>
            <a:t>A projeção da Divisão de Logística Integrada não tem um referencial como a divisão automotiva que tem a quantidade de veículos, distância e tarifa. Portanto a recomendação é projetar a receita pela inflação + PIB e verificar constantemente com o RI se há algum fato que possa alterar no futuro o comportamento das margens da operação em relação ao passado.</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4.xml><?xml version="1.0" encoding="utf-8"?>
<xdr:wsDr xmlns:xdr="http://schemas.openxmlformats.org/drawingml/2006/spreadsheetDrawing" xmlns:a="http://schemas.openxmlformats.org/drawingml/2006/main">
  <xdr:twoCellAnchor>
    <xdr:from>
      <xdr:col>12</xdr:col>
      <xdr:colOff>552450</xdr:colOff>
      <xdr:row>4</xdr:row>
      <xdr:rowOff>142876</xdr:rowOff>
    </xdr:from>
    <xdr:to>
      <xdr:col>19</xdr:col>
      <xdr:colOff>438150</xdr:colOff>
      <xdr:row>17</xdr:row>
      <xdr:rowOff>114300</xdr:rowOff>
    </xdr:to>
    <xdr:sp macro="" textlink="">
      <xdr:nvSpPr>
        <xdr:cNvPr id="22" name="Retângulo 21">
          <a:extLst>
            <a:ext uri="{FF2B5EF4-FFF2-40B4-BE49-F238E27FC236}">
              <a16:creationId xmlns:a16="http://schemas.microsoft.com/office/drawing/2014/main" id="{28CF6B28-4710-B3E3-DB33-D7D391D79C96}"/>
            </a:ext>
          </a:extLst>
        </xdr:cNvPr>
        <xdr:cNvSpPr/>
      </xdr:nvSpPr>
      <xdr:spPr>
        <a:xfrm>
          <a:off x="7867650" y="904876"/>
          <a:ext cx="4152900" cy="2447924"/>
        </a:xfrm>
        <a:prstGeom prst="rect">
          <a:avLst/>
        </a:prstGeom>
        <a:noFill/>
        <a:ln w="28575">
          <a:solidFill>
            <a:srgbClr val="EA7423"/>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Consolidados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Demonstração de Resultado </a:t>
          </a:r>
          <a:r>
            <a:rPr lang="pt-BR" sz="1200" b="1" baseline="0">
              <a:solidFill>
                <a:srgbClr val="EA7423"/>
              </a:solidFill>
              <a:effectLst/>
              <a:latin typeface="Montserrat" panose="00000500000000000000" pitchFamily="2" charset="0"/>
              <a:ea typeface="+mn-ea"/>
              <a:cs typeface="+mn-cs"/>
            </a:rPr>
            <a:t>(R$ mil)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10" name="Imagem 9" descr="https://cdn-icons-png.flaticon.com/512/1946/1946488.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11" name="CaixaDeTexto 10"/>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122997</xdr:colOff>
      <xdr:row>20</xdr:row>
      <xdr:rowOff>38100</xdr:rowOff>
    </xdr:from>
    <xdr:to>
      <xdr:col>18</xdr:col>
      <xdr:colOff>428625</xdr:colOff>
      <xdr:row>22</xdr:row>
      <xdr:rowOff>57150</xdr:rowOff>
    </xdr:to>
    <xdr:pic>
      <xdr:nvPicPr>
        <xdr:cNvPr id="12" name="Imagem 11"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9579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180147</xdr:colOff>
      <xdr:row>20</xdr:row>
      <xdr:rowOff>38100</xdr:rowOff>
    </xdr:from>
    <xdr:to>
      <xdr:col>17</xdr:col>
      <xdr:colOff>485775</xdr:colOff>
      <xdr:row>22</xdr:row>
      <xdr:rowOff>57150</xdr:rowOff>
    </xdr:to>
    <xdr:pic>
      <xdr:nvPicPr>
        <xdr:cNvPr id="13" name="Imagem 12" descr="https://cdn-icons-png.flaticon.com/512/591/591855.png">
          <a:hlinkClick xmlns:r="http://schemas.openxmlformats.org/officeDocument/2006/relationships" r:id="rId7"/>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4334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0</xdr:colOff>
      <xdr:row>22</xdr:row>
      <xdr:rowOff>28574</xdr:rowOff>
    </xdr:from>
    <xdr:to>
      <xdr:col>19</xdr:col>
      <xdr:colOff>190500</xdr:colOff>
      <xdr:row>23</xdr:row>
      <xdr:rowOff>114299</xdr:rowOff>
    </xdr:to>
    <xdr:sp macro="" textlink="">
      <xdr:nvSpPr>
        <xdr:cNvPr id="14" name="CaixaDeTexto 13"/>
        <xdr:cNvSpPr txBox="1"/>
      </xdr:nvSpPr>
      <xdr:spPr>
        <a:xfrm>
          <a:off x="10972800" y="42195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16</xdr:col>
      <xdr:colOff>495300</xdr:colOff>
      <xdr:row>22</xdr:row>
      <xdr:rowOff>28574</xdr:rowOff>
    </xdr:from>
    <xdr:to>
      <xdr:col>18</xdr:col>
      <xdr:colOff>76200</xdr:colOff>
      <xdr:row>23</xdr:row>
      <xdr:rowOff>114299</xdr:rowOff>
    </xdr:to>
    <xdr:sp macro="" textlink="">
      <xdr:nvSpPr>
        <xdr:cNvPr id="15" name="CaixaDeTexto 14"/>
        <xdr:cNvSpPr txBox="1"/>
      </xdr:nvSpPr>
      <xdr:spPr>
        <a:xfrm>
          <a:off x="10248900" y="42195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twoCellAnchor editAs="oneCell">
    <xdr:from>
      <xdr:col>15</xdr:col>
      <xdr:colOff>471998</xdr:colOff>
      <xdr:row>4</xdr:row>
      <xdr:rowOff>161925</xdr:rowOff>
    </xdr:from>
    <xdr:to>
      <xdr:col>19</xdr:col>
      <xdr:colOff>438150</xdr:colOff>
      <xdr:row>13</xdr:row>
      <xdr:rowOff>61295</xdr:rowOff>
    </xdr:to>
    <xdr:pic>
      <xdr:nvPicPr>
        <xdr:cNvPr id="19" name="Imagem 18" descr="Carro estacionado na rua&#10;&#10;Descrição gerada automaticamente">
          <a:extLst>
            <a:ext uri="{FF2B5EF4-FFF2-40B4-BE49-F238E27FC236}">
              <a16:creationId xmlns:a16="http://schemas.microsoft.com/office/drawing/2014/main" id="{FDAF6650-2522-1C65-0E44-F32CEF458F95}"/>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9615998" y="923925"/>
          <a:ext cx="2404552" cy="1613870"/>
        </a:xfrm>
        <a:prstGeom prst="rect">
          <a:avLst/>
        </a:prstGeom>
      </xdr:spPr>
    </xdr:pic>
    <xdr:clientData/>
  </xdr:twoCellAnchor>
  <xdr:twoCellAnchor editAs="oneCell">
    <xdr:from>
      <xdr:col>15</xdr:col>
      <xdr:colOff>481648</xdr:colOff>
      <xdr:row>13</xdr:row>
      <xdr:rowOff>117210</xdr:rowOff>
    </xdr:from>
    <xdr:to>
      <xdr:col>19</xdr:col>
      <xdr:colOff>439989</xdr:colOff>
      <xdr:row>17</xdr:row>
      <xdr:rowOff>104775</xdr:rowOff>
    </xdr:to>
    <xdr:pic>
      <xdr:nvPicPr>
        <xdr:cNvPr id="20" name="Imagem 19" descr="Uma imagem contendo edifício&#10;&#10;Descrição gerada automaticamente">
          <a:extLst>
            <a:ext uri="{FF2B5EF4-FFF2-40B4-BE49-F238E27FC236}">
              <a16:creationId xmlns:a16="http://schemas.microsoft.com/office/drawing/2014/main" id="{3FBA02E4-D766-4C08-64F4-0DCCC7E6144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9625648" y="2593710"/>
          <a:ext cx="2396741" cy="749565"/>
        </a:xfrm>
        <a:prstGeom prst="rect">
          <a:avLst/>
        </a:prstGeom>
      </xdr:spPr>
    </xdr:pic>
    <xdr:clientData/>
  </xdr:twoCellAnchor>
  <xdr:twoCellAnchor editAs="oneCell">
    <xdr:from>
      <xdr:col>12</xdr:col>
      <xdr:colOff>571359</xdr:colOff>
      <xdr:row>4</xdr:row>
      <xdr:rowOff>171449</xdr:rowOff>
    </xdr:from>
    <xdr:to>
      <xdr:col>15</xdr:col>
      <xdr:colOff>421138</xdr:colOff>
      <xdr:row>17</xdr:row>
      <xdr:rowOff>106949</xdr:rowOff>
    </xdr:to>
    <xdr:pic>
      <xdr:nvPicPr>
        <xdr:cNvPr id="21" name="Imagem 20">
          <a:extLst>
            <a:ext uri="{FF2B5EF4-FFF2-40B4-BE49-F238E27FC236}">
              <a16:creationId xmlns:a16="http://schemas.microsoft.com/office/drawing/2014/main" id="{A15081D8-3681-32E9-EEB2-51266D0CC4BE}"/>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7886559" y="933449"/>
          <a:ext cx="1678579" cy="2412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Consolidados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919482"/>
    <xdr:sp macro="" textlink="">
      <xdr:nvSpPr>
        <xdr:cNvPr id="5" name="CaixaDeTexto 4"/>
        <xdr:cNvSpPr txBox="1"/>
      </xdr:nvSpPr>
      <xdr:spPr>
        <a:xfrm>
          <a:off x="285750" y="742509"/>
          <a:ext cx="7877734" cy="91948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Resultado Financeiro </a:t>
          </a:r>
        </a:p>
        <a:p>
          <a:r>
            <a:rPr lang="pt-BR" sz="1200">
              <a:solidFill>
                <a:schemeClr val="tx1"/>
              </a:solidFill>
              <a:effectLst/>
              <a:latin typeface="Montserrat" panose="00000500000000000000" pitchFamily="2" charset="0"/>
              <a:ea typeface="+mn-ea"/>
              <a:cs typeface="+mn-cs"/>
            </a:rPr>
            <a:t>O </a:t>
          </a:r>
          <a:r>
            <a:rPr lang="pt-BR" sz="1200" b="1">
              <a:solidFill>
                <a:schemeClr val="tx1"/>
              </a:solidFill>
              <a:effectLst/>
              <a:latin typeface="Montserrat" panose="00000500000000000000" pitchFamily="2" charset="0"/>
              <a:ea typeface="+mn-ea"/>
              <a:cs typeface="+mn-cs"/>
            </a:rPr>
            <a:t>resultado financeiro </a:t>
          </a:r>
          <a:r>
            <a:rPr lang="pt-BR" sz="1200">
              <a:solidFill>
                <a:schemeClr val="tx1"/>
              </a:solidFill>
              <a:effectLst/>
              <a:latin typeface="Montserrat" panose="00000500000000000000" pitchFamily="2" charset="0"/>
              <a:ea typeface="+mn-ea"/>
              <a:cs typeface="+mn-cs"/>
            </a:rPr>
            <a:t>consolidado decorre das dívidas e aplicações financeiras que são detalhadas na seção de caixa/aplicações e dívidas financeiras. Abaixo, a evolução do resultado financeiro.</a:t>
          </a:r>
        </a:p>
        <a:p>
          <a:pPr>
            <a:spcBef>
              <a:spcPts val="600"/>
            </a:spcBef>
          </a:pPr>
          <a:r>
            <a:rPr lang="pt-BR" sz="1200">
              <a:solidFill>
                <a:schemeClr val="tx1"/>
              </a:solidFill>
              <a:effectLst/>
              <a:latin typeface="Montserrat" panose="00000500000000000000" pitchFamily="2" charset="0"/>
              <a:ea typeface="+mn-ea"/>
              <a:cs typeface="+mn-cs"/>
            </a:rPr>
            <a:t>O custo médio de dívida no final de 2023 era de CDI + 1,55% a.a.</a:t>
          </a:r>
        </a:p>
      </xdr:txBody>
    </xdr:sp>
    <xdr:clientData/>
  </xdr:oneCellAnchor>
  <xdr:twoCellAnchor editAs="oneCell">
    <xdr:from>
      <xdr:col>14</xdr:col>
      <xdr:colOff>251781</xdr:colOff>
      <xdr:row>0</xdr:row>
      <xdr:rowOff>3142</xdr:rowOff>
    </xdr:from>
    <xdr:to>
      <xdr:col>19</xdr:col>
      <xdr:colOff>601807</xdr:colOff>
      <xdr:row>24</xdr:row>
      <xdr:rowOff>171450</xdr:rowOff>
    </xdr:to>
    <xdr:pic>
      <xdr:nvPicPr>
        <xdr:cNvPr id="9" name="Imagem 8"/>
        <xdr:cNvPicPr>
          <a:picLocks noChangeAspect="1"/>
        </xdr:cNvPicPr>
      </xdr:nvPicPr>
      <xdr:blipFill>
        <a:blip xmlns:r="http://schemas.openxmlformats.org/officeDocument/2006/relationships" r:embed="rId3"/>
        <a:stretch>
          <a:fillRect/>
        </a:stretch>
      </xdr:blipFill>
      <xdr:spPr>
        <a:xfrm>
          <a:off x="8786181" y="3142"/>
          <a:ext cx="3398026" cy="4740308"/>
        </a:xfrm>
        <a:prstGeom prst="rect">
          <a:avLst/>
        </a:prstGeom>
      </xdr:spPr>
    </xdr:pic>
    <xdr:clientData/>
  </xdr:twoCellAnchor>
  <xdr:twoCellAnchor editAs="oneCell">
    <xdr:from>
      <xdr:col>18</xdr:col>
      <xdr:colOff>206354</xdr:colOff>
      <xdr:row>0</xdr:row>
      <xdr:rowOff>104334</xdr:rowOff>
    </xdr:from>
    <xdr:to>
      <xdr:col>18</xdr:col>
      <xdr:colOff>609599</xdr:colOff>
      <xdr:row>2</xdr:row>
      <xdr:rowOff>180534</xdr:rowOff>
    </xdr:to>
    <xdr:pic>
      <xdr:nvPicPr>
        <xdr:cNvPr id="7" name="Imagem 6"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79154"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xdr:row>
      <xdr:rowOff>190057</xdr:rowOff>
    </xdr:from>
    <xdr:to>
      <xdr:col>19</xdr:col>
      <xdr:colOff>285750</xdr:colOff>
      <xdr:row>4</xdr:row>
      <xdr:rowOff>85282</xdr:rowOff>
    </xdr:to>
    <xdr:sp macro="" textlink="">
      <xdr:nvSpPr>
        <xdr:cNvPr id="8" name="CaixaDeTexto 7"/>
        <xdr:cNvSpPr txBox="1"/>
      </xdr:nvSpPr>
      <xdr:spPr>
        <a:xfrm>
          <a:off x="11068050"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19</xdr:row>
      <xdr:rowOff>171450</xdr:rowOff>
    </xdr:from>
    <xdr:to>
      <xdr:col>19</xdr:col>
      <xdr:colOff>104775</xdr:colOff>
      <xdr:row>22</xdr:row>
      <xdr:rowOff>0</xdr:rowOff>
    </xdr:to>
    <xdr:pic>
      <xdr:nvPicPr>
        <xdr:cNvPr id="10" name="Imagem 9"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19</xdr:row>
      <xdr:rowOff>171450</xdr:rowOff>
    </xdr:from>
    <xdr:to>
      <xdr:col>18</xdr:col>
      <xdr:colOff>161925</xdr:colOff>
      <xdr:row>22</xdr:row>
      <xdr:rowOff>0</xdr:rowOff>
    </xdr:to>
    <xdr:pic>
      <xdr:nvPicPr>
        <xdr:cNvPr id="11" name="Imagem 10"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21</xdr:row>
      <xdr:rowOff>161924</xdr:rowOff>
    </xdr:from>
    <xdr:to>
      <xdr:col>19</xdr:col>
      <xdr:colOff>476250</xdr:colOff>
      <xdr:row>23</xdr:row>
      <xdr:rowOff>57149</xdr:rowOff>
    </xdr:to>
    <xdr:sp macro="" textlink="">
      <xdr:nvSpPr>
        <xdr:cNvPr id="12" name="CaixaDeTexto 11"/>
        <xdr:cNvSpPr txBox="1"/>
      </xdr:nvSpPr>
      <xdr:spPr>
        <a:xfrm>
          <a:off x="11258550" y="41624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119945</xdr:colOff>
      <xdr:row>21</xdr:row>
      <xdr:rowOff>161924</xdr:rowOff>
    </xdr:from>
    <xdr:to>
      <xdr:col>18</xdr:col>
      <xdr:colOff>361950</xdr:colOff>
      <xdr:row>23</xdr:row>
      <xdr:rowOff>49389</xdr:rowOff>
    </xdr:to>
    <xdr:sp macro="" textlink="">
      <xdr:nvSpPr>
        <xdr:cNvPr id="13" name="CaixaDeTexto 12"/>
        <xdr:cNvSpPr txBox="1"/>
      </xdr:nvSpPr>
      <xdr:spPr>
        <a:xfrm>
          <a:off x="11034889" y="4162424"/>
          <a:ext cx="884061" cy="2684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0</xdr:col>
      <xdr:colOff>603250</xdr:colOff>
      <xdr:row>16</xdr:row>
      <xdr:rowOff>179918</xdr:rowOff>
    </xdr:from>
    <xdr:ext cx="7027334" cy="920750"/>
    <xdr:sp macro="" textlink="">
      <xdr:nvSpPr>
        <xdr:cNvPr id="15" name="CaixaDeTexto 14"/>
        <xdr:cNvSpPr txBox="1"/>
      </xdr:nvSpPr>
      <xdr:spPr>
        <a:xfrm>
          <a:off x="603250" y="3227918"/>
          <a:ext cx="7027334" cy="92075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100" b="1">
              <a:solidFill>
                <a:srgbClr val="EA7423"/>
              </a:solidFill>
              <a:effectLst/>
              <a:latin typeface="Montserrat" panose="00000500000000000000" pitchFamily="2" charset="0"/>
              <a:ea typeface="+mn-ea"/>
              <a:cs typeface="+mn-cs"/>
            </a:rPr>
            <a:t>Para fins de projeção</a:t>
          </a:r>
          <a:r>
            <a:rPr lang="pt-BR" sz="1100" b="0" baseline="0">
              <a:solidFill>
                <a:schemeClr val="tx1"/>
              </a:solidFill>
              <a:effectLst/>
              <a:latin typeface="Montserrat" panose="00000500000000000000" pitchFamily="2" charset="0"/>
              <a:ea typeface="+mn-ea"/>
              <a:cs typeface="+mn-cs"/>
            </a:rPr>
            <a:t> </a:t>
          </a:r>
          <a:r>
            <a:rPr lang="pt-BR" sz="1100" baseline="0">
              <a:solidFill>
                <a:schemeClr val="tx1"/>
              </a:solidFill>
              <a:effectLst/>
              <a:latin typeface="Montserrat" panose="00000500000000000000" pitchFamily="2" charset="0"/>
              <a:ea typeface="+mn-ea"/>
              <a:cs typeface="+mn-cs"/>
            </a:rPr>
            <a:t>Para fins de projeção, é importante levar em consideração que quase 100% das disponibilidades de caixa da Tegma são aplicadas em Bancos de 1ª linha a taxas de remuneração próximas de 100% do CDI e que as receitas financeiras são tributadas pelo PIS COFINS em 4,65% a.a.</a:t>
          </a:r>
        </a:p>
        <a:p>
          <a:pPr algn="ctr">
            <a:spcBef>
              <a:spcPts val="600"/>
            </a:spcBef>
          </a:pPr>
          <a:r>
            <a:rPr lang="pt-BR" sz="1100" baseline="0">
              <a:solidFill>
                <a:schemeClr val="tx1"/>
              </a:solidFill>
              <a:effectLst/>
              <a:latin typeface="Montserrat" panose="00000500000000000000" pitchFamily="2" charset="0"/>
              <a:ea typeface="+mn-ea"/>
              <a:cs typeface="+mn-cs"/>
            </a:rPr>
            <a:t>A empresa também tem outras despesas financeiras que costumam corresponder a R$ 800 mil reais por ano.</a:t>
          </a:r>
        </a:p>
        <a:p>
          <a:pPr algn="ctr">
            <a:spcBef>
              <a:spcPts val="600"/>
            </a:spcBef>
          </a:pPr>
          <a:r>
            <a:rPr lang="pt-BR" sz="1100" baseline="0">
              <a:solidFill>
                <a:schemeClr val="tx1"/>
              </a:solidFill>
              <a:effectLst/>
              <a:latin typeface="Montserrat" panose="00000500000000000000" pitchFamily="2" charset="0"/>
              <a:ea typeface="+mn-ea"/>
              <a:cs typeface="+mn-cs"/>
            </a:rPr>
            <a: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Consolidados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285749</xdr:colOff>
      <xdr:row>3</xdr:row>
      <xdr:rowOff>171008</xdr:rowOff>
    </xdr:from>
    <xdr:ext cx="9292168" cy="2629341"/>
    <xdr:sp macro="" textlink="">
      <xdr:nvSpPr>
        <xdr:cNvPr id="5" name="CaixaDeTexto 4"/>
        <xdr:cNvSpPr txBox="1"/>
      </xdr:nvSpPr>
      <xdr:spPr>
        <a:xfrm>
          <a:off x="285749" y="742508"/>
          <a:ext cx="9292168" cy="26293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Equivalência Patrimonial</a:t>
          </a:r>
        </a:p>
        <a:p>
          <a:pPr>
            <a:spcBef>
              <a:spcPts val="600"/>
            </a:spcBef>
          </a:pPr>
          <a:r>
            <a:rPr lang="pt-BR" sz="1200">
              <a:solidFill>
                <a:schemeClr val="tx1"/>
              </a:solidFill>
              <a:effectLst/>
              <a:latin typeface="Montserrat" panose="00000500000000000000" pitchFamily="2" charset="0"/>
              <a:ea typeface="+mn-ea"/>
              <a:cs typeface="+mn-cs"/>
            </a:rPr>
            <a:t>A </a:t>
          </a:r>
          <a:r>
            <a:rPr lang="pt-BR" sz="1200" b="1">
              <a:solidFill>
                <a:schemeClr val="tx1"/>
              </a:solidFill>
              <a:effectLst/>
              <a:latin typeface="Montserrat" panose="00000500000000000000" pitchFamily="2" charset="0"/>
              <a:ea typeface="+mn-ea"/>
              <a:cs typeface="+mn-cs"/>
            </a:rPr>
            <a:t>equivalência patrimonial da Tegma atualmente</a:t>
          </a:r>
          <a:r>
            <a:rPr lang="pt-BR" sz="1200" b="1"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corresponde a 50% da Joint Venture GDL (operações de armazenagem geral e alfandegada do Espírito Santo) e 16% da Rabbot, startup investida da Corporate Venture Capital tegUP. Até o 4T21 eram considerados ainda 10% da startup Frete Rápido (investimento realizado pela aceleradora de startup tegUP que se tratava de um marketplace de transporte para varejistas online), e, até o 2T22, 49% da empresa não-operacional Catlog.</a:t>
          </a:r>
        </a:p>
        <a:p>
          <a:pPr>
            <a:spcBef>
              <a:spcPts val="600"/>
            </a:spcBef>
          </a:pPr>
          <a:r>
            <a:rPr lang="pt-BR" sz="1200">
              <a:solidFill>
                <a:schemeClr val="tx1"/>
              </a:solidFill>
              <a:effectLst/>
              <a:latin typeface="Montserrat" panose="00000500000000000000" pitchFamily="2" charset="0"/>
              <a:ea typeface="+mn-ea"/>
              <a:cs typeface="+mn-cs"/>
            </a:rPr>
            <a:t>A GDL é uma Joint Venture da Tegma com o Grupo Silotec e atua em Cariacica/ES, atendendo aos principais serviços de armazenagem aduaneira, centro de distribuição, automotivo e PDI. É responsável por atender os principais canais do mercado, entre eles: inbound e outbound, operações B2B (trade, lojas e boutiques, distribuidores), B2C e cross-docking.</a:t>
          </a:r>
        </a:p>
        <a:p>
          <a:pPr>
            <a:spcBef>
              <a:spcPts val="600"/>
            </a:spcBef>
          </a:pPr>
          <a:r>
            <a:rPr lang="pt-BR" sz="1200">
              <a:solidFill>
                <a:schemeClr val="tx1"/>
              </a:solidFill>
              <a:effectLst/>
              <a:latin typeface="Montserrat" panose="00000500000000000000" pitchFamily="2" charset="0"/>
              <a:ea typeface="+mn-ea"/>
              <a:cs typeface="+mn-cs"/>
            </a:rPr>
            <a:t>Principais segmentos: bens de consumo, fármacos e cosméticos, home’n care, moda, químicos, máquinas e veículos importados. Área de mais de 1 milhão m², distribuídos em armazéns cobertos e pátios para veículos. e containers em geral.</a:t>
          </a:r>
        </a:p>
      </xdr:txBody>
    </xdr:sp>
    <xdr:clientData/>
  </xdr:oneCellAnchor>
  <xdr:twoCellAnchor editAs="oneCell">
    <xdr:from>
      <xdr:col>16</xdr:col>
      <xdr:colOff>103259</xdr:colOff>
      <xdr:row>0</xdr:row>
      <xdr:rowOff>28575</xdr:rowOff>
    </xdr:from>
    <xdr:to>
      <xdr:col>19</xdr:col>
      <xdr:colOff>571500</xdr:colOff>
      <xdr:row>24</xdr:row>
      <xdr:rowOff>170299</xdr:rowOff>
    </xdr:to>
    <xdr:pic>
      <xdr:nvPicPr>
        <xdr:cNvPr id="8" name="Imagem 7" descr="Uma imagem contendo no interior, teto, quarto, mesa&#10;&#10;Descrição gerada automaticamente">
          <a:extLst>
            <a:ext uri="{FF2B5EF4-FFF2-40B4-BE49-F238E27FC236}">
              <a16:creationId xmlns:a16="http://schemas.microsoft.com/office/drawing/2014/main" id="{1C452889-8695-458D-8FF2-5BCB1F04151A}"/>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5479" r="27752"/>
        <a:stretch/>
      </xdr:blipFill>
      <xdr:spPr>
        <a:xfrm>
          <a:off x="9856859" y="28575"/>
          <a:ext cx="2297041" cy="4713724"/>
        </a:xfrm>
        <a:prstGeom prst="rect">
          <a:avLst/>
        </a:prstGeom>
      </xdr:spPr>
    </xdr:pic>
    <xdr:clientData/>
  </xdr:twoCellAnchor>
  <xdr:twoCellAnchor>
    <xdr:from>
      <xdr:col>14</xdr:col>
      <xdr:colOff>276225</xdr:colOff>
      <xdr:row>1</xdr:row>
      <xdr:rowOff>78858</xdr:rowOff>
    </xdr:from>
    <xdr:to>
      <xdr:col>19</xdr:col>
      <xdr:colOff>266050</xdr:colOff>
      <xdr:row>24</xdr:row>
      <xdr:rowOff>182538</xdr:rowOff>
    </xdr:to>
    <xdr:grpSp>
      <xdr:nvGrpSpPr>
        <xdr:cNvPr id="9" name="Agrupar 8">
          <a:extLst>
            <a:ext uri="{FF2B5EF4-FFF2-40B4-BE49-F238E27FC236}">
              <a16:creationId xmlns:a16="http://schemas.microsoft.com/office/drawing/2014/main" id="{0A3AD9C6-A8CE-C440-6CE5-7CB93D688790}"/>
            </a:ext>
          </a:extLst>
        </xdr:cNvPr>
        <xdr:cNvGrpSpPr>
          <a:grpSpLocks noChangeAspect="1"/>
        </xdr:cNvGrpSpPr>
      </xdr:nvGrpSpPr>
      <xdr:grpSpPr>
        <a:xfrm>
          <a:off x="9265003" y="269358"/>
          <a:ext cx="3200103" cy="4485180"/>
          <a:chOff x="5307763" y="2613621"/>
          <a:chExt cx="1105698" cy="1632502"/>
        </a:xfrm>
      </xdr:grpSpPr>
      <xdr:sp macro="" textlink="">
        <xdr:nvSpPr>
          <xdr:cNvPr id="10" name="Forma Livre: Forma 34">
            <a:extLst>
              <a:ext uri="{FF2B5EF4-FFF2-40B4-BE49-F238E27FC236}">
                <a16:creationId xmlns:a16="http://schemas.microsoft.com/office/drawing/2014/main" id="{8C97EAAC-8B32-4696-2262-0A0AEBAE4AC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6D62DB8-C600-E7B8-429A-DCAEFEEEDEB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454003</xdr:colOff>
      <xdr:row>0</xdr:row>
      <xdr:rowOff>142433</xdr:rowOff>
    </xdr:from>
    <xdr:to>
      <xdr:col>19</xdr:col>
      <xdr:colOff>247648</xdr:colOff>
      <xdr:row>3</xdr:row>
      <xdr:rowOff>28133</xdr:rowOff>
    </xdr:to>
    <xdr:pic>
      <xdr:nvPicPr>
        <xdr:cNvPr id="12" name="Imagem 11"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6803" y="14243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342899</xdr:colOff>
      <xdr:row>3</xdr:row>
      <xdr:rowOff>37656</xdr:rowOff>
    </xdr:from>
    <xdr:to>
      <xdr:col>19</xdr:col>
      <xdr:colOff>533399</xdr:colOff>
      <xdr:row>4</xdr:row>
      <xdr:rowOff>123381</xdr:rowOff>
    </xdr:to>
    <xdr:sp macro="" textlink="">
      <xdr:nvSpPr>
        <xdr:cNvPr id="13" name="CaixaDeTexto 12"/>
        <xdr:cNvSpPr txBox="1"/>
      </xdr:nvSpPr>
      <xdr:spPr>
        <a:xfrm>
          <a:off x="11315699" y="60915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427797</xdr:colOff>
      <xdr:row>20</xdr:row>
      <xdr:rowOff>126483</xdr:rowOff>
    </xdr:from>
    <xdr:to>
      <xdr:col>19</xdr:col>
      <xdr:colOff>123825</xdr:colOff>
      <xdr:row>22</xdr:row>
      <xdr:rowOff>145533</xdr:rowOff>
    </xdr:to>
    <xdr:pic>
      <xdr:nvPicPr>
        <xdr:cNvPr id="14" name="Imagem 13"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0059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20</xdr:row>
      <xdr:rowOff>126483</xdr:rowOff>
    </xdr:from>
    <xdr:to>
      <xdr:col>18</xdr:col>
      <xdr:colOff>180975</xdr:colOff>
      <xdr:row>22</xdr:row>
      <xdr:rowOff>145533</xdr:rowOff>
    </xdr:to>
    <xdr:pic>
      <xdr:nvPicPr>
        <xdr:cNvPr id="15" name="Imagem 14"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4814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22</xdr:row>
      <xdr:rowOff>116957</xdr:rowOff>
    </xdr:from>
    <xdr:to>
      <xdr:col>19</xdr:col>
      <xdr:colOff>495300</xdr:colOff>
      <xdr:row>24</xdr:row>
      <xdr:rowOff>12182</xdr:rowOff>
    </xdr:to>
    <xdr:sp macro="" textlink="">
      <xdr:nvSpPr>
        <xdr:cNvPr id="16" name="CaixaDeTexto 15"/>
        <xdr:cNvSpPr txBox="1"/>
      </xdr:nvSpPr>
      <xdr:spPr>
        <a:xfrm>
          <a:off x="11277600" y="43079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148167</xdr:colOff>
      <xdr:row>22</xdr:row>
      <xdr:rowOff>116957</xdr:rowOff>
    </xdr:from>
    <xdr:to>
      <xdr:col>18</xdr:col>
      <xdr:colOff>381000</xdr:colOff>
      <xdr:row>23</xdr:row>
      <xdr:rowOff>183444</xdr:rowOff>
    </xdr:to>
    <xdr:sp macro="" textlink="">
      <xdr:nvSpPr>
        <xdr:cNvPr id="17" name="CaixaDeTexto 16"/>
        <xdr:cNvSpPr txBox="1"/>
      </xdr:nvSpPr>
      <xdr:spPr>
        <a:xfrm>
          <a:off x="11063111" y="4307957"/>
          <a:ext cx="874889" cy="2569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10</xdr:col>
      <xdr:colOff>127002</xdr:colOff>
      <xdr:row>18</xdr:row>
      <xdr:rowOff>63499</xdr:rowOff>
    </xdr:from>
    <xdr:ext cx="2709334" cy="762001"/>
    <xdr:sp macro="" textlink="">
      <xdr:nvSpPr>
        <xdr:cNvPr id="19" name="CaixaDeTexto 18"/>
        <xdr:cNvSpPr txBox="1"/>
      </xdr:nvSpPr>
      <xdr:spPr>
        <a:xfrm>
          <a:off x="6547558" y="3492499"/>
          <a:ext cx="2709334" cy="76200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a:t>
          </a:r>
          <a:r>
            <a:rPr lang="pt-BR" sz="1200" baseline="0">
              <a:solidFill>
                <a:schemeClr val="tx1"/>
              </a:solidFill>
              <a:effectLst/>
              <a:latin typeface="Montserrat" panose="00000500000000000000" pitchFamily="2" charset="0"/>
              <a:ea typeface="+mn-ea"/>
              <a:cs typeface="+mn-cs"/>
            </a:rPr>
            <a:t>não há referências que sirvam de premissas para esse negócio.</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7.xml><?xml version="1.0" encoding="utf-8"?>
<xdr:wsDr xmlns:xdr="http://schemas.openxmlformats.org/drawingml/2006/spreadsheetDrawing" xmlns:a="http://schemas.openxmlformats.org/drawingml/2006/main">
  <xdr:twoCellAnchor>
    <xdr:from>
      <xdr:col>12</xdr:col>
      <xdr:colOff>323850</xdr:colOff>
      <xdr:row>6</xdr:row>
      <xdr:rowOff>95250</xdr:rowOff>
    </xdr:from>
    <xdr:to>
      <xdr:col>18</xdr:col>
      <xdr:colOff>139900</xdr:colOff>
      <xdr:row>23</xdr:row>
      <xdr:rowOff>28575</xdr:rowOff>
    </xdr:to>
    <xdr:sp macro="" textlink="">
      <xdr:nvSpPr>
        <xdr:cNvPr id="2" name="Retângulo 1">
          <a:extLst>
            <a:ext uri="{FF2B5EF4-FFF2-40B4-BE49-F238E27FC236}">
              <a16:creationId xmlns:a16="http://schemas.microsoft.com/office/drawing/2014/main" id="{28CF6B28-4710-B3E3-DB33-D7D391D79C96}"/>
            </a:ext>
          </a:extLst>
        </xdr:cNvPr>
        <xdr:cNvSpPr/>
      </xdr:nvSpPr>
      <xdr:spPr>
        <a:xfrm>
          <a:off x="7639050" y="1238250"/>
          <a:ext cx="3473650" cy="3171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Resultado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Resultados Consolidados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5" name="Imagem 4">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6" name="CaixaDeTexto 5"/>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Demonstração de Resultado </a:t>
          </a:r>
          <a:r>
            <a:rPr lang="pt-BR" sz="1200" b="1" baseline="0">
              <a:solidFill>
                <a:srgbClr val="EA7423"/>
              </a:solidFill>
              <a:effectLst/>
              <a:latin typeface="Montserrat" panose="00000500000000000000" pitchFamily="2" charset="0"/>
              <a:ea typeface="+mn-ea"/>
              <a:cs typeface="+mn-cs"/>
            </a:rPr>
            <a:t>(R$ mil)</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12</xdr:col>
      <xdr:colOff>523875</xdr:colOff>
      <xdr:row>5</xdr:row>
      <xdr:rowOff>9525</xdr:rowOff>
    </xdr:from>
    <xdr:ext cx="4267199" cy="3228975"/>
    <xdr:sp macro="" textlink="">
      <xdr:nvSpPr>
        <xdr:cNvPr id="7" name="CaixaDeTexto 6"/>
        <xdr:cNvSpPr txBox="1"/>
      </xdr:nvSpPr>
      <xdr:spPr>
        <a:xfrm>
          <a:off x="7839075" y="962025"/>
          <a:ext cx="4267199" cy="3228975"/>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Imposto de renda e contribuição social sobre o lucro líquido</a:t>
          </a:r>
        </a:p>
        <a:p>
          <a:pPr>
            <a:spcBef>
              <a:spcPts val="600"/>
            </a:spcBef>
          </a:pPr>
          <a:r>
            <a:rPr lang="pt-BR" sz="1400">
              <a:solidFill>
                <a:schemeClr val="tx1"/>
              </a:solidFill>
              <a:effectLst/>
              <a:latin typeface="Montserrat" panose="00000500000000000000" pitchFamily="2" charset="0"/>
              <a:ea typeface="+mn-ea"/>
              <a:cs typeface="+mn-cs"/>
            </a:rPr>
            <a:t>A alíquota de imposto de renda e contribuição social sobre o lucro líquido da Companhia são respectivamente 25% e 9%. Até 2023, o que se excluiu da base tributável foi: equivalência patrimonial, benefício fiscal do pagamento de JCP,</a:t>
          </a:r>
          <a:r>
            <a:rPr lang="pt-BR" sz="1400" baseline="0">
              <a:solidFill>
                <a:schemeClr val="tx1"/>
              </a:solidFill>
              <a:effectLst/>
              <a:latin typeface="Montserrat" panose="00000500000000000000" pitchFamily="2" charset="0"/>
              <a:ea typeface="+mn-ea"/>
              <a:cs typeface="+mn-cs"/>
            </a:rPr>
            <a:t> a</a:t>
          </a:r>
          <a:r>
            <a:rPr lang="pt-BR" sz="1400">
              <a:solidFill>
                <a:schemeClr val="tx1"/>
              </a:solidFill>
              <a:effectLst/>
              <a:latin typeface="Montserrat" panose="00000500000000000000" pitchFamily="2" charset="0"/>
              <a:ea typeface="+mn-ea"/>
              <a:cs typeface="+mn-cs"/>
            </a:rPr>
            <a:t> exclusão da receita do crédito outorgado de ICMS* da base de apuração do imposto e diferenças permanentes.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8" name="Imagem 7" descr="https://cdn-icons-png.flaticon.com/512/1946/1946488.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9" name="CaixaDeTexto 8"/>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103947</xdr:colOff>
      <xdr:row>18</xdr:row>
      <xdr:rowOff>47625</xdr:rowOff>
    </xdr:from>
    <xdr:to>
      <xdr:col>18</xdr:col>
      <xdr:colOff>409575</xdr:colOff>
      <xdr:row>20</xdr:row>
      <xdr:rowOff>66675</xdr:rowOff>
    </xdr:to>
    <xdr:pic>
      <xdr:nvPicPr>
        <xdr:cNvPr id="10" name="Imagem 9"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7674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161097</xdr:colOff>
      <xdr:row>18</xdr:row>
      <xdr:rowOff>47625</xdr:rowOff>
    </xdr:from>
    <xdr:to>
      <xdr:col>17</xdr:col>
      <xdr:colOff>466725</xdr:colOff>
      <xdr:row>20</xdr:row>
      <xdr:rowOff>66675</xdr:rowOff>
    </xdr:to>
    <xdr:pic>
      <xdr:nvPicPr>
        <xdr:cNvPr id="11" name="Imagem 10" descr="https://cdn-icons-png.flaticon.com/512/591/591855.png">
          <a:hlinkClick xmlns:r="http://schemas.openxmlformats.org/officeDocument/2006/relationships" r:id="rId7"/>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2429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590550</xdr:colOff>
      <xdr:row>20</xdr:row>
      <xdr:rowOff>38099</xdr:rowOff>
    </xdr:from>
    <xdr:to>
      <xdr:col>19</xdr:col>
      <xdr:colOff>171450</xdr:colOff>
      <xdr:row>21</xdr:row>
      <xdr:rowOff>123824</xdr:rowOff>
    </xdr:to>
    <xdr:sp macro="" textlink="">
      <xdr:nvSpPr>
        <xdr:cNvPr id="12" name="CaixaDeTexto 11"/>
        <xdr:cNvSpPr txBox="1"/>
      </xdr:nvSpPr>
      <xdr:spPr>
        <a:xfrm>
          <a:off x="10953750" y="38480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16</xdr:col>
      <xdr:colOff>476250</xdr:colOff>
      <xdr:row>20</xdr:row>
      <xdr:rowOff>38099</xdr:rowOff>
    </xdr:from>
    <xdr:to>
      <xdr:col>18</xdr:col>
      <xdr:colOff>57150</xdr:colOff>
      <xdr:row>21</xdr:row>
      <xdr:rowOff>123824</xdr:rowOff>
    </xdr:to>
    <xdr:sp macro="" textlink="">
      <xdr:nvSpPr>
        <xdr:cNvPr id="13" name="CaixaDeTexto 12"/>
        <xdr:cNvSpPr txBox="1"/>
      </xdr:nvSpPr>
      <xdr:spPr>
        <a:xfrm>
          <a:off x="10229850" y="38480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twoCellAnchor editAs="oneCell">
    <xdr:from>
      <xdr:col>13</xdr:col>
      <xdr:colOff>65048</xdr:colOff>
      <xdr:row>18</xdr:row>
      <xdr:rowOff>97512</xdr:rowOff>
    </xdr:from>
    <xdr:to>
      <xdr:col>14</xdr:col>
      <xdr:colOff>31750</xdr:colOff>
      <xdr:row>21</xdr:row>
      <xdr:rowOff>95249</xdr:rowOff>
    </xdr:to>
    <xdr:pic>
      <xdr:nvPicPr>
        <xdr:cNvPr id="14" name="Imagem 13" descr="https://cdn-icons-png.flaticon.com/512/4334/4334610.pn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044881" y="3526512"/>
          <a:ext cx="580536" cy="56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444501</xdr:colOff>
      <xdr:row>17</xdr:row>
      <xdr:rowOff>12976</xdr:rowOff>
    </xdr:from>
    <xdr:ext cx="4833056" cy="1200580"/>
    <xdr:sp macro="" textlink="">
      <xdr:nvSpPr>
        <xdr:cNvPr id="15" name="CaixaDeTexto 14"/>
        <xdr:cNvSpPr txBox="1"/>
      </xdr:nvSpPr>
      <xdr:spPr>
        <a:xfrm>
          <a:off x="444501" y="3251476"/>
          <a:ext cx="4833056" cy="12005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900">
              <a:solidFill>
                <a:schemeClr val="tx1"/>
              </a:solidFill>
              <a:effectLst/>
              <a:latin typeface="Montserrat" panose="00000500000000000000" pitchFamily="2" charset="0"/>
              <a:ea typeface="+mn-ea"/>
              <a:cs typeface="+mn-cs"/>
            </a:rPr>
            <a:t>* Em conformidade com o Convênio CONFAZ ICMS 106/96, a Tegma dispôs de um crédito de 20% sobre o valor do ICMS devido relativo à prestação de serviços de transporte. Esse benefício esteve vigente até</a:t>
          </a:r>
          <a:r>
            <a:rPr lang="pt-BR" sz="900" baseline="0">
              <a:solidFill>
                <a:schemeClr val="tx1"/>
              </a:solidFill>
              <a:effectLst/>
              <a:latin typeface="Montserrat" panose="00000500000000000000" pitchFamily="2" charset="0"/>
              <a:ea typeface="+mn-ea"/>
              <a:cs typeface="+mn-cs"/>
            </a:rPr>
            <a:t> o exercício de 2023 (inclusive)</a:t>
          </a:r>
          <a:r>
            <a:rPr lang="pt-BR" sz="900">
              <a:solidFill>
                <a:schemeClr val="tx1"/>
              </a:solidFill>
              <a:effectLst/>
              <a:latin typeface="Montserrat" panose="00000500000000000000" pitchFamily="2" charset="0"/>
              <a:ea typeface="+mn-ea"/>
              <a:cs typeface="+mn-cs"/>
            </a:rPr>
            <a:t>. A Lei 14.789 de 29 de dezembro de 2023, que entrou em vigor em 1º de janeiro de 2024, estabeleceu a tributação de quaisquer incentivos fiscais, inclusive o crédito presumido de ICMS, que </a:t>
          </a:r>
          <a:r>
            <a:rPr lang="pt-BR" sz="900" u="sng">
              <a:solidFill>
                <a:schemeClr val="tx1"/>
              </a:solidFill>
              <a:effectLst/>
              <a:latin typeface="Montserrat" panose="00000500000000000000" pitchFamily="2" charset="0"/>
              <a:ea typeface="+mn-ea"/>
              <a:cs typeface="+mn-cs"/>
            </a:rPr>
            <a:t>passará a compor a base de cálculo do IRPJ/CSLL a partir</a:t>
          </a:r>
          <a:r>
            <a:rPr lang="pt-BR" sz="900" u="sng" baseline="0">
              <a:solidFill>
                <a:schemeClr val="tx1"/>
              </a:solidFill>
              <a:effectLst/>
              <a:latin typeface="Montserrat" panose="00000500000000000000" pitchFamily="2" charset="0"/>
              <a:ea typeface="+mn-ea"/>
              <a:cs typeface="+mn-cs"/>
            </a:rPr>
            <a:t> de 2024</a:t>
          </a:r>
          <a:r>
            <a:rPr lang="pt-BR" sz="900">
              <a:solidFill>
                <a:schemeClr val="tx1"/>
              </a:solidFill>
              <a:effectLst/>
              <a:latin typeface="Montserrat" panose="00000500000000000000" pitchFamily="2" charset="0"/>
              <a:ea typeface="+mn-ea"/>
              <a:cs typeface="+mn-cs"/>
            </a:rPr>
            <a:t>. </a:t>
          </a:r>
        </a:p>
      </xdr:txBody>
    </xdr:sp>
    <xdr:clientData/>
  </xdr:oneCellAnchor>
  <xdr:oneCellAnchor>
    <xdr:from>
      <xdr:col>8</xdr:col>
      <xdr:colOff>141112</xdr:colOff>
      <xdr:row>17</xdr:row>
      <xdr:rowOff>144639</xdr:rowOff>
    </xdr:from>
    <xdr:ext cx="2547056" cy="980397"/>
    <xdr:sp macro="" textlink="">
      <xdr:nvSpPr>
        <xdr:cNvPr id="20" name="CaixaDeTexto 19"/>
        <xdr:cNvSpPr txBox="1"/>
      </xdr:nvSpPr>
      <xdr:spPr>
        <a:xfrm>
          <a:off x="5277556" y="3383139"/>
          <a:ext cx="2547056" cy="980397"/>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100" b="1">
              <a:solidFill>
                <a:srgbClr val="EA7423"/>
              </a:solidFill>
              <a:effectLst/>
              <a:latin typeface="Montserrat" panose="00000500000000000000" pitchFamily="2" charset="0"/>
              <a:ea typeface="+mn-ea"/>
              <a:cs typeface="+mn-cs"/>
            </a:rPr>
            <a:t>Para fins de projeção</a:t>
          </a:r>
          <a:r>
            <a:rPr lang="pt-BR" sz="1100" b="0" baseline="0">
              <a:solidFill>
                <a:schemeClr val="tx1"/>
              </a:solidFill>
              <a:effectLst/>
              <a:latin typeface="Montserrat" panose="00000500000000000000" pitchFamily="2" charset="0"/>
              <a:ea typeface="+mn-ea"/>
              <a:cs typeface="+mn-cs"/>
            </a:rPr>
            <a:t> </a:t>
          </a:r>
        </a:p>
        <a:p>
          <a:pPr algn="ctr">
            <a:spcBef>
              <a:spcPts val="600"/>
            </a:spcBef>
          </a:pPr>
          <a:r>
            <a:rPr lang="pt-BR" sz="1100" baseline="0">
              <a:solidFill>
                <a:schemeClr val="tx1"/>
              </a:solidFill>
              <a:effectLst/>
              <a:latin typeface="Montserrat" panose="00000500000000000000" pitchFamily="2" charset="0"/>
              <a:ea typeface="+mn-ea"/>
              <a:cs typeface="+mn-cs"/>
            </a:rPr>
            <a:t>Nos últimos 3 exercícios, o resultado de equivalência patrimonial e o pagamento de JCP reduziram a alíquota efetiva em 6 p.p, em média.</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8.xml><?xml version="1.0" encoding="utf-8"?>
<xdr:wsDr xmlns:xdr="http://schemas.openxmlformats.org/drawingml/2006/spreadsheetDrawing" xmlns:a="http://schemas.openxmlformats.org/drawingml/2006/main">
  <xdr:twoCellAnchor editAs="oneCell">
    <xdr:from>
      <xdr:col>12</xdr:col>
      <xdr:colOff>571501</xdr:colOff>
      <xdr:row>4</xdr:row>
      <xdr:rowOff>159327</xdr:rowOff>
    </xdr:from>
    <xdr:to>
      <xdr:col>19</xdr:col>
      <xdr:colOff>573033</xdr:colOff>
      <xdr:row>24</xdr:row>
      <xdr:rowOff>159327</xdr:rowOff>
    </xdr:to>
    <xdr:pic>
      <xdr:nvPicPr>
        <xdr:cNvPr id="12" name="Imagem 11">
          <a:extLst>
            <a:ext uri="{FF2B5EF4-FFF2-40B4-BE49-F238E27FC236}">
              <a16:creationId xmlns:a16="http://schemas.microsoft.com/office/drawing/2014/main" id="{052A94CA-CFEE-A9BA-4FDB-8F69E25A06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r="40391"/>
        <a:stretch/>
      </xdr:blipFill>
      <xdr:spPr>
        <a:xfrm>
          <a:off x="7937501" y="921327"/>
          <a:ext cx="4298365" cy="3810000"/>
        </a:xfrm>
        <a:prstGeom prst="rect">
          <a:avLst/>
        </a:prstGeom>
      </xdr:spPr>
    </xdr:pic>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2"/>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Balanço Patrimonial</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228600</xdr:colOff>
      <xdr:row>3</xdr:row>
      <xdr:rowOff>171009</xdr:rowOff>
    </xdr:from>
    <xdr:ext cx="6333067" cy="986102"/>
    <xdr:sp macro="" textlink="">
      <xdr:nvSpPr>
        <xdr:cNvPr id="5" name="CaixaDeTexto 4"/>
        <xdr:cNvSpPr txBox="1"/>
      </xdr:nvSpPr>
      <xdr:spPr>
        <a:xfrm>
          <a:off x="228600" y="742509"/>
          <a:ext cx="6333067" cy="98610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Capital</a:t>
          </a:r>
          <a:r>
            <a:rPr lang="pt-BR" sz="1200" b="1" baseline="0">
              <a:solidFill>
                <a:srgbClr val="EA7423"/>
              </a:solidFill>
              <a:effectLst/>
              <a:latin typeface="Montserrat" panose="00000500000000000000" pitchFamily="2" charset="0"/>
              <a:ea typeface="+mn-ea"/>
              <a:cs typeface="+mn-cs"/>
            </a:rPr>
            <a:t> de Giro</a:t>
          </a:r>
          <a:r>
            <a:rPr lang="pt-BR" sz="1200" b="1">
              <a:solidFill>
                <a:srgbClr val="EA7423"/>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O </a:t>
          </a:r>
          <a:r>
            <a:rPr lang="pt-BR" sz="1200" b="1">
              <a:solidFill>
                <a:schemeClr val="tx1"/>
              </a:solidFill>
              <a:effectLst/>
              <a:latin typeface="Montserrat" panose="00000500000000000000" pitchFamily="2" charset="0"/>
              <a:ea typeface="+mn-ea"/>
              <a:cs typeface="+mn-cs"/>
            </a:rPr>
            <a:t>capital de giro </a:t>
          </a:r>
          <a:r>
            <a:rPr lang="pt-BR" sz="1200">
              <a:solidFill>
                <a:schemeClr val="tx1"/>
              </a:solidFill>
              <a:effectLst/>
              <a:latin typeface="Montserrat" panose="00000500000000000000" pitchFamily="2" charset="0"/>
              <a:ea typeface="+mn-ea"/>
              <a:cs typeface="+mn-cs"/>
            </a:rPr>
            <a:t>da Tegma é concentrado no contas a receber de clientes, deduzido das contas fornecedores/fretes a pagar, uma vez que pela característica da operação da companhia a conta estoques é irrelevante. O capital de giro em 2023 correspondeu </a:t>
          </a:r>
          <a:r>
            <a:rPr lang="pt-BR" sz="1200">
              <a:solidFill>
                <a:sysClr val="windowText" lastClr="000000"/>
              </a:solidFill>
              <a:effectLst/>
              <a:latin typeface="Montserrat" panose="00000500000000000000" pitchFamily="2" charset="0"/>
              <a:ea typeface="+mn-ea"/>
              <a:cs typeface="+mn-cs"/>
            </a:rPr>
            <a:t>a </a:t>
          </a:r>
          <a:r>
            <a:rPr lang="pt-BR" sz="1200">
              <a:solidFill>
                <a:srgbClr val="EA7423"/>
              </a:solidFill>
              <a:effectLst/>
              <a:latin typeface="Montserrat" panose="00000500000000000000" pitchFamily="2" charset="0"/>
              <a:ea typeface="+mn-ea"/>
              <a:cs typeface="+mn-cs"/>
            </a:rPr>
            <a:t>54 dias </a:t>
          </a:r>
          <a:r>
            <a:rPr lang="pt-BR" sz="1200">
              <a:solidFill>
                <a:schemeClr val="tx1"/>
              </a:solidFill>
              <a:effectLst/>
              <a:latin typeface="Montserrat" panose="00000500000000000000" pitchFamily="2" charset="0"/>
              <a:ea typeface="+mn-ea"/>
              <a:cs typeface="+mn-cs"/>
            </a:rPr>
            <a:t>do faturamento bruto do ano.</a:t>
          </a:r>
        </a:p>
      </xdr:txBody>
    </xdr:sp>
    <xdr:clientData/>
  </xdr:oneCellAnchor>
  <xdr:oneCellAnchor>
    <xdr:from>
      <xdr:col>0</xdr:col>
      <xdr:colOff>228600</xdr:colOff>
      <xdr:row>12</xdr:row>
      <xdr:rowOff>104775</xdr:rowOff>
    </xdr:from>
    <xdr:ext cx="6523567" cy="1040991"/>
    <xdr:sp macro="" textlink="">
      <xdr:nvSpPr>
        <xdr:cNvPr id="7" name="CaixaDeTexto 6"/>
        <xdr:cNvSpPr txBox="1"/>
      </xdr:nvSpPr>
      <xdr:spPr>
        <a:xfrm>
          <a:off x="228600" y="2390775"/>
          <a:ext cx="6523567" cy="10409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Endividamento </a:t>
          </a:r>
        </a:p>
        <a:p>
          <a:pPr>
            <a:spcBef>
              <a:spcPts val="600"/>
            </a:spcBef>
          </a:pPr>
          <a:r>
            <a:rPr lang="pt-BR" sz="1200">
              <a:solidFill>
                <a:schemeClr val="tx1"/>
              </a:solidFill>
              <a:effectLst/>
              <a:latin typeface="Montserrat" panose="00000500000000000000" pitchFamily="2" charset="0"/>
              <a:ea typeface="+mn-ea"/>
              <a:cs typeface="+mn-cs"/>
            </a:rPr>
            <a:t>A alavancagem financeira da companhia ao longo dos últimos 4 anos se reduziu em decorrência do fluxo de caixa livre positivo do período. As dívidas financeiras têm um custo médio em 31 de dezembro de 2023 de </a:t>
          </a:r>
          <a:r>
            <a:rPr lang="pt-BR" sz="1200">
              <a:solidFill>
                <a:srgbClr val="EA7423"/>
              </a:solidFill>
              <a:effectLst/>
              <a:latin typeface="Montserrat" panose="00000500000000000000" pitchFamily="2" charset="0"/>
              <a:ea typeface="+mn-ea"/>
              <a:cs typeface="+mn-cs"/>
            </a:rPr>
            <a:t>CDI + 1,55%</a:t>
          </a:r>
          <a:r>
            <a:rPr lang="pt-BR" sz="1200">
              <a:solidFill>
                <a:schemeClr val="tx1"/>
              </a:solidFill>
              <a:effectLst/>
              <a:latin typeface="Montserrat" panose="00000500000000000000" pitchFamily="2" charset="0"/>
              <a:ea typeface="+mn-ea"/>
              <a:cs typeface="+mn-cs"/>
            </a:rPr>
            <a:t>.</a:t>
          </a:r>
        </a:p>
      </xdr:txBody>
    </xdr:sp>
    <xdr:clientData/>
  </xdr:oneCellAnchor>
  <xdr:twoCellAnchor editAs="oneCell">
    <xdr:from>
      <xdr:col>18</xdr:col>
      <xdr:colOff>215879</xdr:colOff>
      <xdr:row>1</xdr:row>
      <xdr:rowOff>9525</xdr:rowOff>
    </xdr:from>
    <xdr:to>
      <xdr:col>19</xdr:col>
      <xdr:colOff>9524</xdr:colOff>
      <xdr:row>3</xdr:row>
      <xdr:rowOff>85725</xdr:rowOff>
    </xdr:to>
    <xdr:pic>
      <xdr:nvPicPr>
        <xdr:cNvPr id="9" name="Imagem 8" descr="https://cdn-icons-png.flaticon.com/512/1946/1946488.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2000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3</xdr:row>
      <xdr:rowOff>95248</xdr:rowOff>
    </xdr:from>
    <xdr:to>
      <xdr:col>19</xdr:col>
      <xdr:colOff>295275</xdr:colOff>
      <xdr:row>4</xdr:row>
      <xdr:rowOff>180973</xdr:rowOff>
    </xdr:to>
    <xdr:sp macro="" textlink="">
      <xdr:nvSpPr>
        <xdr:cNvPr id="10" name="CaixaDeTexto 9"/>
        <xdr:cNvSpPr txBox="1"/>
      </xdr:nvSpPr>
      <xdr:spPr>
        <a:xfrm>
          <a:off x="11077575" y="6667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ysClr val="windowText" lastClr="000000"/>
              </a:solidFill>
              <a:latin typeface="Montserrat" panose="00000500000000000000" pitchFamily="2" charset="0"/>
            </a:rPr>
            <a:t>Menu</a:t>
          </a:r>
        </a:p>
      </xdr:txBody>
    </xdr:sp>
    <xdr:clientData/>
  </xdr:twoCellAnchor>
  <xdr:twoCellAnchor editAs="oneCell">
    <xdr:from>
      <xdr:col>18</xdr:col>
      <xdr:colOff>427797</xdr:colOff>
      <xdr:row>19</xdr:row>
      <xdr:rowOff>140277</xdr:rowOff>
    </xdr:from>
    <xdr:to>
      <xdr:col>19</xdr:col>
      <xdr:colOff>123825</xdr:colOff>
      <xdr:row>21</xdr:row>
      <xdr:rowOff>159327</xdr:rowOff>
    </xdr:to>
    <xdr:pic>
      <xdr:nvPicPr>
        <xdr:cNvPr id="13" name="Imagem 12" descr="https://cdn-icons-png.flaticon.com/512/591/591855.png">
          <a:hlinkClick xmlns:r="http://schemas.openxmlformats.org/officeDocument/2006/relationships" r:id="rId6"/>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0059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19</xdr:row>
      <xdr:rowOff>140277</xdr:rowOff>
    </xdr:from>
    <xdr:to>
      <xdr:col>18</xdr:col>
      <xdr:colOff>180975</xdr:colOff>
      <xdr:row>21</xdr:row>
      <xdr:rowOff>159327</xdr:rowOff>
    </xdr:to>
    <xdr:pic>
      <xdr:nvPicPr>
        <xdr:cNvPr id="14" name="Imagem 13" descr="https://cdn-icons-png.flaticon.com/512/591/591855.png">
          <a:hlinkClick xmlns:r="http://schemas.openxmlformats.org/officeDocument/2006/relationships" r:id="rId8"/>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4814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21</xdr:row>
      <xdr:rowOff>130751</xdr:rowOff>
    </xdr:from>
    <xdr:to>
      <xdr:col>19</xdr:col>
      <xdr:colOff>495300</xdr:colOff>
      <xdr:row>23</xdr:row>
      <xdr:rowOff>25976</xdr:rowOff>
    </xdr:to>
    <xdr:sp macro="" textlink="">
      <xdr:nvSpPr>
        <xdr:cNvPr id="15" name="CaixaDeTexto 14"/>
        <xdr:cNvSpPr txBox="1"/>
      </xdr:nvSpPr>
      <xdr:spPr>
        <a:xfrm>
          <a:off x="11277600" y="413125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Próximo</a:t>
          </a:r>
        </a:p>
      </xdr:txBody>
    </xdr:sp>
    <xdr:clientData/>
  </xdr:twoCellAnchor>
  <xdr:twoCellAnchor>
    <xdr:from>
      <xdr:col>17</xdr:col>
      <xdr:colOff>169334</xdr:colOff>
      <xdr:row>21</xdr:row>
      <xdr:rowOff>130752</xdr:rowOff>
    </xdr:from>
    <xdr:to>
      <xdr:col>18</xdr:col>
      <xdr:colOff>381000</xdr:colOff>
      <xdr:row>23</xdr:row>
      <xdr:rowOff>14112</xdr:rowOff>
    </xdr:to>
    <xdr:sp macro="" textlink="">
      <xdr:nvSpPr>
        <xdr:cNvPr id="16" name="CaixaDeTexto 15"/>
        <xdr:cNvSpPr txBox="1"/>
      </xdr:nvSpPr>
      <xdr:spPr>
        <a:xfrm>
          <a:off x="11084278" y="4131252"/>
          <a:ext cx="853722" cy="264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Anterior</a:t>
          </a:r>
        </a:p>
      </xdr:txBody>
    </xdr:sp>
    <xdr:clientData/>
  </xdr:twoCellAnchor>
  <xdr:oneCellAnchor>
    <xdr:from>
      <xdr:col>10</xdr:col>
      <xdr:colOff>391584</xdr:colOff>
      <xdr:row>4</xdr:row>
      <xdr:rowOff>82849</xdr:rowOff>
    </xdr:from>
    <xdr:ext cx="1905001" cy="622991"/>
    <xdr:sp macro="" textlink="">
      <xdr:nvSpPr>
        <xdr:cNvPr id="17" name="CaixaDeTexto 16"/>
        <xdr:cNvSpPr txBox="1"/>
      </xdr:nvSpPr>
      <xdr:spPr>
        <a:xfrm>
          <a:off x="6812140" y="844849"/>
          <a:ext cx="1905001" cy="62299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spcBef>
              <a:spcPts val="600"/>
            </a:spcBef>
          </a:pPr>
          <a:r>
            <a:rPr lang="pt-BR" sz="900" b="1">
              <a:solidFill>
                <a:srgbClr val="EA7423"/>
              </a:solidFill>
              <a:effectLst/>
              <a:latin typeface="Montserrat" panose="00000500000000000000" pitchFamily="2" charset="0"/>
              <a:ea typeface="+mn-ea"/>
              <a:cs typeface="+mn-cs"/>
            </a:rPr>
            <a:t>Para fins de projeção:</a:t>
          </a:r>
          <a:r>
            <a:rPr lang="pt-BR" sz="900" b="0" baseline="0">
              <a:solidFill>
                <a:schemeClr val="tx1"/>
              </a:solidFill>
              <a:effectLst/>
              <a:latin typeface="Montserrat" panose="00000500000000000000" pitchFamily="2" charset="0"/>
              <a:ea typeface="+mn-ea"/>
              <a:cs typeface="+mn-cs"/>
            </a:rPr>
            <a:t> O</a:t>
          </a:r>
          <a:r>
            <a:rPr lang="pt-BR" sz="900" baseline="0">
              <a:solidFill>
                <a:schemeClr val="tx1"/>
              </a:solidFill>
              <a:effectLst/>
              <a:latin typeface="Montserrat" panose="00000500000000000000" pitchFamily="2" charset="0"/>
              <a:ea typeface="+mn-ea"/>
              <a:cs typeface="+mn-cs"/>
            </a:rPr>
            <a:t> patamar de dias do final de 2023 pode variar de acordo com negociações comerciais.</a:t>
          </a:r>
          <a:endParaRPr lang="pt-BR" sz="900">
            <a:solidFill>
              <a:schemeClr val="tx1"/>
            </a:solidFill>
            <a:effectLst/>
            <a:latin typeface="Montserrat" panose="00000500000000000000" pitchFamily="2" charset="0"/>
            <a:ea typeface="+mn-ea"/>
            <a:cs typeface="+mn-cs"/>
          </a:endParaRPr>
        </a:p>
      </xdr:txBody>
    </xdr:sp>
    <xdr:clientData/>
  </xdr:oneCellAnchor>
  <xdr:oneCellAnchor>
    <xdr:from>
      <xdr:col>10</xdr:col>
      <xdr:colOff>349250</xdr:colOff>
      <xdr:row>13</xdr:row>
      <xdr:rowOff>74083</xdr:rowOff>
    </xdr:from>
    <xdr:ext cx="1905001" cy="511528"/>
    <xdr:sp macro="" textlink="">
      <xdr:nvSpPr>
        <xdr:cNvPr id="18" name="CaixaDeTexto 17"/>
        <xdr:cNvSpPr txBox="1"/>
      </xdr:nvSpPr>
      <xdr:spPr>
        <a:xfrm>
          <a:off x="6769806" y="2550583"/>
          <a:ext cx="1905001" cy="51152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100" b="1">
              <a:solidFill>
                <a:srgbClr val="EA7423"/>
              </a:solidFill>
              <a:effectLst/>
              <a:latin typeface="Montserrat" panose="00000500000000000000" pitchFamily="2" charset="0"/>
              <a:ea typeface="+mn-ea"/>
              <a:cs typeface="+mn-cs"/>
            </a:rPr>
            <a:t>Para fins de projeção:</a:t>
          </a:r>
          <a:r>
            <a:rPr lang="pt-BR" sz="1100" b="0" baseline="0">
              <a:solidFill>
                <a:schemeClr val="tx1"/>
              </a:solidFill>
              <a:effectLst/>
              <a:latin typeface="Montserrat" panose="00000500000000000000" pitchFamily="2" charset="0"/>
              <a:ea typeface="+mn-ea"/>
              <a:cs typeface="+mn-cs"/>
            </a:rPr>
            <a:t> </a:t>
          </a:r>
          <a:r>
            <a:rPr lang="pt-BR" sz="1100" baseline="0">
              <a:solidFill>
                <a:schemeClr val="tx1"/>
              </a:solidFill>
              <a:effectLst/>
              <a:latin typeface="Montserrat" panose="00000500000000000000" pitchFamily="2" charset="0"/>
              <a:ea typeface="+mn-ea"/>
              <a:cs typeface="+mn-cs"/>
            </a:rPr>
            <a:t>A depender de algum M&amp;A.</a:t>
          </a:r>
          <a:endParaRPr lang="pt-BR" sz="1100">
            <a:solidFill>
              <a:schemeClr val="tx1"/>
            </a:solidFill>
            <a:effectLst/>
            <a:latin typeface="Montserrat" panose="00000500000000000000" pitchFamily="2" charset="0"/>
            <a:ea typeface="+mn-ea"/>
            <a:cs typeface="+mn-cs"/>
          </a:endParaRPr>
        </a:p>
      </xdr:txBody>
    </xdr:sp>
    <xdr:clientData/>
  </xdr:oneCellAnchor>
</xdr:wsDr>
</file>

<file path=xl/drawings/drawing19.xml><?xml version="1.0" encoding="utf-8"?>
<xdr:wsDr xmlns:xdr="http://schemas.openxmlformats.org/drawingml/2006/spreadsheetDrawing" xmlns:a="http://schemas.openxmlformats.org/drawingml/2006/main">
  <xdr:twoCellAnchor>
    <xdr:from>
      <xdr:col>12</xdr:col>
      <xdr:colOff>114300</xdr:colOff>
      <xdr:row>6</xdr:row>
      <xdr:rowOff>180975</xdr:rowOff>
    </xdr:from>
    <xdr:to>
      <xdr:col>17</xdr:col>
      <xdr:colOff>539950</xdr:colOff>
      <xdr:row>21</xdr:row>
      <xdr:rowOff>133350</xdr:rowOff>
    </xdr:to>
    <xdr:sp macro="" textlink="">
      <xdr:nvSpPr>
        <xdr:cNvPr id="17" name="Retângulo 16">
          <a:extLst>
            <a:ext uri="{FF2B5EF4-FFF2-40B4-BE49-F238E27FC236}">
              <a16:creationId xmlns:a16="http://schemas.microsoft.com/office/drawing/2014/main" id="{28CF6B28-4710-B3E3-DB33-D7D391D79C96}"/>
            </a:ext>
          </a:extLst>
        </xdr:cNvPr>
        <xdr:cNvSpPr/>
      </xdr:nvSpPr>
      <xdr:spPr>
        <a:xfrm>
          <a:off x="7429500" y="1323975"/>
          <a:ext cx="3473650" cy="2857500"/>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Balanço Patrimonial</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CAPEX</a:t>
          </a:r>
        </a:p>
      </xdr:txBody>
    </xdr:sp>
    <xdr:clientData/>
  </xdr:oneCellAnchor>
  <xdr:oneCellAnchor>
    <xdr:from>
      <xdr:col>12</xdr:col>
      <xdr:colOff>295275</xdr:colOff>
      <xdr:row>4</xdr:row>
      <xdr:rowOff>19050</xdr:rowOff>
    </xdr:from>
    <xdr:ext cx="4629502" cy="3238500"/>
    <xdr:sp macro="" textlink="">
      <xdr:nvSpPr>
        <xdr:cNvPr id="6" name="CaixaDeTexto 5"/>
        <xdr:cNvSpPr txBox="1"/>
      </xdr:nvSpPr>
      <xdr:spPr>
        <a:xfrm>
          <a:off x="7999942" y="781050"/>
          <a:ext cx="4629502" cy="3238500"/>
        </a:xfrm>
        <a:prstGeom prst="rect">
          <a:avLst/>
        </a:prstGeom>
        <a:solidFill>
          <a:schemeClr val="bg1"/>
        </a:solidFill>
        <a:ln>
          <a:solidFill>
            <a:srgbClr val="EA7423"/>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Imobilizado e investimentos (CAPEX)</a:t>
          </a:r>
        </a:p>
        <a:p>
          <a:pPr>
            <a:spcBef>
              <a:spcPts val="600"/>
            </a:spcBef>
          </a:pPr>
          <a:r>
            <a:rPr lang="pt-BR" sz="1200">
              <a:solidFill>
                <a:schemeClr val="tx1"/>
              </a:solidFill>
              <a:effectLst/>
              <a:latin typeface="Montserrat" panose="00000500000000000000" pitchFamily="2" charset="0"/>
              <a:ea typeface="+mn-ea"/>
              <a:cs typeface="+mn-cs"/>
            </a:rPr>
            <a:t>A empresa é essencialmente asset light em decorrência do modelo de negócio de transporte terceirizado. No entanto, alguns investimentos estratégicos são necessários, como</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pátios para estarmos próximos às montadoras atendidas, assim como benfeitorias em pátios de terceiros para as operações de veículos. Na Logística Integrada, se adquire</a:t>
          </a:r>
          <a:r>
            <a:rPr lang="pt-BR" sz="1200" baseline="0">
              <a:solidFill>
                <a:schemeClr val="tx1"/>
              </a:solidFill>
              <a:effectLst/>
              <a:latin typeface="Montserrat" panose="00000500000000000000" pitchFamily="2" charset="0"/>
              <a:ea typeface="+mn-ea"/>
              <a:cs typeface="+mn-cs"/>
            </a:rPr>
            <a:t> embalagens para a operação de eletrodomésticos e se adquire semi-reboques para o transporte de produtos químicos</a:t>
          </a:r>
          <a:r>
            <a:rPr lang="pt-BR" sz="1200">
              <a:solidFill>
                <a:schemeClr val="tx1"/>
              </a:solidFill>
              <a:effectLst/>
              <a:latin typeface="Montserrat" panose="00000500000000000000" pitchFamily="2" charset="0"/>
              <a:ea typeface="+mn-ea"/>
              <a:cs typeface="+mn-cs"/>
            </a:rPr>
            <a:t>. </a:t>
          </a:r>
        </a:p>
        <a:p>
          <a:pPr>
            <a:spcBef>
              <a:spcPts val="600"/>
            </a:spcBef>
          </a:pPr>
          <a:r>
            <a:rPr lang="pt-BR" sz="1200">
              <a:solidFill>
                <a:schemeClr val="tx1"/>
              </a:solidFill>
              <a:effectLst/>
              <a:latin typeface="Montserrat" panose="00000500000000000000" pitchFamily="2" charset="0"/>
              <a:ea typeface="+mn-ea"/>
              <a:cs typeface="+mn-cs"/>
            </a:rPr>
            <a:t>Nos últimos</a:t>
          </a:r>
          <a:r>
            <a:rPr lang="pt-BR" sz="1200" baseline="0">
              <a:solidFill>
                <a:schemeClr val="tx1"/>
              </a:solidFill>
              <a:effectLst/>
              <a:latin typeface="Montserrat" panose="00000500000000000000" pitchFamily="2" charset="0"/>
              <a:ea typeface="+mn-ea"/>
              <a:cs typeface="+mn-cs"/>
            </a:rPr>
            <a:t> exercícios, o CAPEX esteve concentrado principalmente nas categorias destacadas na tabela à esquerda. O CAPEX consolidado representou nos últimos cinco anos entre </a:t>
          </a:r>
          <a:r>
            <a:rPr lang="pt-BR" sz="1200" baseline="0">
              <a:solidFill>
                <a:srgbClr val="EA7423"/>
              </a:solidFill>
              <a:effectLst/>
              <a:latin typeface="Montserrat" panose="00000500000000000000" pitchFamily="2" charset="0"/>
              <a:ea typeface="+mn-ea"/>
              <a:cs typeface="+mn-cs"/>
            </a:rPr>
            <a:t>1,6-2,7%</a:t>
          </a:r>
          <a:r>
            <a:rPr lang="pt-BR" sz="1200" baseline="0">
              <a:solidFill>
                <a:schemeClr val="tx1"/>
              </a:solidFill>
              <a:effectLst/>
              <a:latin typeface="Montserrat" panose="00000500000000000000" pitchFamily="2" charset="0"/>
              <a:ea typeface="+mn-ea"/>
              <a:cs typeface="+mn-cs"/>
            </a:rPr>
            <a:t> do faturamento bruto consolidado.</a:t>
          </a:r>
        </a:p>
      </xdr:txBody>
    </xdr:sp>
    <xdr:clientData/>
  </xdr:oneCellAnchor>
  <xdr:twoCellAnchor editAs="oneCell">
    <xdr:from>
      <xdr:col>18</xdr:col>
      <xdr:colOff>215879</xdr:colOff>
      <xdr:row>0</xdr:row>
      <xdr:rowOff>104334</xdr:rowOff>
    </xdr:from>
    <xdr:to>
      <xdr:col>19</xdr:col>
      <xdr:colOff>9524</xdr:colOff>
      <xdr:row>2</xdr:row>
      <xdr:rowOff>180534</xdr:rowOff>
    </xdr:to>
    <xdr:pic>
      <xdr:nvPicPr>
        <xdr:cNvPr id="7" name="Imagem 6" descr="https://cdn-icons-png.flaticon.com/512/1946/1946488.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88679"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2</xdr:row>
      <xdr:rowOff>190057</xdr:rowOff>
    </xdr:from>
    <xdr:to>
      <xdr:col>19</xdr:col>
      <xdr:colOff>295275</xdr:colOff>
      <xdr:row>4</xdr:row>
      <xdr:rowOff>85282</xdr:rowOff>
    </xdr:to>
    <xdr:sp macro="" textlink="">
      <xdr:nvSpPr>
        <xdr:cNvPr id="8" name="CaixaDeTexto 7"/>
        <xdr:cNvSpPr txBox="1"/>
      </xdr:nvSpPr>
      <xdr:spPr>
        <a:xfrm>
          <a:off x="11077575"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532572</xdr:colOff>
      <xdr:row>21</xdr:row>
      <xdr:rowOff>38100</xdr:rowOff>
    </xdr:from>
    <xdr:to>
      <xdr:col>19</xdr:col>
      <xdr:colOff>228600</xdr:colOff>
      <xdr:row>23</xdr:row>
      <xdr:rowOff>57150</xdr:rowOff>
    </xdr:to>
    <xdr:pic>
      <xdr:nvPicPr>
        <xdr:cNvPr id="13" name="Imagem 12"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5053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589722</xdr:colOff>
      <xdr:row>21</xdr:row>
      <xdr:rowOff>38100</xdr:rowOff>
    </xdr:from>
    <xdr:to>
      <xdr:col>18</xdr:col>
      <xdr:colOff>285750</xdr:colOff>
      <xdr:row>23</xdr:row>
      <xdr:rowOff>57150</xdr:rowOff>
    </xdr:to>
    <xdr:pic>
      <xdr:nvPicPr>
        <xdr:cNvPr id="14" name="Imagem 13" descr="https://cdn-icons-png.flaticon.com/512/591/591855.png">
          <a:hlinkClick xmlns:r="http://schemas.openxmlformats.org/officeDocument/2006/relationships" r:id="rId7"/>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9529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409575</xdr:colOff>
      <xdr:row>23</xdr:row>
      <xdr:rowOff>28574</xdr:rowOff>
    </xdr:from>
    <xdr:to>
      <xdr:col>19</xdr:col>
      <xdr:colOff>600075</xdr:colOff>
      <xdr:row>25</xdr:row>
      <xdr:rowOff>38099</xdr:rowOff>
    </xdr:to>
    <xdr:sp macro="" textlink="">
      <xdr:nvSpPr>
        <xdr:cNvPr id="15" name="CaixaDeTexto 14"/>
        <xdr:cNvSpPr txBox="1"/>
      </xdr:nvSpPr>
      <xdr:spPr>
        <a:xfrm>
          <a:off x="11382375" y="4410074"/>
          <a:ext cx="800100" cy="390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17</xdr:col>
      <xdr:colOff>218725</xdr:colOff>
      <xdr:row>23</xdr:row>
      <xdr:rowOff>28575</xdr:rowOff>
    </xdr:from>
    <xdr:to>
      <xdr:col>18</xdr:col>
      <xdr:colOff>521055</xdr:colOff>
      <xdr:row>24</xdr:row>
      <xdr:rowOff>162279</xdr:rowOff>
    </xdr:to>
    <xdr:sp macro="" textlink="">
      <xdr:nvSpPr>
        <xdr:cNvPr id="16" name="CaixaDeTexto 15"/>
        <xdr:cNvSpPr txBox="1"/>
      </xdr:nvSpPr>
      <xdr:spPr>
        <a:xfrm>
          <a:off x="11133669" y="4410075"/>
          <a:ext cx="944386" cy="3242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oneCellAnchor>
    <xdr:from>
      <xdr:col>5</xdr:col>
      <xdr:colOff>84667</xdr:colOff>
      <xdr:row>14</xdr:row>
      <xdr:rowOff>187430</xdr:rowOff>
    </xdr:from>
    <xdr:ext cx="2335388" cy="1154547"/>
    <xdr:sp macro="" textlink="">
      <xdr:nvSpPr>
        <xdr:cNvPr id="18" name="CaixaDeTexto 17"/>
        <xdr:cNvSpPr txBox="1"/>
      </xdr:nvSpPr>
      <xdr:spPr>
        <a:xfrm>
          <a:off x="3294945" y="2854430"/>
          <a:ext cx="2335388" cy="1154547"/>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a:t>
          </a:r>
          <a:r>
            <a:rPr lang="pt-BR" sz="1200" baseline="0">
              <a:solidFill>
                <a:schemeClr val="tx1"/>
              </a:solidFill>
              <a:effectLst/>
              <a:latin typeface="Montserrat" panose="00000500000000000000" pitchFamily="2" charset="0"/>
              <a:ea typeface="+mn-ea"/>
              <a:cs typeface="+mn-cs"/>
            </a:rPr>
            <a:t>O intervalo de 1,6-2,7% da receita bruta é uma indicação do passado mas não pode ser considerado uma garantia de que será cumprido.</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Premissas do Balanço Patrimonial</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Free cash flow to firm </a:t>
          </a:r>
        </a:p>
        <a:p>
          <a:pPr>
            <a:spcBef>
              <a:spcPts val="600"/>
            </a:spcBef>
          </a:pPr>
          <a:r>
            <a:rPr lang="pt-BR" sz="1200">
              <a:solidFill>
                <a:schemeClr val="tx1"/>
              </a:solidFill>
              <a:effectLst/>
              <a:latin typeface="Montserrat" panose="00000500000000000000" pitchFamily="2" charset="0"/>
              <a:ea typeface="+mn-ea"/>
              <a:cs typeface="+mn-cs"/>
            </a:rPr>
            <a:t>O </a:t>
          </a:r>
          <a:r>
            <a:rPr lang="pt-BR" sz="1200" b="1">
              <a:solidFill>
                <a:schemeClr val="tx1"/>
              </a:solidFill>
              <a:effectLst/>
              <a:latin typeface="Montserrat" panose="00000500000000000000" pitchFamily="2" charset="0"/>
              <a:ea typeface="+mn-ea"/>
              <a:cs typeface="+mn-cs"/>
            </a:rPr>
            <a:t>fluxo de caixa livre </a:t>
          </a:r>
          <a:r>
            <a:rPr lang="pt-BR" sz="1200">
              <a:solidFill>
                <a:schemeClr val="tx1"/>
              </a:solidFill>
              <a:effectLst/>
              <a:latin typeface="Montserrat" panose="00000500000000000000" pitchFamily="2" charset="0"/>
              <a:ea typeface="+mn-ea"/>
              <a:cs typeface="+mn-cs"/>
            </a:rPr>
            <a:t>da empresa tem sido positivo em função do controle de custo realizado nos anos de crise e, adicionalmente, pela liberação de capital de giro nos anos com a queda da receita. A queda em 2021 ocorreu em função de uma negociação comercial que impactou</a:t>
          </a:r>
          <a:r>
            <a:rPr lang="pt-BR" sz="1200" baseline="0">
              <a:solidFill>
                <a:schemeClr val="tx1"/>
              </a:solidFill>
              <a:effectLst/>
              <a:latin typeface="Montserrat" panose="00000500000000000000" pitchFamily="2" charset="0"/>
              <a:ea typeface="+mn-ea"/>
              <a:cs typeface="+mn-cs"/>
            </a:rPr>
            <a:t> o capital de giro da Companhia e que foi solucionado em 2022.</a:t>
          </a: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14</xdr:col>
      <xdr:colOff>371960</xdr:colOff>
      <xdr:row>6</xdr:row>
      <xdr:rowOff>107053</xdr:rowOff>
    </xdr:from>
    <xdr:to>
      <xdr:col>19</xdr:col>
      <xdr:colOff>600075</xdr:colOff>
      <xdr:row>18</xdr:row>
      <xdr:rowOff>144974</xdr:rowOff>
    </xdr:to>
    <xdr:pic>
      <xdr:nvPicPr>
        <xdr:cNvPr id="7" name="Imagem 6" descr="Uma imagem contendo caminhão, transporte, mesa, grande&#10;&#10;Descrição gerada automaticamente">
          <a:extLst>
            <a:ext uri="{FF2B5EF4-FFF2-40B4-BE49-F238E27FC236}">
              <a16:creationId xmlns:a16="http://schemas.microsoft.com/office/drawing/2014/main" id="{5DFA952F-EF3B-87E4-1D18-1B2498B7538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flipH="1">
          <a:off x="8906360" y="1250053"/>
          <a:ext cx="3276115" cy="2323921"/>
        </a:xfrm>
        <a:prstGeom prst="rect">
          <a:avLst/>
        </a:prstGeom>
      </xdr:spPr>
    </xdr:pic>
    <xdr:clientData/>
  </xdr:twoCellAnchor>
  <xdr:twoCellAnchor>
    <xdr:from>
      <xdr:col>12</xdr:col>
      <xdr:colOff>282516</xdr:colOff>
      <xdr:row>16</xdr:row>
      <xdr:rowOff>104775</xdr:rowOff>
    </xdr:from>
    <xdr:to>
      <xdr:col>17</xdr:col>
      <xdr:colOff>343921</xdr:colOff>
      <xdr:row>24</xdr:row>
      <xdr:rowOff>104775</xdr:rowOff>
    </xdr:to>
    <xdr:grpSp>
      <xdr:nvGrpSpPr>
        <xdr:cNvPr id="8" name="Agrupar 7">
          <a:extLst>
            <a:ext uri="{FF2B5EF4-FFF2-40B4-BE49-F238E27FC236}">
              <a16:creationId xmlns:a16="http://schemas.microsoft.com/office/drawing/2014/main" id="{91966141-CDA5-CBD8-B130-AE2A0D254A0D}"/>
            </a:ext>
          </a:extLst>
        </xdr:cNvPr>
        <xdr:cNvGrpSpPr/>
      </xdr:nvGrpSpPr>
      <xdr:grpSpPr>
        <a:xfrm>
          <a:off x="7987183" y="3152775"/>
          <a:ext cx="3271682" cy="1524000"/>
          <a:chOff x="3049304" y="9578501"/>
          <a:chExt cx="3254795" cy="1595259"/>
        </a:xfrm>
      </xdr:grpSpPr>
      <xdr:pic>
        <xdr:nvPicPr>
          <xdr:cNvPr id="9" name="Picture 5">
            <a:extLst>
              <a:ext uri="{FF2B5EF4-FFF2-40B4-BE49-F238E27FC236}">
                <a16:creationId xmlns:a16="http://schemas.microsoft.com/office/drawing/2014/main" id="{7B23D3F4-882D-AD81-F63D-20614BB2666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3049304" y="9578501"/>
            <a:ext cx="1620449" cy="1152894"/>
          </a:xfrm>
          <a:prstGeom prst="rect">
            <a:avLst/>
          </a:prstGeom>
          <a:noFill/>
        </xdr:spPr>
      </xdr:pic>
      <xdr:pic>
        <xdr:nvPicPr>
          <xdr:cNvPr id="10" name="Picture 1">
            <a:extLst>
              <a:ext uri="{FF2B5EF4-FFF2-40B4-BE49-F238E27FC236}">
                <a16:creationId xmlns:a16="http://schemas.microsoft.com/office/drawing/2014/main" id="{A6CF2776-F8CE-9163-BD42-629E4A92858D}"/>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3993952" y="9724041"/>
            <a:ext cx="1347322" cy="1220469"/>
          </a:xfrm>
          <a:prstGeom prst="rect">
            <a:avLst/>
          </a:prstGeom>
          <a:noFill/>
          <a:ln w="1">
            <a:noFill/>
            <a:miter lim="800000"/>
            <a:headEnd/>
            <a:tailEnd type="none" w="med" len="med"/>
          </a:ln>
          <a:effectLst/>
        </xdr:spPr>
      </xdr:pic>
      <xdr:pic>
        <xdr:nvPicPr>
          <xdr:cNvPr id="11" name="Picture 14" descr="Modelo 410 com Deslizador Plástico">
            <a:extLst>
              <a:ext uri="{FF2B5EF4-FFF2-40B4-BE49-F238E27FC236}">
                <a16:creationId xmlns:a16="http://schemas.microsoft.com/office/drawing/2014/main" id="{6135ACC2-5751-4E83-F6F9-36012D7A246A}"/>
              </a:ext>
            </a:extLst>
          </xdr:cNvPr>
          <xdr:cNvPicPr>
            <a:picLocks noChangeAspect="1" noChangeArrowheads="1"/>
          </xdr:cNvPicPr>
        </xdr:nvPicPr>
        <xdr:blipFill>
          <a:blip xmlns:r="http://schemas.openxmlformats.org/officeDocument/2006/relationships" r:embed="rId6" cstate="print">
            <a:clrChange>
              <a:clrFrom>
                <a:srgbClr val="FFFFFF"/>
              </a:clrFrom>
              <a:clrTo>
                <a:srgbClr val="FFFFFF">
                  <a:alpha val="0"/>
                </a:srgbClr>
              </a:clrTo>
            </a:clrChange>
          </a:blip>
          <a:srcRect/>
          <a:stretch>
            <a:fillRect/>
          </a:stretch>
        </xdr:blipFill>
        <xdr:spPr bwMode="auto">
          <a:xfrm>
            <a:off x="5061534" y="10145148"/>
            <a:ext cx="1242565" cy="1028612"/>
          </a:xfrm>
          <a:prstGeom prst="rect">
            <a:avLst/>
          </a:prstGeom>
          <a:noFill/>
        </xdr:spPr>
      </xdr:pic>
    </xdr:grpSp>
    <xdr:clientData/>
  </xdr:twoCellAnchor>
  <xdr:twoCellAnchor editAs="oneCell">
    <xdr:from>
      <xdr:col>18</xdr:col>
      <xdr:colOff>330179</xdr:colOff>
      <xdr:row>0</xdr:row>
      <xdr:rowOff>152400</xdr:rowOff>
    </xdr:from>
    <xdr:to>
      <xdr:col>19</xdr:col>
      <xdr:colOff>123824</xdr:colOff>
      <xdr:row>3</xdr:row>
      <xdr:rowOff>38100</xdr:rowOff>
    </xdr:to>
    <xdr:pic>
      <xdr:nvPicPr>
        <xdr:cNvPr id="12" name="Imagem 11" descr="https://cdn-icons-png.flaticon.com/512/1946/1946488.png">
          <a:hlinkClick xmlns:r="http://schemas.openxmlformats.org/officeDocument/2006/relationships" r:id="rId7"/>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3029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219075</xdr:colOff>
      <xdr:row>3</xdr:row>
      <xdr:rowOff>47623</xdr:rowOff>
    </xdr:from>
    <xdr:to>
      <xdr:col>19</xdr:col>
      <xdr:colOff>409575</xdr:colOff>
      <xdr:row>4</xdr:row>
      <xdr:rowOff>133348</xdr:rowOff>
    </xdr:to>
    <xdr:sp macro="" textlink="">
      <xdr:nvSpPr>
        <xdr:cNvPr id="13" name="CaixaDeTexto 12"/>
        <xdr:cNvSpPr txBox="1"/>
      </xdr:nvSpPr>
      <xdr:spPr>
        <a:xfrm>
          <a:off x="111918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389697</xdr:colOff>
      <xdr:row>20</xdr:row>
      <xdr:rowOff>85725</xdr:rowOff>
    </xdr:from>
    <xdr:to>
      <xdr:col>19</xdr:col>
      <xdr:colOff>85725</xdr:colOff>
      <xdr:row>22</xdr:row>
      <xdr:rowOff>104775</xdr:rowOff>
    </xdr:to>
    <xdr:pic>
      <xdr:nvPicPr>
        <xdr:cNvPr id="14" name="Imagem 13" descr="https://cdn-icons-png.flaticon.com/512/591/591855.png">
          <a:hlinkClick xmlns:r="http://schemas.openxmlformats.org/officeDocument/2006/relationships" r:id="rId9"/>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3624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446847</xdr:colOff>
      <xdr:row>20</xdr:row>
      <xdr:rowOff>85725</xdr:rowOff>
    </xdr:from>
    <xdr:to>
      <xdr:col>18</xdr:col>
      <xdr:colOff>142875</xdr:colOff>
      <xdr:row>22</xdr:row>
      <xdr:rowOff>104775</xdr:rowOff>
    </xdr:to>
    <xdr:pic>
      <xdr:nvPicPr>
        <xdr:cNvPr id="15" name="Imagem 14" descr="https://cdn-icons-png.flaticon.com/512/591/591855.png">
          <a:hlinkClick xmlns:r="http://schemas.openxmlformats.org/officeDocument/2006/relationships" r:id="rId11"/>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10800000">
          <a:off x="108100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266700</xdr:colOff>
      <xdr:row>22</xdr:row>
      <xdr:rowOff>76199</xdr:rowOff>
    </xdr:from>
    <xdr:to>
      <xdr:col>19</xdr:col>
      <xdr:colOff>457200</xdr:colOff>
      <xdr:row>23</xdr:row>
      <xdr:rowOff>161924</xdr:rowOff>
    </xdr:to>
    <xdr:sp macro="" textlink="">
      <xdr:nvSpPr>
        <xdr:cNvPr id="16" name="CaixaDeTexto 15"/>
        <xdr:cNvSpPr txBox="1"/>
      </xdr:nvSpPr>
      <xdr:spPr>
        <a:xfrm>
          <a:off x="1123950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17</xdr:col>
      <xdr:colOff>91723</xdr:colOff>
      <xdr:row>22</xdr:row>
      <xdr:rowOff>76199</xdr:rowOff>
    </xdr:from>
    <xdr:to>
      <xdr:col>18</xdr:col>
      <xdr:colOff>342900</xdr:colOff>
      <xdr:row>23</xdr:row>
      <xdr:rowOff>162278</xdr:rowOff>
    </xdr:to>
    <xdr:sp macro="" textlink="">
      <xdr:nvSpPr>
        <xdr:cNvPr id="17" name="CaixaDeTexto 16"/>
        <xdr:cNvSpPr txBox="1"/>
      </xdr:nvSpPr>
      <xdr:spPr>
        <a:xfrm>
          <a:off x="11006667" y="4267199"/>
          <a:ext cx="893233" cy="2765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12</xdr:col>
      <xdr:colOff>542925</xdr:colOff>
      <xdr:row>6</xdr:row>
      <xdr:rowOff>57150</xdr:rowOff>
    </xdr:from>
    <xdr:to>
      <xdr:col>18</xdr:col>
      <xdr:colOff>358975</xdr:colOff>
      <xdr:row>18</xdr:row>
      <xdr:rowOff>180975</xdr:rowOff>
    </xdr:to>
    <xdr:sp macro="" textlink="">
      <xdr:nvSpPr>
        <xdr:cNvPr id="13" name="Retângulo 12">
          <a:extLst>
            <a:ext uri="{FF2B5EF4-FFF2-40B4-BE49-F238E27FC236}">
              <a16:creationId xmlns:a16="http://schemas.microsoft.com/office/drawing/2014/main" id="{28CF6B28-4710-B3E3-DB33-D7D391D79C96}"/>
            </a:ext>
          </a:extLst>
        </xdr:cNvPr>
        <xdr:cNvSpPr/>
      </xdr:nvSpPr>
      <xdr:spPr>
        <a:xfrm>
          <a:off x="8420100" y="1200150"/>
          <a:ext cx="3473650" cy="2409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866AD641-32AC-0422-1C8E-35516F28CE59}"/>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Dividendos/JSCP</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A9BBDC6D-7412-E237-AA09-1E2BF3D0529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Histórico de proventos </a:t>
          </a:r>
          <a:r>
            <a:rPr lang="pt-BR" sz="1200" b="1" baseline="0">
              <a:solidFill>
                <a:srgbClr val="EA7423"/>
              </a:solidFill>
              <a:effectLst/>
              <a:latin typeface="Montserrat" panose="00000500000000000000" pitchFamily="2" charset="0"/>
              <a:ea typeface="+mn-ea"/>
              <a:cs typeface="+mn-cs"/>
            </a:rPr>
            <a:t>(R$ mil)</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13</xdr:col>
      <xdr:colOff>133350</xdr:colOff>
      <xdr:row>4</xdr:row>
      <xdr:rowOff>171450</xdr:rowOff>
    </xdr:from>
    <xdr:ext cx="3676649" cy="2457449"/>
    <xdr:sp macro="" textlink="">
      <xdr:nvSpPr>
        <xdr:cNvPr id="6" name="CaixaDeTexto 5"/>
        <xdr:cNvSpPr txBox="1"/>
      </xdr:nvSpPr>
      <xdr:spPr>
        <a:xfrm>
          <a:off x="8620125" y="933450"/>
          <a:ext cx="3676649" cy="2457449"/>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200">
              <a:solidFill>
                <a:schemeClr val="tx1"/>
              </a:solidFill>
              <a:effectLst/>
              <a:latin typeface="Montserrat" panose="00000500000000000000" pitchFamily="2" charset="0"/>
              <a:ea typeface="+mn-ea"/>
              <a:cs typeface="+mn-cs"/>
            </a:rPr>
            <a:t>A empresa tem uma política indicativa de distribuir pelo menos </a:t>
          </a:r>
          <a:r>
            <a:rPr lang="pt-BR" sz="1200" b="1">
              <a:solidFill>
                <a:srgbClr val="EA7423"/>
              </a:solidFill>
              <a:effectLst/>
              <a:latin typeface="Montserrat" panose="00000500000000000000" pitchFamily="2" charset="0"/>
              <a:ea typeface="+mn-ea"/>
              <a:cs typeface="+mn-cs"/>
            </a:rPr>
            <a:t>50%</a:t>
          </a:r>
          <a:r>
            <a:rPr lang="pt-BR" sz="1200">
              <a:solidFill>
                <a:schemeClr val="tx1"/>
              </a:solidFill>
              <a:effectLst/>
              <a:latin typeface="Montserrat" panose="00000500000000000000" pitchFamily="2" charset="0"/>
              <a:ea typeface="+mn-ea"/>
              <a:cs typeface="+mn-cs"/>
            </a:rPr>
            <a:t> do lucro líquido do exercício com duas antecipações em agosto e novembro. A tabela ao lado mostra o histórico da distribuição de proventos. (Número de 2023 considera dividendos complementares a serem aprovados em AGO de 2024).</a:t>
          </a:r>
        </a:p>
      </xdr:txBody>
    </xdr:sp>
    <xdr:clientData/>
  </xdr:oneCellAnchor>
  <xdr:twoCellAnchor editAs="oneCell">
    <xdr:from>
      <xdr:col>18</xdr:col>
      <xdr:colOff>320654</xdr:colOff>
      <xdr:row>0</xdr:row>
      <xdr:rowOff>142434</xdr:rowOff>
    </xdr:from>
    <xdr:to>
      <xdr:col>19</xdr:col>
      <xdr:colOff>114299</xdr:colOff>
      <xdr:row>3</xdr:row>
      <xdr:rowOff>28134</xdr:rowOff>
    </xdr:to>
    <xdr:pic>
      <xdr:nvPicPr>
        <xdr:cNvPr id="7" name="Imagem 6" descr="https://cdn-icons-png.flaticon.com/512/1946/1946488.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855429" y="1424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209550</xdr:colOff>
      <xdr:row>3</xdr:row>
      <xdr:rowOff>37657</xdr:rowOff>
    </xdr:from>
    <xdr:to>
      <xdr:col>19</xdr:col>
      <xdr:colOff>400050</xdr:colOff>
      <xdr:row>4</xdr:row>
      <xdr:rowOff>123382</xdr:rowOff>
    </xdr:to>
    <xdr:sp macro="" textlink="">
      <xdr:nvSpPr>
        <xdr:cNvPr id="8" name="CaixaDeTexto 7"/>
        <xdr:cNvSpPr txBox="1"/>
      </xdr:nvSpPr>
      <xdr:spPr>
        <a:xfrm>
          <a:off x="11744325" y="6091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218247</xdr:colOff>
      <xdr:row>20</xdr:row>
      <xdr:rowOff>57150</xdr:rowOff>
    </xdr:from>
    <xdr:to>
      <xdr:col>18</xdr:col>
      <xdr:colOff>523875</xdr:colOff>
      <xdr:row>22</xdr:row>
      <xdr:rowOff>76200</xdr:rowOff>
    </xdr:to>
    <xdr:pic>
      <xdr:nvPicPr>
        <xdr:cNvPr id="9" name="Imagem 8" descr="https://cdn-icons-png.flaticon.com/512/591/591855.png">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75302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275397</xdr:colOff>
      <xdr:row>20</xdr:row>
      <xdr:rowOff>57150</xdr:rowOff>
    </xdr:from>
    <xdr:to>
      <xdr:col>17</xdr:col>
      <xdr:colOff>581025</xdr:colOff>
      <xdr:row>22</xdr:row>
      <xdr:rowOff>76200</xdr:rowOff>
    </xdr:to>
    <xdr:pic>
      <xdr:nvPicPr>
        <xdr:cNvPr id="10" name="Imagem 9" descr="https://cdn-icons-png.flaticon.com/512/591/591855.png">
          <a:hlinkClick xmlns:r="http://schemas.openxmlformats.org/officeDocument/2006/relationships" r:id="rId7"/>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120057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22</xdr:row>
      <xdr:rowOff>47624</xdr:rowOff>
    </xdr:from>
    <xdr:to>
      <xdr:col>19</xdr:col>
      <xdr:colOff>285750</xdr:colOff>
      <xdr:row>23</xdr:row>
      <xdr:rowOff>133349</xdr:rowOff>
    </xdr:to>
    <xdr:sp macro="" textlink="">
      <xdr:nvSpPr>
        <xdr:cNvPr id="11" name="CaixaDeTexto 10"/>
        <xdr:cNvSpPr txBox="1"/>
      </xdr:nvSpPr>
      <xdr:spPr>
        <a:xfrm>
          <a:off x="11630025" y="44767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Próximo</a:t>
          </a:r>
        </a:p>
      </xdr:txBody>
    </xdr:sp>
    <xdr:clientData/>
  </xdr:twoCellAnchor>
  <xdr:twoCellAnchor>
    <xdr:from>
      <xdr:col>16</xdr:col>
      <xdr:colOff>590550</xdr:colOff>
      <xdr:row>22</xdr:row>
      <xdr:rowOff>47624</xdr:rowOff>
    </xdr:from>
    <xdr:to>
      <xdr:col>18</xdr:col>
      <xdr:colOff>171450</xdr:colOff>
      <xdr:row>23</xdr:row>
      <xdr:rowOff>133349</xdr:rowOff>
    </xdr:to>
    <xdr:sp macro="" textlink="">
      <xdr:nvSpPr>
        <xdr:cNvPr id="12" name="CaixaDeTexto 11"/>
        <xdr:cNvSpPr txBox="1"/>
      </xdr:nvSpPr>
      <xdr:spPr>
        <a:xfrm>
          <a:off x="10906125" y="44767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twoCellAnchor editAs="oneCell">
    <xdr:from>
      <xdr:col>13</xdr:col>
      <xdr:colOff>238124</xdr:colOff>
      <xdr:row>13</xdr:row>
      <xdr:rowOff>9523</xdr:rowOff>
    </xdr:from>
    <xdr:to>
      <xdr:col>14</xdr:col>
      <xdr:colOff>515999</xdr:colOff>
      <xdr:row>17</xdr:row>
      <xdr:rowOff>134998</xdr:rowOff>
    </xdr:to>
    <xdr:pic>
      <xdr:nvPicPr>
        <xdr:cNvPr id="14" name="Imagem 13" descr="https://cdn-icons-png.flaticon.com/512/4256/4256832.png"/>
        <xdr:cNvPicPr>
          <a:picLocks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724899" y="2486023"/>
          <a:ext cx="887475" cy="88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529166</xdr:colOff>
      <xdr:row>13</xdr:row>
      <xdr:rowOff>10583</xdr:rowOff>
    </xdr:from>
    <xdr:ext cx="1905001" cy="1612195"/>
    <xdr:sp macro="" textlink="">
      <xdr:nvSpPr>
        <xdr:cNvPr id="15" name="CaixaDeTexto 14"/>
        <xdr:cNvSpPr txBox="1"/>
      </xdr:nvSpPr>
      <xdr:spPr>
        <a:xfrm>
          <a:off x="6208888" y="2663472"/>
          <a:ext cx="1905001" cy="1612195"/>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200" b="1">
              <a:solidFill>
                <a:srgbClr val="EA7423"/>
              </a:solidFill>
              <a:effectLst/>
              <a:latin typeface="Montserrat" panose="00000500000000000000" pitchFamily="2" charset="0"/>
              <a:ea typeface="+mn-ea"/>
              <a:cs typeface="+mn-cs"/>
            </a:rPr>
            <a:t>Para fins de projeção</a:t>
          </a:r>
          <a:r>
            <a:rPr lang="pt-BR" sz="1200" b="0" baseline="0">
              <a:solidFill>
                <a:schemeClr val="tx1"/>
              </a:solidFill>
              <a:effectLst/>
              <a:latin typeface="Montserrat" panose="00000500000000000000" pitchFamily="2" charset="0"/>
              <a:ea typeface="+mn-ea"/>
              <a:cs typeface="+mn-cs"/>
            </a:rPr>
            <a:t> Não há como sugerir nenhum padrão de payout futuro para a empresa, exceto pela política indicativa</a:t>
          </a:r>
          <a:r>
            <a:rPr lang="pt-BR" sz="1200" baseline="0">
              <a:solidFill>
                <a:schemeClr val="tx1"/>
              </a:solidFill>
              <a:effectLst/>
              <a:latin typeface="Montserrat" panose="00000500000000000000" pitchFamily="2" charset="0"/>
              <a:ea typeface="+mn-ea"/>
              <a:cs typeface="+mn-cs"/>
            </a:rPr>
            <a: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twoCellAnchor editAs="oneCell">
    <xdr:from>
      <xdr:col>1</xdr:col>
      <xdr:colOff>19050</xdr:colOff>
      <xdr:row>0</xdr:row>
      <xdr:rowOff>0</xdr:rowOff>
    </xdr:from>
    <xdr:to>
      <xdr:col>15</xdr:col>
      <xdr:colOff>354675</xdr:colOff>
      <xdr:row>24</xdr:row>
      <xdr:rowOff>172392</xdr:rowOff>
    </xdr:to>
    <xdr:pic>
      <xdr:nvPicPr>
        <xdr:cNvPr id="35" name="Imagem 34"/>
        <xdr:cNvPicPr>
          <a:picLocks noChangeAspect="1"/>
        </xdr:cNvPicPr>
      </xdr:nvPicPr>
      <xdr:blipFill rotWithShape="1">
        <a:blip xmlns:r="http://schemas.openxmlformats.org/officeDocument/2006/relationships" r:embed="rId1"/>
        <a:srcRect r="6817" b="12157"/>
        <a:stretch/>
      </xdr:blipFill>
      <xdr:spPr>
        <a:xfrm>
          <a:off x="628650" y="0"/>
          <a:ext cx="9432000" cy="4744392"/>
        </a:xfrm>
        <a:prstGeom prst="rect">
          <a:avLst/>
        </a:prstGeom>
      </xdr:spPr>
    </xdr:pic>
    <xdr:clientData/>
  </xdr:twoCellAnchor>
  <xdr:twoCellAnchor editAs="oneCell">
    <xdr:from>
      <xdr:col>18</xdr:col>
      <xdr:colOff>301604</xdr:colOff>
      <xdr:row>1</xdr:row>
      <xdr:rowOff>19050</xdr:rowOff>
    </xdr:from>
    <xdr:to>
      <xdr:col>19</xdr:col>
      <xdr:colOff>95249</xdr:colOff>
      <xdr:row>3</xdr:row>
      <xdr:rowOff>95250</xdr:rowOff>
    </xdr:to>
    <xdr:pic>
      <xdr:nvPicPr>
        <xdr:cNvPr id="3" name="Imagem 2" descr="https://cdn-icons-png.flaticon.com/512/1946/1946488.png">
          <a:hlinkClick xmlns:r="http://schemas.openxmlformats.org/officeDocument/2006/relationships" r:id="rId2"/>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1836379" y="2095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104773</xdr:rowOff>
    </xdr:from>
    <xdr:to>
      <xdr:col>19</xdr:col>
      <xdr:colOff>381000</xdr:colOff>
      <xdr:row>4</xdr:row>
      <xdr:rowOff>190498</xdr:rowOff>
    </xdr:to>
    <xdr:sp macro="" textlink="">
      <xdr:nvSpPr>
        <xdr:cNvPr id="4" name="CaixaDeTexto 3"/>
        <xdr:cNvSpPr txBox="1"/>
      </xdr:nvSpPr>
      <xdr:spPr>
        <a:xfrm>
          <a:off x="11725275" y="6762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237297</xdr:colOff>
      <xdr:row>19</xdr:row>
      <xdr:rowOff>47625</xdr:rowOff>
    </xdr:from>
    <xdr:to>
      <xdr:col>18</xdr:col>
      <xdr:colOff>542925</xdr:colOff>
      <xdr:row>21</xdr:row>
      <xdr:rowOff>66675</xdr:rowOff>
    </xdr:to>
    <xdr:pic>
      <xdr:nvPicPr>
        <xdr:cNvPr id="6" name="Imagem 5" descr="https://cdn-icons-png.flaticon.com/512/591/591855.png">
          <a:hlinkClick xmlns:r="http://schemas.openxmlformats.org/officeDocument/2006/relationships" r:id="rId4"/>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rot="10800000">
          <a:off x="11772072" y="39052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552450</xdr:colOff>
      <xdr:row>21</xdr:row>
      <xdr:rowOff>38099</xdr:rowOff>
    </xdr:from>
    <xdr:to>
      <xdr:col>19</xdr:col>
      <xdr:colOff>133350</xdr:colOff>
      <xdr:row>22</xdr:row>
      <xdr:rowOff>123824</xdr:rowOff>
    </xdr:to>
    <xdr:sp macro="" textlink="">
      <xdr:nvSpPr>
        <xdr:cNvPr id="8" name="CaixaDeTexto 7"/>
        <xdr:cNvSpPr txBox="1"/>
      </xdr:nvSpPr>
      <xdr:spPr>
        <a:xfrm>
          <a:off x="11477625" y="42767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Anterior</a:t>
          </a: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I/S&#201;RIE%20HIST&#211;RICA/S&#233;rie%20historica-notas%20explicativa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nu"/>
      <sheetName val="Análise Rápida"/>
      <sheetName val="Dados Operacionais Auto"/>
      <sheetName val="BP"/>
      <sheetName val="DRE"/>
      <sheetName val="Auto"/>
      <sheetName val="LI"/>
      <sheetName val="Consolidado"/>
      <sheetName val="DFC"/>
      <sheetName val="DVA"/>
      <sheetName val="DMPL"/>
      <sheetName val="Indicadores"/>
      <sheetName val="Dividendos"/>
      <sheetName val="Estimativas"/>
      <sheetName val="Dados Mercado"/>
      <sheetName val="Anexos"/>
      <sheetName val="Análise de Sensibilidade"/>
      <sheetName val="Risco de Liquidez"/>
      <sheetName val="Gestão de Capital"/>
      <sheetName val="Caixa e Equivalente de Caixa"/>
      <sheetName val="Contas a Receber"/>
      <sheetName val="Contas a Receber Aging"/>
      <sheetName val="Contas a Receber Mov PDD"/>
      <sheetName val="Demais Contas a Receber"/>
      <sheetName val="Impostos a Recuperar"/>
      <sheetName val="Investimentos A"/>
      <sheetName val="Investimentos C"/>
      <sheetName val="Investimentos E"/>
      <sheetName val="Investimentos F"/>
      <sheetName val="Imobilizado "/>
      <sheetName val="Empréstimos e Financiamentos"/>
      <sheetName val="Intangível"/>
      <sheetName val="Salários e Encargos Sociais"/>
      <sheetName val="Riscos Judiciais"/>
      <sheetName val="Despesas de IR e CSLL"/>
      <sheetName val="IR e CS Diferidos"/>
      <sheetName val="Demais Contas a Pagar"/>
      <sheetName val="Outras receitas e despesas"/>
      <sheetName val="Receita"/>
      <sheetName val="Despesas por Natureza"/>
      <sheetName val="Despesas por Natureza 1"/>
      <sheetName val="Resultado Financeiro"/>
      <sheetName val="Remuneração Administração"/>
      <sheetName val="Arrendamento Operacional"/>
      <sheetName val="Partes Relacionadas"/>
      <sheetName val="Direito de Uso"/>
      <sheetName val="Arrendamento Mercantil"/>
      <sheetName val="Operações Descontinuadas"/>
    </sheetNames>
    <sheetDataSet>
      <sheetData sheetId="0"/>
      <sheetData sheetId="1"/>
      <sheetData sheetId="2"/>
      <sheetData sheetId="3"/>
      <sheetData sheetId="4"/>
      <sheetData sheetId="5"/>
      <sheetData sheetId="6"/>
      <sheetData sheetId="7"/>
      <sheetData sheetId="8"/>
      <sheetData sheetId="9"/>
      <sheetData sheetId="10"/>
      <sheetData sheetId="11"/>
      <sheetData sheetId="12">
        <row r="6">
          <cell r="L6">
            <v>7.463775370321013E-2</v>
          </cell>
          <cell r="M6">
            <v>0.82059518303396994</v>
          </cell>
        </row>
      </sheetData>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mailto:felipe.silva@tegma.com.br" TargetMode="External"/><Relationship Id="rId1" Type="http://schemas.openxmlformats.org/officeDocument/2006/relationships/hyperlink" Target="mailto:ian.nunes@tegma.com.br"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5.xml"/><Relationship Id="rId1" Type="http://schemas.openxmlformats.org/officeDocument/2006/relationships/printerSettings" Target="../printerSettings/printerSettings15.bin"/><Relationship Id="rId4" Type="http://schemas.openxmlformats.org/officeDocument/2006/relationships/comments" Target="../comments1.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7.xml"/><Relationship Id="rId1" Type="http://schemas.openxmlformats.org/officeDocument/2006/relationships/printerSettings" Target="../printerSettings/printerSettings17.bin"/><Relationship Id="rId4" Type="http://schemas.openxmlformats.org/officeDocument/2006/relationships/comments" Target="../comments2.xml"/></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8.xml"/><Relationship Id="rId1" Type="http://schemas.openxmlformats.org/officeDocument/2006/relationships/printerSettings" Target="../printerSettings/printerSettings18.bin"/><Relationship Id="rId4" Type="http://schemas.openxmlformats.org/officeDocument/2006/relationships/comments" Target="../comments3.xml"/></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9.xml"/><Relationship Id="rId1" Type="http://schemas.openxmlformats.org/officeDocument/2006/relationships/printerSettings" Target="../printerSettings/printerSettings19.bin"/><Relationship Id="rId4" Type="http://schemas.openxmlformats.org/officeDocument/2006/relationships/comments" Target="../comments4.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abSelected="1" zoomScale="77" zoomScaleNormal="90" workbookViewId="0">
      <selection activeCell="T25" sqref="T25"/>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B5" s="5"/>
      <c r="C5" s="5"/>
      <c r="D5" s="5"/>
      <c r="E5" s="5"/>
      <c r="F5" s="5"/>
      <c r="G5" s="5"/>
      <c r="H5" s="5"/>
      <c r="I5" s="5"/>
      <c r="J5" s="5"/>
      <c r="K5" s="5"/>
      <c r="L5" s="5"/>
      <c r="M5" s="5"/>
      <c r="N5" s="5"/>
      <c r="O5" s="5"/>
      <c r="P5" s="5"/>
      <c r="Q5" s="5"/>
      <c r="R5" s="5"/>
      <c r="S5" s="5"/>
      <c r="T5" s="6"/>
    </row>
    <row r="6" spans="1:20" ht="15" customHeight="1">
      <c r="A6" s="4"/>
      <c r="B6" s="5"/>
      <c r="C6" s="5"/>
      <c r="D6" s="5"/>
      <c r="E6" s="5"/>
      <c r="F6" s="5"/>
      <c r="G6" s="5"/>
      <c r="H6" s="5"/>
      <c r="I6" s="5"/>
      <c r="J6" s="5"/>
      <c r="K6" s="5"/>
      <c r="L6" s="5"/>
      <c r="M6" s="5"/>
      <c r="N6" s="5"/>
      <c r="O6" s="5"/>
      <c r="P6" s="5"/>
      <c r="Q6" s="5"/>
      <c r="R6" s="5"/>
      <c r="S6" s="5"/>
      <c r="T6" s="6"/>
    </row>
    <row r="7" spans="1:20" ht="15" customHeight="1">
      <c r="A7" s="4"/>
      <c r="B7" s="5"/>
      <c r="C7" s="5"/>
      <c r="D7" s="5"/>
      <c r="E7" s="5"/>
      <c r="F7" s="5"/>
      <c r="G7" s="5"/>
      <c r="H7" s="5"/>
      <c r="I7" s="5"/>
      <c r="J7" s="5"/>
      <c r="K7" s="5"/>
      <c r="L7" s="5"/>
      <c r="M7" s="5"/>
      <c r="N7" s="5"/>
      <c r="O7" s="5"/>
      <c r="P7" s="5"/>
      <c r="Q7" s="5"/>
      <c r="R7" s="5"/>
      <c r="S7" s="5"/>
      <c r="T7" s="6"/>
    </row>
    <row r="8" spans="1:20" ht="15" customHeight="1">
      <c r="A8" s="4"/>
      <c r="B8" s="5"/>
      <c r="C8" s="5"/>
      <c r="D8" s="5"/>
      <c r="E8" s="5"/>
      <c r="F8" s="5"/>
      <c r="G8" s="5"/>
      <c r="H8" s="10" t="s">
        <v>0</v>
      </c>
      <c r="I8" s="5"/>
      <c r="J8" s="5"/>
      <c r="K8" s="5"/>
      <c r="L8" s="5"/>
      <c r="M8" s="5"/>
      <c r="N8" s="5"/>
      <c r="O8" s="5"/>
      <c r="P8" s="5"/>
      <c r="Q8" s="5"/>
      <c r="R8" s="5"/>
      <c r="S8" s="5"/>
      <c r="T8" s="6"/>
    </row>
    <row r="9" spans="1:20" ht="15" customHeight="1">
      <c r="A9" s="4"/>
      <c r="B9" s="5"/>
      <c r="C9" s="5"/>
      <c r="D9" s="5"/>
      <c r="E9" s="5"/>
      <c r="F9" s="5"/>
      <c r="G9" s="5"/>
      <c r="H9" s="11"/>
      <c r="I9" s="5"/>
      <c r="J9" s="5"/>
      <c r="K9" s="5"/>
      <c r="L9" s="5"/>
      <c r="M9" s="5"/>
      <c r="N9" s="5"/>
      <c r="O9" s="5"/>
      <c r="P9" s="5"/>
      <c r="Q9" s="5"/>
      <c r="R9" s="5"/>
      <c r="S9" s="5"/>
      <c r="T9" s="6"/>
    </row>
    <row r="10" spans="1:20" ht="15" customHeight="1">
      <c r="A10" s="4"/>
      <c r="B10" s="5"/>
      <c r="C10" s="5"/>
      <c r="D10" s="5"/>
      <c r="E10" s="5"/>
      <c r="F10" s="5"/>
      <c r="G10" s="5"/>
      <c r="H10" s="5"/>
      <c r="I10" s="5"/>
      <c r="J10" s="5"/>
      <c r="K10" s="5"/>
      <c r="L10" s="5"/>
      <c r="M10" s="5"/>
      <c r="N10" s="5"/>
      <c r="O10" s="5"/>
      <c r="P10" s="5"/>
      <c r="Q10" s="5"/>
      <c r="R10" s="5"/>
      <c r="S10" s="5"/>
      <c r="T10" s="6"/>
    </row>
    <row r="11" spans="1:20" ht="15" customHeight="1">
      <c r="A11" s="4"/>
      <c r="B11" s="5"/>
      <c r="C11" s="5"/>
      <c r="D11" s="5"/>
      <c r="E11" s="5"/>
      <c r="F11" s="5"/>
      <c r="G11" s="5"/>
      <c r="H11" s="5"/>
      <c r="I11" s="5"/>
      <c r="J11" s="5"/>
      <c r="K11" s="5"/>
      <c r="L11" s="5"/>
      <c r="M11" s="5"/>
      <c r="N11" s="5"/>
      <c r="O11" s="5"/>
      <c r="P11" s="5"/>
      <c r="Q11" s="5"/>
      <c r="R11" s="5"/>
      <c r="S11" s="5"/>
      <c r="T11" s="6"/>
    </row>
    <row r="12" spans="1:20" ht="15" customHeight="1">
      <c r="A12" s="4"/>
      <c r="B12" s="5"/>
      <c r="C12" s="5"/>
      <c r="D12" s="5"/>
      <c r="E12" s="5"/>
      <c r="F12" s="5"/>
      <c r="G12" s="5"/>
      <c r="H12" s="5"/>
      <c r="I12" s="5"/>
      <c r="J12" s="5"/>
      <c r="K12" s="5"/>
      <c r="L12" s="5"/>
      <c r="M12" s="5"/>
      <c r="N12" s="5"/>
      <c r="O12" s="5"/>
      <c r="P12" s="5"/>
      <c r="Q12" s="5"/>
      <c r="R12" s="5"/>
      <c r="S12" s="5"/>
      <c r="T12" s="6"/>
    </row>
    <row r="13" spans="1:20" ht="15" customHeight="1">
      <c r="A13" s="4"/>
      <c r="B13" s="5"/>
      <c r="C13" s="5"/>
      <c r="D13" s="5"/>
      <c r="E13" s="5"/>
      <c r="F13" s="5"/>
      <c r="G13" s="5"/>
      <c r="H13" s="5"/>
      <c r="I13" s="5"/>
      <c r="J13" s="5"/>
      <c r="K13" s="5"/>
      <c r="L13" s="5"/>
      <c r="M13" s="5"/>
      <c r="N13" s="5"/>
      <c r="O13" s="5"/>
      <c r="P13" s="5"/>
      <c r="Q13" s="5"/>
      <c r="R13" s="5"/>
      <c r="S13" s="5"/>
      <c r="T13" s="6"/>
    </row>
    <row r="14" spans="1:20" ht="15" customHeight="1">
      <c r="A14" s="4"/>
      <c r="B14" s="5"/>
      <c r="C14" s="5"/>
      <c r="D14" s="5"/>
      <c r="E14" s="5"/>
      <c r="F14" s="5"/>
      <c r="G14" s="5"/>
      <c r="H14" s="5"/>
      <c r="I14" s="5"/>
      <c r="J14" s="5"/>
      <c r="K14" s="5"/>
      <c r="L14" s="5"/>
      <c r="M14" s="5"/>
      <c r="N14" s="5"/>
      <c r="O14" s="5"/>
      <c r="P14" s="5"/>
      <c r="Q14" s="5"/>
      <c r="R14" s="5"/>
      <c r="S14" s="5"/>
      <c r="T14" s="6"/>
    </row>
    <row r="15" spans="1:20" ht="15" customHeight="1">
      <c r="A15" s="4"/>
      <c r="B15" s="5"/>
      <c r="C15" s="5"/>
      <c r="D15" s="5"/>
      <c r="E15" s="5"/>
      <c r="F15" s="5"/>
      <c r="G15" s="5"/>
      <c r="H15" s="5"/>
      <c r="I15" s="5"/>
      <c r="J15" s="5"/>
      <c r="K15" s="5"/>
      <c r="L15" s="5"/>
      <c r="M15" s="5"/>
      <c r="N15" s="5"/>
      <c r="O15" s="5"/>
      <c r="P15" s="5"/>
      <c r="Q15" s="5"/>
      <c r="R15" s="5"/>
      <c r="S15" s="5"/>
      <c r="T15" s="6"/>
    </row>
    <row r="16" spans="1:20" ht="15" customHeight="1">
      <c r="A16" s="4"/>
      <c r="B16" s="5"/>
      <c r="C16" s="5"/>
      <c r="D16" s="5"/>
      <c r="E16" s="5"/>
      <c r="F16" s="5"/>
      <c r="G16" s="5"/>
      <c r="H16" s="5"/>
      <c r="I16" s="5"/>
      <c r="J16" s="5"/>
      <c r="K16" s="5"/>
      <c r="L16" s="5"/>
      <c r="M16" s="5"/>
      <c r="N16" s="5"/>
      <c r="O16" s="5"/>
      <c r="P16" s="5"/>
      <c r="Q16" s="5"/>
      <c r="R16" s="5"/>
      <c r="S16" s="5"/>
      <c r="T16" s="6"/>
    </row>
    <row r="17" spans="1:20" ht="15" customHeight="1">
      <c r="A17" s="4"/>
      <c r="B17" s="5"/>
      <c r="C17" s="5"/>
      <c r="D17" s="5"/>
      <c r="E17" s="5"/>
      <c r="F17" s="5"/>
      <c r="G17" s="5"/>
      <c r="H17" s="5"/>
      <c r="I17" s="5"/>
      <c r="J17" s="5"/>
      <c r="K17" s="5"/>
      <c r="L17" s="5"/>
      <c r="M17" s="5"/>
      <c r="N17" s="5"/>
      <c r="O17" s="5"/>
      <c r="P17" s="5"/>
      <c r="Q17" s="5"/>
      <c r="R17" s="5"/>
      <c r="S17" s="5"/>
      <c r="T17" s="6"/>
    </row>
    <row r="18" spans="1:20" ht="15" customHeight="1">
      <c r="A18" s="4"/>
      <c r="B18" s="5"/>
      <c r="C18" s="5"/>
      <c r="D18" s="5"/>
      <c r="E18" s="5"/>
      <c r="F18" s="5"/>
      <c r="G18" s="5"/>
      <c r="H18" s="5"/>
      <c r="I18" s="5"/>
      <c r="J18" s="5"/>
      <c r="K18" s="5"/>
      <c r="L18" s="5"/>
      <c r="M18" s="5"/>
      <c r="N18" s="5"/>
      <c r="O18" s="5"/>
      <c r="P18" s="5"/>
      <c r="Q18" s="5"/>
      <c r="R18" s="5"/>
      <c r="S18" s="5"/>
      <c r="T18" s="6"/>
    </row>
    <row r="19" spans="1:20" ht="15" customHeight="1">
      <c r="A19" s="4"/>
      <c r="B19" s="5"/>
      <c r="C19" s="5"/>
      <c r="D19" s="5"/>
      <c r="E19" s="5"/>
      <c r="F19" s="5"/>
      <c r="G19" s="5"/>
      <c r="H19" s="5"/>
      <c r="I19" s="5"/>
      <c r="J19" s="5"/>
      <c r="K19" s="5"/>
      <c r="L19" s="5"/>
      <c r="M19" s="5"/>
      <c r="N19" s="5"/>
      <c r="O19" s="5"/>
      <c r="P19" s="5"/>
      <c r="Q19" s="5"/>
      <c r="R19" s="5"/>
      <c r="S19" s="5"/>
      <c r="T19" s="6"/>
    </row>
    <row r="20" spans="1:20" ht="15" customHeight="1">
      <c r="A20" s="4"/>
      <c r="B20" s="5"/>
      <c r="C20" s="5"/>
      <c r="D20" s="5"/>
      <c r="E20" s="5"/>
      <c r="F20" s="5"/>
      <c r="G20" s="5"/>
      <c r="H20" s="5"/>
      <c r="I20" s="5"/>
      <c r="J20" s="5"/>
      <c r="K20" s="5"/>
      <c r="L20" s="5"/>
      <c r="M20" s="5"/>
      <c r="N20" s="5"/>
      <c r="O20" s="5"/>
      <c r="P20" s="5"/>
      <c r="Q20" s="5"/>
      <c r="R20" s="5"/>
      <c r="S20" s="5"/>
      <c r="T20" s="6"/>
    </row>
    <row r="21" spans="1:20" ht="15" customHeight="1">
      <c r="A21" s="4"/>
      <c r="B21" s="5"/>
      <c r="C21" s="5"/>
      <c r="D21" s="5"/>
      <c r="E21" s="5"/>
      <c r="F21" s="5"/>
      <c r="G21" s="5"/>
      <c r="H21" s="5"/>
      <c r="I21" s="5"/>
      <c r="J21" s="5"/>
      <c r="K21" s="5"/>
      <c r="L21" s="5"/>
      <c r="M21" s="5"/>
      <c r="N21" s="5"/>
      <c r="O21" s="5"/>
      <c r="P21" s="5"/>
      <c r="Q21" s="5"/>
      <c r="R21" s="5"/>
      <c r="S21" s="5"/>
      <c r="T21" s="6"/>
    </row>
    <row r="22" spans="1:20" ht="15" customHeight="1">
      <c r="A22" s="4"/>
      <c r="B22" s="5"/>
      <c r="C22" s="5"/>
      <c r="D22" s="5"/>
      <c r="E22" s="5"/>
      <c r="F22" s="5"/>
      <c r="G22" s="5"/>
      <c r="H22" s="5"/>
      <c r="I22" s="5"/>
      <c r="J22" s="5"/>
      <c r="K22" s="5"/>
      <c r="L22" s="5"/>
      <c r="M22" s="5"/>
      <c r="N22" s="5"/>
      <c r="O22" s="5"/>
      <c r="P22" s="5"/>
      <c r="Q22" s="5"/>
      <c r="R22" s="5"/>
      <c r="S22" s="5"/>
      <c r="T22" s="6"/>
    </row>
    <row r="23" spans="1:20" ht="15" customHeight="1">
      <c r="A23" s="4"/>
      <c r="B23" s="5"/>
      <c r="C23" s="5"/>
      <c r="D23" s="5"/>
      <c r="E23" s="5"/>
      <c r="F23" s="5"/>
      <c r="G23" s="5"/>
      <c r="H23" s="5"/>
      <c r="I23" s="5"/>
      <c r="J23" s="5"/>
      <c r="K23" s="5"/>
      <c r="L23" s="5"/>
      <c r="M23" s="5"/>
      <c r="N23" s="5"/>
      <c r="O23" s="5"/>
      <c r="P23" s="5"/>
      <c r="Q23" s="5"/>
      <c r="R23" s="5"/>
      <c r="S23" s="5"/>
      <c r="T23" s="6"/>
    </row>
    <row r="24" spans="1:20" ht="15" customHeight="1">
      <c r="A24" s="4"/>
      <c r="B24" s="5"/>
      <c r="C24" s="5"/>
      <c r="D24" s="5"/>
      <c r="E24" s="5"/>
      <c r="F24" s="5"/>
      <c r="G24" s="5"/>
      <c r="H24" s="5"/>
      <c r="I24" s="5"/>
      <c r="J24" s="5"/>
      <c r="K24" s="5"/>
      <c r="L24" s="5"/>
      <c r="M24" s="5"/>
      <c r="N24" s="5"/>
      <c r="O24" s="5"/>
      <c r="P24" s="5"/>
      <c r="Q24" s="5"/>
      <c r="R24" s="5"/>
      <c r="S24" s="5"/>
      <c r="T24" s="6"/>
    </row>
    <row r="25" spans="1:20" ht="15" customHeight="1" thickBot="1">
      <c r="A25" s="7"/>
      <c r="B25" s="8"/>
      <c r="C25" s="8"/>
      <c r="D25" s="8"/>
      <c r="E25" s="8"/>
      <c r="F25" s="8"/>
      <c r="G25" s="8"/>
      <c r="H25" s="8"/>
      <c r="I25" s="8"/>
      <c r="J25" s="8"/>
      <c r="K25" s="8"/>
      <c r="L25" s="8"/>
      <c r="M25" s="8"/>
      <c r="N25" s="8"/>
      <c r="O25" s="8"/>
      <c r="P25" s="8"/>
      <c r="Q25" s="8"/>
      <c r="R25" s="8"/>
      <c r="S25" s="8"/>
      <c r="T25" s="9"/>
    </row>
  </sheetData>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showRowColHeaders="0" zoomScale="90" zoomScaleNormal="90" workbookViewId="0">
      <selection activeCell="P14" sqref="P14"/>
    </sheetView>
  </sheetViews>
  <sheetFormatPr defaultColWidth="0" defaultRowHeight="15" customHeight="1" zeroHeight="1"/>
  <cols>
    <col min="1" max="20" width="9.1796875" customWidth="1"/>
    <col min="21" max="16383" width="9.1796875" hidden="1"/>
    <col min="16384" max="16384" width="0.54296875" customWidth="1"/>
  </cols>
  <sheetData>
    <row r="1" spans="1:20" thickTop="1">
      <c r="A1" s="1"/>
      <c r="B1" s="2"/>
      <c r="C1" s="2"/>
      <c r="D1" s="2"/>
      <c r="E1" s="2"/>
      <c r="F1" s="2"/>
      <c r="G1" s="2"/>
      <c r="H1" s="2"/>
      <c r="I1" s="2"/>
      <c r="J1" s="2"/>
      <c r="K1" s="2"/>
      <c r="L1" s="2"/>
      <c r="M1" s="2"/>
      <c r="N1" s="2"/>
      <c r="O1" s="2"/>
      <c r="P1" s="2"/>
      <c r="Q1" s="2"/>
      <c r="R1" s="2"/>
      <c r="S1" s="2"/>
      <c r="T1" s="23" t="s">
        <v>100</v>
      </c>
    </row>
    <row r="2" spans="1:20" ht="14.5">
      <c r="A2" s="4"/>
      <c r="B2" s="5"/>
      <c r="C2" s="5"/>
      <c r="D2" s="5"/>
      <c r="E2" s="5"/>
      <c r="F2" s="5"/>
      <c r="G2" s="5"/>
      <c r="H2" s="5"/>
      <c r="I2" s="5"/>
      <c r="J2" s="5"/>
      <c r="K2" s="5"/>
      <c r="L2" s="5"/>
      <c r="M2" s="5"/>
      <c r="N2" s="5"/>
      <c r="O2" s="5"/>
      <c r="P2" s="5"/>
      <c r="Q2" s="5"/>
      <c r="R2" s="5"/>
      <c r="S2" s="5"/>
      <c r="T2" s="6"/>
    </row>
    <row r="3" spans="1:20" ht="14.5">
      <c r="A3" s="4"/>
      <c r="B3" s="5"/>
      <c r="C3" s="5"/>
      <c r="D3" s="5"/>
      <c r="E3" s="5"/>
      <c r="F3" s="5"/>
      <c r="G3" s="5"/>
      <c r="H3" s="5"/>
      <c r="I3" s="5"/>
      <c r="J3" s="5"/>
      <c r="K3" s="5"/>
      <c r="L3" s="5"/>
      <c r="M3" s="5"/>
      <c r="N3" s="5"/>
      <c r="O3" s="5"/>
      <c r="P3" s="5"/>
      <c r="Q3" s="5"/>
      <c r="R3" s="5"/>
      <c r="S3" s="5"/>
      <c r="T3" s="6"/>
    </row>
    <row r="4" spans="1:20" ht="14.5">
      <c r="A4" s="4"/>
      <c r="B4" s="5"/>
      <c r="C4" s="5"/>
      <c r="D4" s="5"/>
      <c r="E4" s="5"/>
      <c r="F4" s="5"/>
      <c r="G4" s="5"/>
      <c r="H4" s="5"/>
      <c r="I4" s="5"/>
      <c r="J4" s="5"/>
      <c r="K4" s="5"/>
      <c r="L4" s="5"/>
      <c r="M4" s="5"/>
      <c r="N4" s="5"/>
      <c r="O4" s="5"/>
      <c r="P4" s="5"/>
      <c r="Q4" s="5"/>
      <c r="R4" s="5"/>
      <c r="S4" s="5"/>
      <c r="T4" s="6"/>
    </row>
    <row r="5" spans="1:20" ht="14.5">
      <c r="A5" s="4"/>
      <c r="B5" s="5"/>
      <c r="C5" s="5"/>
      <c r="D5" s="5"/>
      <c r="E5" s="5"/>
      <c r="F5" s="5"/>
      <c r="G5" s="5"/>
      <c r="H5" s="5"/>
      <c r="I5" s="5"/>
      <c r="J5" s="5"/>
      <c r="K5" s="5"/>
      <c r="L5" s="5"/>
      <c r="M5" s="5"/>
      <c r="N5" s="5"/>
      <c r="O5" s="5"/>
      <c r="P5" s="5"/>
      <c r="Q5" s="5"/>
      <c r="R5" s="5"/>
      <c r="S5" s="5"/>
      <c r="T5" s="6"/>
    </row>
    <row r="6" spans="1:20" ht="14.5">
      <c r="A6" s="4"/>
      <c r="B6" s="5"/>
      <c r="C6" s="5"/>
      <c r="D6" s="5"/>
      <c r="E6" s="5"/>
      <c r="F6" s="5"/>
      <c r="G6" s="5"/>
      <c r="H6" s="5"/>
      <c r="I6" s="5"/>
      <c r="J6" s="5"/>
      <c r="K6" s="5"/>
      <c r="L6" s="5"/>
      <c r="M6" s="5"/>
      <c r="N6" s="5"/>
      <c r="O6" s="5"/>
      <c r="P6" s="5"/>
      <c r="Q6" s="5"/>
      <c r="R6" s="5"/>
      <c r="S6" s="5"/>
      <c r="T6" s="6"/>
    </row>
    <row r="7" spans="1:20" thickBot="1">
      <c r="A7" s="4"/>
      <c r="B7" s="5"/>
      <c r="C7" s="5"/>
      <c r="D7" s="5"/>
      <c r="E7" s="5"/>
      <c r="F7" s="5"/>
      <c r="G7" s="5"/>
      <c r="H7" s="5"/>
      <c r="I7" s="5"/>
      <c r="J7" s="5"/>
      <c r="K7" s="5"/>
      <c r="L7" s="5"/>
      <c r="M7" s="5"/>
      <c r="N7" s="5"/>
      <c r="O7" s="5"/>
      <c r="P7" s="5"/>
      <c r="Q7" s="5"/>
      <c r="R7" s="5"/>
      <c r="S7" s="5"/>
      <c r="T7" s="6"/>
    </row>
    <row r="8" spans="1:20" ht="15" customHeight="1" thickTop="1">
      <c r="A8" s="4"/>
      <c r="B8" s="5"/>
      <c r="C8" s="5"/>
      <c r="D8" s="5"/>
      <c r="E8" s="5"/>
      <c r="F8" s="5"/>
      <c r="G8" s="5"/>
      <c r="H8" s="10"/>
      <c r="I8" s="5"/>
      <c r="J8" s="5"/>
      <c r="K8" s="5"/>
      <c r="L8" s="5"/>
      <c r="M8" s="5"/>
      <c r="N8" s="5"/>
      <c r="O8" s="5"/>
      <c r="P8" s="18" t="s">
        <v>1</v>
      </c>
      <c r="Q8" s="13"/>
      <c r="R8" s="13"/>
      <c r="S8" s="14"/>
      <c r="T8" s="6"/>
    </row>
    <row r="9" spans="1:20" ht="15" customHeight="1">
      <c r="A9" s="4"/>
      <c r="B9" s="5"/>
      <c r="C9" s="5"/>
      <c r="D9" s="5"/>
      <c r="E9" s="5"/>
      <c r="F9" s="5"/>
      <c r="G9" s="5"/>
      <c r="H9" s="11"/>
      <c r="I9" s="5"/>
      <c r="J9" s="5"/>
      <c r="K9" s="5"/>
      <c r="L9" s="5"/>
      <c r="M9" s="5"/>
      <c r="N9" s="5"/>
      <c r="O9" s="5"/>
      <c r="P9" s="19" t="s">
        <v>3</v>
      </c>
      <c r="Q9" s="5"/>
      <c r="R9" s="5"/>
      <c r="S9" s="15"/>
      <c r="T9" s="6"/>
    </row>
    <row r="10" spans="1:20" thickBot="1">
      <c r="A10" s="4"/>
      <c r="B10" s="5"/>
      <c r="C10" s="5"/>
      <c r="D10" s="5"/>
      <c r="E10" s="5"/>
      <c r="F10" s="5"/>
      <c r="G10" s="5"/>
      <c r="H10" s="5"/>
      <c r="I10" s="5"/>
      <c r="J10" s="5"/>
      <c r="K10" s="5"/>
      <c r="L10" s="5"/>
      <c r="M10" s="5"/>
      <c r="N10" s="5"/>
      <c r="O10" s="5"/>
      <c r="P10" s="20" t="s">
        <v>2</v>
      </c>
      <c r="Q10" s="16"/>
      <c r="R10" s="16"/>
      <c r="S10" s="17"/>
      <c r="T10" s="6"/>
    </row>
    <row r="11" spans="1:20" thickTop="1">
      <c r="A11" s="4"/>
      <c r="B11" s="5"/>
      <c r="C11" s="5"/>
      <c r="D11" s="5"/>
      <c r="E11" s="5"/>
      <c r="F11" s="5"/>
      <c r="G11" s="5"/>
      <c r="H11" s="5"/>
      <c r="I11" s="5"/>
      <c r="J11" s="5"/>
      <c r="K11" s="5"/>
      <c r="L11" s="5"/>
      <c r="M11" s="5"/>
      <c r="N11" s="5"/>
      <c r="O11" s="5"/>
      <c r="P11" s="5"/>
      <c r="Q11" s="5"/>
      <c r="R11" s="5"/>
      <c r="S11" s="5"/>
      <c r="T11" s="6"/>
    </row>
    <row r="12" spans="1:20" ht="14.5">
      <c r="A12" s="4"/>
      <c r="B12" s="5"/>
      <c r="C12" s="5"/>
      <c r="D12" s="5"/>
      <c r="E12" s="5"/>
      <c r="F12" s="5"/>
      <c r="G12" s="5"/>
      <c r="H12" s="5"/>
      <c r="I12" s="5"/>
      <c r="J12" s="5"/>
      <c r="K12" s="5"/>
      <c r="L12" s="5"/>
      <c r="M12" s="5"/>
      <c r="N12" s="5"/>
      <c r="O12" s="5"/>
      <c r="P12" s="5"/>
      <c r="Q12" s="5"/>
      <c r="R12" s="5"/>
      <c r="S12" s="5"/>
      <c r="T12" s="6"/>
    </row>
    <row r="13" spans="1:20" ht="14.5">
      <c r="A13" s="4"/>
      <c r="B13" s="5"/>
      <c r="C13" s="5"/>
      <c r="D13" s="5"/>
      <c r="E13" s="5"/>
      <c r="F13" s="5"/>
      <c r="G13" s="5"/>
      <c r="H13" s="5"/>
      <c r="I13" s="5"/>
      <c r="J13" s="5"/>
      <c r="K13" s="5"/>
      <c r="L13" s="5"/>
      <c r="M13" s="5"/>
      <c r="N13" s="5"/>
      <c r="O13" s="5"/>
      <c r="P13" s="5"/>
      <c r="Q13" s="5"/>
      <c r="R13" s="5"/>
      <c r="S13" s="5"/>
      <c r="T13" s="6"/>
    </row>
    <row r="14" spans="1:20" ht="14.5">
      <c r="A14" s="4"/>
      <c r="B14" s="5"/>
      <c r="C14" s="5"/>
      <c r="D14" s="5"/>
      <c r="E14" s="5"/>
      <c r="F14" s="5"/>
      <c r="G14" s="5"/>
      <c r="H14" s="5"/>
      <c r="I14" s="5"/>
      <c r="J14" s="5"/>
      <c r="K14" s="5"/>
      <c r="L14" s="5"/>
      <c r="M14" s="5"/>
      <c r="N14" s="5"/>
      <c r="O14" s="5"/>
      <c r="P14" s="5"/>
      <c r="Q14" s="5"/>
      <c r="R14" s="5"/>
      <c r="S14" s="5"/>
      <c r="T14" s="6"/>
    </row>
    <row r="15" spans="1:20" ht="14.5">
      <c r="A15" s="4"/>
      <c r="B15" s="5"/>
      <c r="C15" s="5"/>
      <c r="D15" s="5"/>
      <c r="E15" s="5"/>
      <c r="F15" s="5"/>
      <c r="G15" s="5"/>
      <c r="H15" s="5"/>
      <c r="I15" s="5"/>
      <c r="J15" s="5"/>
      <c r="K15" s="5"/>
      <c r="L15" s="5"/>
      <c r="M15" s="5"/>
      <c r="N15" s="5"/>
      <c r="O15" s="5"/>
      <c r="P15" s="5"/>
      <c r="Q15" s="5"/>
      <c r="R15" s="5"/>
      <c r="S15" s="5"/>
      <c r="T15" s="6"/>
    </row>
    <row r="16" spans="1:20" ht="14.5">
      <c r="A16" s="4"/>
      <c r="B16" s="5"/>
      <c r="C16" s="5"/>
      <c r="D16" s="5"/>
      <c r="E16" s="5"/>
      <c r="F16" s="5"/>
      <c r="G16" s="5"/>
      <c r="H16" s="5"/>
      <c r="I16" s="5"/>
      <c r="J16" s="5"/>
      <c r="K16" s="5"/>
      <c r="L16" s="5"/>
      <c r="M16" s="5"/>
      <c r="N16" s="5"/>
      <c r="O16" s="5"/>
      <c r="P16" s="5"/>
      <c r="Q16" s="5"/>
      <c r="R16" s="5"/>
      <c r="S16" s="5"/>
      <c r="T16" s="6"/>
    </row>
    <row r="17" spans="1:20" ht="14.5">
      <c r="A17" s="4"/>
      <c r="B17" s="5"/>
      <c r="C17" s="5"/>
      <c r="D17" s="5"/>
      <c r="E17" s="5"/>
      <c r="F17" s="5"/>
      <c r="G17" s="5"/>
      <c r="H17" s="5"/>
      <c r="I17" s="5"/>
      <c r="J17" s="5"/>
      <c r="K17" s="5"/>
      <c r="L17" s="5"/>
      <c r="M17" s="5"/>
      <c r="N17" s="5"/>
      <c r="O17" s="5"/>
      <c r="P17" s="5"/>
      <c r="Q17" s="5"/>
      <c r="R17" s="5"/>
      <c r="S17" s="5"/>
      <c r="T17" s="6"/>
    </row>
    <row r="18" spans="1:20" ht="14.5">
      <c r="A18" s="4"/>
      <c r="B18" s="5"/>
      <c r="C18" s="5"/>
      <c r="D18" s="5"/>
      <c r="E18" s="5"/>
      <c r="F18" s="5"/>
      <c r="G18" s="5"/>
      <c r="H18" s="5"/>
      <c r="I18" s="5"/>
      <c r="J18" s="5"/>
      <c r="K18" s="5"/>
      <c r="L18" s="5"/>
      <c r="M18" s="5"/>
      <c r="N18" s="5"/>
      <c r="O18" s="5"/>
      <c r="P18" s="5"/>
      <c r="Q18" s="5"/>
      <c r="R18" s="5"/>
      <c r="S18" s="5"/>
      <c r="T18" s="6"/>
    </row>
    <row r="19" spans="1:20" ht="14.5">
      <c r="A19" s="4"/>
      <c r="B19" s="5"/>
      <c r="C19" s="5"/>
      <c r="D19" s="5"/>
      <c r="E19" s="5"/>
      <c r="F19" s="5"/>
      <c r="G19" s="5"/>
      <c r="H19" s="5"/>
      <c r="I19" s="5"/>
      <c r="J19" s="5"/>
      <c r="K19" s="5"/>
      <c r="L19" s="5"/>
      <c r="M19" s="5"/>
      <c r="N19" s="5"/>
      <c r="O19" s="5"/>
      <c r="P19" s="5"/>
      <c r="Q19" s="5"/>
      <c r="R19" s="5"/>
      <c r="S19" s="5"/>
      <c r="T19" s="6"/>
    </row>
    <row r="20" spans="1:20" ht="14.5">
      <c r="A20" s="4"/>
      <c r="B20" s="5"/>
      <c r="C20" s="5"/>
      <c r="D20" s="5"/>
      <c r="E20" s="5"/>
      <c r="F20" s="5"/>
      <c r="G20" s="5"/>
      <c r="H20" s="5"/>
      <c r="I20" s="5"/>
      <c r="J20" s="5"/>
      <c r="K20" s="5"/>
      <c r="L20" s="5"/>
      <c r="M20" s="5"/>
      <c r="N20" s="5"/>
      <c r="O20" s="5"/>
      <c r="P20" s="5"/>
      <c r="Q20" s="5"/>
      <c r="R20" s="5"/>
      <c r="S20" s="5"/>
      <c r="T20" s="6"/>
    </row>
    <row r="21" spans="1:20" ht="14.5">
      <c r="A21" s="4"/>
      <c r="B21" s="5"/>
      <c r="C21" s="5"/>
      <c r="D21" s="5"/>
      <c r="E21" s="5"/>
      <c r="F21" s="5"/>
      <c r="G21" s="5"/>
      <c r="H21" s="5"/>
      <c r="I21" s="5"/>
      <c r="J21" s="5"/>
      <c r="K21" s="5"/>
      <c r="L21" s="5"/>
      <c r="M21" s="5"/>
      <c r="N21" s="5"/>
      <c r="O21" s="5"/>
      <c r="P21" s="5"/>
      <c r="Q21" s="5"/>
      <c r="R21" s="5"/>
      <c r="S21" s="5"/>
      <c r="T21" s="6"/>
    </row>
    <row r="22" spans="1:20" ht="14.5">
      <c r="A22" s="4"/>
      <c r="B22" s="5"/>
      <c r="C22" s="5"/>
      <c r="D22" s="5"/>
      <c r="E22" s="5"/>
      <c r="F22" s="5"/>
      <c r="G22" s="5"/>
      <c r="H22" s="5"/>
      <c r="I22" s="5"/>
      <c r="J22" s="5"/>
      <c r="K22" s="5"/>
      <c r="L22" s="5"/>
      <c r="M22" s="5"/>
      <c r="N22" s="5"/>
      <c r="O22" s="5"/>
      <c r="P22" s="5"/>
      <c r="Q22" s="5"/>
      <c r="R22" s="5"/>
      <c r="S22" s="5"/>
      <c r="T22" s="6"/>
    </row>
    <row r="23" spans="1:20" ht="14.5">
      <c r="A23" s="4"/>
      <c r="B23" s="5"/>
      <c r="C23" s="5"/>
      <c r="D23" s="5"/>
      <c r="E23" s="5"/>
      <c r="F23" s="5"/>
      <c r="G23" s="5"/>
      <c r="H23" s="5"/>
      <c r="I23" s="5"/>
      <c r="J23" s="5"/>
      <c r="K23" s="5"/>
      <c r="L23" s="5"/>
      <c r="M23" s="5"/>
      <c r="N23" s="5"/>
      <c r="O23" s="5"/>
      <c r="P23" s="5"/>
      <c r="Q23" s="5"/>
      <c r="R23" s="5"/>
      <c r="S23" s="5"/>
      <c r="T23" s="6"/>
    </row>
    <row r="24" spans="1:20" ht="14.5">
      <c r="A24" s="4"/>
      <c r="B24" s="5"/>
      <c r="C24" s="5"/>
      <c r="D24" s="5"/>
      <c r="E24" s="5"/>
      <c r="F24" s="5"/>
      <c r="G24" s="5"/>
      <c r="H24" s="5"/>
      <c r="I24" s="5"/>
      <c r="J24" s="5"/>
      <c r="K24" s="5"/>
      <c r="L24" s="5"/>
      <c r="M24" s="5"/>
      <c r="N24" s="5"/>
      <c r="O24" s="5"/>
      <c r="P24" s="5"/>
      <c r="Q24" s="5"/>
      <c r="R24" s="5"/>
      <c r="S24" s="5"/>
      <c r="T24" s="6"/>
    </row>
    <row r="25" spans="1:20" thickBot="1">
      <c r="A25" s="7"/>
      <c r="B25" s="8"/>
      <c r="C25" s="8"/>
      <c r="D25" s="8"/>
      <c r="E25" s="8"/>
      <c r="F25" s="8"/>
      <c r="G25" s="8"/>
      <c r="H25" s="8"/>
      <c r="I25" s="8"/>
      <c r="J25" s="8"/>
      <c r="K25" s="8"/>
      <c r="L25" s="8"/>
      <c r="M25" s="8"/>
      <c r="N25" s="8"/>
      <c r="O25" s="8"/>
      <c r="P25" s="8"/>
      <c r="Q25" s="8"/>
      <c r="R25" s="8"/>
      <c r="S25" s="8"/>
      <c r="T25" s="9"/>
    </row>
  </sheetData>
  <hyperlinks>
    <hyperlink ref="P9" r:id="rId1" display="mailto:ian.nunes@tegma.com.br"/>
    <hyperlink ref="P10" r:id="rId2" display="mailto:felipe.silva@tegma.com.br"/>
  </hyperlinks>
  <pageMargins left="0.511811024" right="0.511811024" top="0.78740157499999996" bottom="0.78740157499999996" header="0.31496062000000002" footer="0.31496062000000002"/>
  <pageSetup paperSize="9" orientation="portrait"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B5" s="21"/>
      <c r="D5" s="5"/>
      <c r="E5" s="5"/>
      <c r="F5" s="5"/>
      <c r="G5" s="5"/>
      <c r="H5" s="5"/>
      <c r="I5" s="5"/>
      <c r="J5" s="5"/>
      <c r="K5" s="5"/>
      <c r="L5" s="5"/>
      <c r="M5" s="5"/>
      <c r="N5" s="5"/>
      <c r="O5" s="5"/>
      <c r="P5" s="5"/>
      <c r="Q5" s="5"/>
      <c r="R5" s="5"/>
      <c r="S5" s="5"/>
      <c r="T5" s="6"/>
    </row>
    <row r="6" spans="1:20" ht="15" customHeight="1">
      <c r="A6" s="37"/>
      <c r="B6" s="12" t="s">
        <v>4</v>
      </c>
      <c r="C6" s="12"/>
      <c r="D6" s="5"/>
      <c r="E6" s="5"/>
      <c r="F6" s="5"/>
      <c r="G6" s="5"/>
      <c r="H6" s="5"/>
      <c r="I6" s="5"/>
      <c r="J6" s="5"/>
      <c r="K6" s="5"/>
      <c r="L6" s="5"/>
      <c r="M6" s="5"/>
      <c r="N6" s="5"/>
      <c r="O6" s="5"/>
      <c r="P6" s="5"/>
      <c r="Q6" s="5"/>
      <c r="R6" s="5"/>
      <c r="S6" s="5"/>
      <c r="T6" s="6"/>
    </row>
    <row r="7" spans="1:20" ht="15" customHeight="1">
      <c r="A7" s="37"/>
      <c r="B7" s="12" t="s">
        <v>5</v>
      </c>
      <c r="C7" s="12"/>
      <c r="D7" s="5"/>
      <c r="E7" s="5"/>
      <c r="F7" s="5"/>
      <c r="G7" s="5"/>
      <c r="H7" s="5"/>
      <c r="I7" s="5"/>
      <c r="J7" s="5"/>
      <c r="K7" s="5"/>
      <c r="L7" s="5"/>
      <c r="M7" s="5"/>
      <c r="N7" s="5"/>
      <c r="O7" s="5"/>
      <c r="P7" s="5"/>
      <c r="Q7" s="5"/>
      <c r="R7" s="5"/>
      <c r="S7" s="5"/>
      <c r="T7" s="6"/>
    </row>
    <row r="8" spans="1:20" ht="15" customHeight="1">
      <c r="A8" s="37"/>
      <c r="B8" s="22" t="s">
        <v>6</v>
      </c>
      <c r="C8" s="22"/>
      <c r="D8" s="5"/>
      <c r="E8" s="5"/>
      <c r="F8" s="5"/>
      <c r="G8" s="5"/>
      <c r="H8" s="10"/>
      <c r="I8" s="5"/>
      <c r="J8" s="5"/>
      <c r="K8" s="5"/>
      <c r="L8" s="5"/>
      <c r="M8" s="5"/>
      <c r="N8" s="5"/>
      <c r="T8" s="6"/>
    </row>
    <row r="9" spans="1:20" ht="15" customHeight="1">
      <c r="A9" s="37"/>
      <c r="B9" s="22" t="s">
        <v>7</v>
      </c>
      <c r="C9" s="22"/>
      <c r="D9" s="5"/>
      <c r="E9" s="5"/>
      <c r="F9" s="5"/>
      <c r="G9" s="5"/>
      <c r="H9" s="11"/>
      <c r="I9" s="5"/>
      <c r="J9" s="5"/>
      <c r="K9" s="5"/>
      <c r="L9" s="5"/>
      <c r="M9" s="5"/>
      <c r="N9" s="5"/>
      <c r="T9" s="6"/>
    </row>
    <row r="10" spans="1:20" ht="15" customHeight="1">
      <c r="A10" s="37"/>
      <c r="B10" s="22" t="s">
        <v>8</v>
      </c>
      <c r="C10" s="22"/>
      <c r="D10" s="5"/>
      <c r="E10" s="5"/>
      <c r="F10" s="5"/>
      <c r="G10" s="5"/>
      <c r="H10" s="5"/>
      <c r="I10" s="5"/>
      <c r="J10" s="5"/>
      <c r="K10" s="5"/>
      <c r="L10" s="5"/>
      <c r="M10" s="5"/>
      <c r="N10" s="5"/>
      <c r="T10" s="6"/>
    </row>
    <row r="11" spans="1:20" ht="15" customHeight="1">
      <c r="A11" s="37"/>
      <c r="B11" s="22" t="s">
        <v>9</v>
      </c>
      <c r="C11" s="22"/>
      <c r="D11" s="5"/>
      <c r="E11" s="5"/>
      <c r="F11" s="5"/>
      <c r="G11" s="5"/>
      <c r="H11" s="5"/>
      <c r="I11" s="5"/>
      <c r="J11" s="5"/>
      <c r="K11" s="5"/>
      <c r="L11" s="5"/>
      <c r="M11" s="5"/>
      <c r="N11" s="5"/>
      <c r="O11" s="5"/>
      <c r="P11" s="5"/>
      <c r="Q11" s="5"/>
      <c r="R11" s="5"/>
      <c r="S11" s="5"/>
      <c r="T11" s="6"/>
    </row>
    <row r="12" spans="1:20" ht="15" customHeight="1">
      <c r="A12" s="37"/>
      <c r="B12" s="22" t="s">
        <v>10</v>
      </c>
      <c r="C12" s="22"/>
      <c r="D12" s="5"/>
      <c r="E12" s="5"/>
      <c r="F12" s="5"/>
      <c r="G12" s="5"/>
      <c r="H12" s="5"/>
      <c r="I12" s="5"/>
      <c r="J12" s="5"/>
      <c r="K12" s="5"/>
      <c r="L12" s="5"/>
      <c r="M12" s="5"/>
      <c r="N12" s="5"/>
      <c r="O12" s="5"/>
      <c r="P12" s="5"/>
      <c r="Q12" s="5"/>
      <c r="R12" s="5"/>
      <c r="S12" s="5"/>
      <c r="T12" s="6"/>
    </row>
    <row r="13" spans="1:20" ht="15" customHeight="1">
      <c r="A13" s="37"/>
      <c r="B13" s="22" t="s">
        <v>99</v>
      </c>
      <c r="C13" s="22"/>
      <c r="D13" s="5"/>
      <c r="E13" s="5"/>
      <c r="F13" s="5"/>
      <c r="G13" s="5"/>
      <c r="H13" s="5"/>
      <c r="I13" s="5"/>
      <c r="J13" s="5"/>
      <c r="K13" s="5"/>
      <c r="L13" s="5"/>
      <c r="M13" s="5"/>
      <c r="N13" s="5"/>
      <c r="O13" s="5"/>
      <c r="P13" s="5"/>
      <c r="Q13" s="5"/>
      <c r="R13" s="5"/>
      <c r="S13" s="5"/>
      <c r="T13" s="6"/>
    </row>
    <row r="14" spans="1:20" ht="15" customHeight="1">
      <c r="A14" s="37"/>
      <c r="B14" s="12" t="s">
        <v>11</v>
      </c>
      <c r="C14" s="12"/>
      <c r="D14" s="5"/>
      <c r="E14" s="5"/>
      <c r="F14" s="5"/>
      <c r="G14" s="5"/>
      <c r="H14" s="5"/>
      <c r="I14" s="5"/>
      <c r="J14" s="5"/>
      <c r="K14" s="5"/>
      <c r="L14" s="5"/>
      <c r="M14" s="5"/>
      <c r="N14" s="5"/>
      <c r="O14" s="5"/>
      <c r="P14" s="5"/>
      <c r="Q14" s="5"/>
      <c r="R14" s="5"/>
      <c r="S14" s="5"/>
      <c r="T14" s="6"/>
    </row>
    <row r="15" spans="1:20" ht="15" customHeight="1">
      <c r="A15" s="37"/>
      <c r="B15" s="22" t="s">
        <v>72</v>
      </c>
      <c r="C15" s="22"/>
      <c r="D15" s="5"/>
      <c r="E15" s="5"/>
      <c r="F15" s="5"/>
      <c r="G15" s="5"/>
      <c r="H15" s="5"/>
      <c r="I15" s="5"/>
      <c r="J15" s="5"/>
      <c r="K15" s="5"/>
      <c r="L15" s="5"/>
      <c r="M15" s="5"/>
      <c r="N15" s="5"/>
      <c r="O15" s="5"/>
      <c r="P15" s="5"/>
      <c r="Q15" s="5"/>
      <c r="R15" s="5"/>
      <c r="S15" s="5"/>
      <c r="T15" s="6"/>
    </row>
    <row r="16" spans="1:20" ht="15" customHeight="1">
      <c r="A16" s="37"/>
      <c r="B16" s="22" t="s">
        <v>12</v>
      </c>
      <c r="C16" s="22"/>
      <c r="D16" s="5"/>
      <c r="E16" s="5"/>
      <c r="F16" s="5"/>
      <c r="G16" s="5"/>
      <c r="H16" s="5"/>
      <c r="I16" s="5"/>
      <c r="J16" s="5"/>
      <c r="K16" s="5"/>
      <c r="L16" s="5"/>
      <c r="M16" s="5"/>
      <c r="N16" s="5"/>
      <c r="O16" s="5"/>
      <c r="P16" s="5"/>
      <c r="Q16" s="5"/>
      <c r="R16" s="5"/>
      <c r="S16" s="5"/>
      <c r="T16" s="6"/>
    </row>
    <row r="17" spans="1:20" ht="15" customHeight="1">
      <c r="A17" s="37"/>
      <c r="B17" s="22" t="s">
        <v>13</v>
      </c>
      <c r="C17" s="22"/>
      <c r="D17" s="5"/>
      <c r="E17" s="5"/>
      <c r="F17" s="5"/>
      <c r="G17" s="5"/>
      <c r="H17" s="5"/>
      <c r="I17" s="5"/>
      <c r="J17" s="5"/>
      <c r="K17" s="5"/>
      <c r="L17" s="5"/>
      <c r="M17" s="5"/>
      <c r="N17" s="5"/>
      <c r="O17" s="5"/>
      <c r="P17" s="5"/>
      <c r="Q17" s="5"/>
      <c r="R17" s="5"/>
      <c r="S17" s="5"/>
      <c r="T17" s="6"/>
    </row>
    <row r="18" spans="1:20" ht="15" customHeight="1">
      <c r="A18" s="37"/>
      <c r="B18" s="22" t="s">
        <v>14</v>
      </c>
      <c r="C18" s="22"/>
      <c r="D18" s="5"/>
      <c r="E18" s="5"/>
      <c r="F18" s="5"/>
      <c r="G18" s="5"/>
      <c r="H18" s="5"/>
      <c r="I18" s="5"/>
      <c r="J18" s="5"/>
      <c r="K18" s="5"/>
      <c r="L18" s="5"/>
      <c r="M18" s="5"/>
      <c r="N18" s="5"/>
      <c r="O18" s="5"/>
      <c r="P18" s="5"/>
      <c r="Q18" s="5"/>
      <c r="R18" s="5"/>
      <c r="S18" s="5"/>
      <c r="T18" s="6"/>
    </row>
    <row r="19" spans="1:20" ht="15" customHeight="1">
      <c r="A19" s="37"/>
      <c r="B19" s="12" t="s">
        <v>89</v>
      </c>
      <c r="C19" s="22"/>
      <c r="D19" s="5"/>
      <c r="E19" s="5"/>
      <c r="F19" s="5"/>
      <c r="G19" s="5"/>
      <c r="H19" s="5"/>
      <c r="I19" s="5"/>
      <c r="J19" s="5"/>
      <c r="K19" s="5"/>
      <c r="L19" s="5"/>
      <c r="M19" s="5"/>
      <c r="N19" s="5"/>
      <c r="O19" s="5"/>
      <c r="P19" s="5"/>
      <c r="Q19" s="5"/>
      <c r="R19" s="5"/>
      <c r="S19" s="5"/>
      <c r="T19" s="6"/>
    </row>
    <row r="20" spans="1:20" ht="15" customHeight="1">
      <c r="A20" s="37"/>
      <c r="B20" s="38"/>
      <c r="D20" s="5"/>
      <c r="E20" s="5"/>
      <c r="F20" s="5"/>
      <c r="G20" s="5"/>
      <c r="H20" s="5"/>
      <c r="I20" s="5"/>
      <c r="J20" s="5"/>
      <c r="K20" s="5"/>
      <c r="L20" s="5"/>
      <c r="M20" s="5"/>
      <c r="N20" s="5"/>
      <c r="O20" s="5"/>
      <c r="P20" s="5"/>
      <c r="Q20" s="5"/>
      <c r="R20" s="5"/>
      <c r="S20" s="5"/>
      <c r="T20" s="6"/>
    </row>
    <row r="21" spans="1:20" ht="15" customHeight="1">
      <c r="A21" s="37"/>
      <c r="B21" s="39"/>
      <c r="C21" s="5"/>
      <c r="D21" s="5"/>
      <c r="E21" s="5"/>
      <c r="F21" s="5"/>
      <c r="G21" s="5"/>
      <c r="H21" s="5"/>
      <c r="I21" s="5"/>
      <c r="J21" s="5"/>
      <c r="K21" s="5"/>
      <c r="L21" s="5"/>
      <c r="M21" s="5"/>
      <c r="N21" s="5"/>
      <c r="O21" s="5"/>
      <c r="P21" s="5"/>
      <c r="Q21" s="5"/>
      <c r="R21" s="5"/>
      <c r="S21" s="5"/>
      <c r="T21" s="6"/>
    </row>
    <row r="22" spans="1:20" ht="15" customHeight="1">
      <c r="A22" s="4"/>
      <c r="B22" s="5"/>
      <c r="C22" s="5"/>
      <c r="D22" s="5"/>
      <c r="E22" s="5"/>
      <c r="F22" s="5"/>
      <c r="G22" s="5"/>
      <c r="H22" s="5"/>
      <c r="I22" s="5"/>
      <c r="J22" s="5"/>
      <c r="K22" s="5"/>
      <c r="L22" s="5"/>
      <c r="M22" s="5"/>
      <c r="N22" s="5"/>
      <c r="O22" s="5"/>
      <c r="P22" s="5"/>
      <c r="Q22" s="5"/>
      <c r="R22" s="5"/>
      <c r="S22" s="5"/>
      <c r="T22" s="6"/>
    </row>
    <row r="23" spans="1:20" ht="15" customHeight="1">
      <c r="A23" s="4"/>
      <c r="B23" s="5"/>
      <c r="C23" s="5"/>
      <c r="D23" s="5"/>
      <c r="E23" s="5"/>
      <c r="F23" s="5"/>
      <c r="G23" s="5"/>
      <c r="H23" s="5"/>
      <c r="I23" s="5"/>
      <c r="J23" s="5"/>
      <c r="K23" s="5"/>
      <c r="L23" s="5"/>
      <c r="M23" s="5"/>
      <c r="N23" s="5"/>
      <c r="O23" s="5"/>
      <c r="P23" s="5"/>
      <c r="Q23" s="5"/>
      <c r="R23" s="5"/>
      <c r="S23" s="5"/>
      <c r="T23" s="6"/>
    </row>
    <row r="24" spans="1:20" ht="15" customHeight="1">
      <c r="A24" s="4"/>
      <c r="B24" s="5"/>
      <c r="C24" s="5"/>
      <c r="D24" s="5"/>
      <c r="E24" s="5"/>
      <c r="F24" s="5"/>
      <c r="G24" s="5"/>
      <c r="H24" s="5"/>
      <c r="I24" s="5"/>
      <c r="J24" s="5"/>
      <c r="K24" s="5"/>
      <c r="L24" s="5"/>
      <c r="M24" s="5"/>
      <c r="N24" s="5"/>
      <c r="O24" s="5"/>
      <c r="P24" s="5"/>
      <c r="Q24" s="5"/>
      <c r="R24" s="5"/>
      <c r="S24" s="5"/>
      <c r="T24" s="6"/>
    </row>
    <row r="25" spans="1:20" ht="15" customHeight="1" thickBot="1">
      <c r="A25" s="24" t="s">
        <v>101</v>
      </c>
      <c r="B25" s="8"/>
      <c r="C25" s="8"/>
      <c r="D25" s="8"/>
      <c r="E25" s="8"/>
      <c r="F25" s="8"/>
      <c r="G25" s="8"/>
      <c r="H25" s="8"/>
      <c r="I25" s="8"/>
      <c r="J25" s="8"/>
      <c r="K25" s="8"/>
      <c r="L25" s="8"/>
      <c r="M25" s="8"/>
      <c r="N25" s="8"/>
      <c r="O25" s="8"/>
      <c r="P25" s="8"/>
      <c r="Q25" s="8"/>
      <c r="R25" s="8"/>
      <c r="S25" s="8"/>
      <c r="T25" s="9"/>
    </row>
  </sheetData>
  <hyperlinks>
    <hyperlink ref="B6" location="'Sobre a Tegma'!A1" display="Sobre a Tegma"/>
    <hyperlink ref="B7" location="'Res Auto'!A1" display="Premissas do Resultado"/>
    <hyperlink ref="B8" location="'Res Auto'!A1" display="Resultados da divisão automotiva"/>
    <hyperlink ref="B9" location="'Res Log. Int.'!A1" display="Resultados da divisão de Logística Integrada"/>
    <hyperlink ref="B10" location="'Res Consolidados'!A1" display="Resultados Consolidados"/>
    <hyperlink ref="B11" location="'Resultado financeiro'!A1" display="Resultado financeiro consolidado"/>
    <hyperlink ref="B12" location="'Equivalência patrimonial'!A1" display="Equivalência patrimonial"/>
    <hyperlink ref="B14" location="'Balanço Patrimonial'!A1" display="Premissas do Balanço Patrimonial"/>
    <hyperlink ref="B15" location="'Balanço Patrimonial'!A1" display="Capital de giro e endividamento"/>
    <hyperlink ref="B16" location="CAPEX!A1" display="Imobilizado e investimentos (CAPEX)"/>
    <hyperlink ref="B17" location="'Free cash flow to firm'!A1" display="Free cash flow to firm"/>
    <hyperlink ref="B18" location="'Dividendos e JSCP'!A1" display="Dividendos/ JSCP"/>
    <hyperlink ref="B19" location="Contatos!A1" display="Contatos"/>
    <hyperlink ref="B13" location="'IR e CSLL'!A1" display="IR e CSLL"/>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2"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D5" s="5"/>
      <c r="E5" s="5"/>
      <c r="F5" s="5"/>
      <c r="G5" s="5"/>
      <c r="H5" s="5"/>
      <c r="I5" s="5"/>
      <c r="J5" s="5"/>
      <c r="K5" s="5"/>
      <c r="L5" s="5"/>
      <c r="M5" s="5"/>
      <c r="N5" s="5"/>
      <c r="O5" s="5"/>
      <c r="P5" s="5"/>
      <c r="Q5" s="5"/>
      <c r="R5" s="5"/>
      <c r="S5" s="5"/>
      <c r="T5" s="6"/>
    </row>
    <row r="6" spans="1:20" ht="15" customHeight="1">
      <c r="A6" s="4"/>
      <c r="C6" s="12"/>
      <c r="D6" s="5"/>
      <c r="E6" s="5"/>
      <c r="F6" s="5"/>
      <c r="G6" s="5"/>
      <c r="H6" s="5"/>
      <c r="I6" s="5"/>
      <c r="J6" s="5"/>
      <c r="K6" s="5"/>
      <c r="L6" s="5"/>
      <c r="M6" s="5"/>
      <c r="N6" s="5"/>
      <c r="O6" s="5"/>
      <c r="P6" s="5"/>
      <c r="Q6" s="5"/>
      <c r="R6" s="5"/>
      <c r="S6" s="5"/>
      <c r="T6" s="6"/>
    </row>
    <row r="7" spans="1:20" ht="15" customHeight="1">
      <c r="A7" s="4"/>
      <c r="C7" s="12"/>
      <c r="D7" s="5"/>
      <c r="E7" s="5"/>
      <c r="F7" s="5"/>
      <c r="G7" s="5"/>
      <c r="H7" s="5"/>
      <c r="I7" s="5"/>
      <c r="J7" s="5"/>
      <c r="K7" s="5"/>
      <c r="L7" s="5"/>
      <c r="M7" s="5"/>
      <c r="N7" s="5"/>
      <c r="O7" s="5"/>
      <c r="P7" s="5"/>
      <c r="Q7" s="5"/>
      <c r="R7" s="5"/>
      <c r="S7" s="5"/>
      <c r="T7" s="6"/>
    </row>
    <row r="8" spans="1:20" ht="15" customHeight="1">
      <c r="A8" s="4"/>
      <c r="C8" s="22"/>
      <c r="D8" s="5"/>
      <c r="E8" s="5"/>
      <c r="F8" s="5"/>
      <c r="G8" s="5"/>
      <c r="H8" s="10"/>
      <c r="I8" s="5"/>
      <c r="J8" s="5"/>
      <c r="K8" s="5"/>
      <c r="L8" s="5"/>
      <c r="M8" s="5"/>
      <c r="N8" s="5"/>
      <c r="T8" s="6"/>
    </row>
    <row r="9" spans="1:20" ht="15" customHeight="1">
      <c r="A9" s="4"/>
      <c r="C9" s="22"/>
      <c r="D9" s="5"/>
      <c r="E9" s="5"/>
      <c r="F9" s="5"/>
      <c r="G9" s="5"/>
      <c r="H9" s="11"/>
      <c r="I9" s="5"/>
      <c r="J9" s="5"/>
      <c r="K9" s="5"/>
      <c r="L9" s="5"/>
      <c r="M9" s="5"/>
      <c r="N9" s="5"/>
      <c r="T9" s="6"/>
    </row>
    <row r="10" spans="1:20" ht="15" customHeight="1">
      <c r="A10" s="4"/>
      <c r="C10" s="22"/>
      <c r="D10" s="5"/>
      <c r="E10" s="5"/>
      <c r="F10" s="5"/>
      <c r="G10" s="5"/>
      <c r="H10" s="5"/>
      <c r="I10" s="5"/>
      <c r="J10" s="5"/>
      <c r="K10" s="5"/>
      <c r="L10" s="5"/>
      <c r="M10" s="5"/>
      <c r="N10" s="5"/>
      <c r="T10" s="6"/>
    </row>
    <row r="11" spans="1:20" ht="15" customHeight="1">
      <c r="A11" s="4"/>
      <c r="C11" s="22"/>
      <c r="D11" s="5"/>
      <c r="E11" s="5"/>
      <c r="F11" s="5"/>
      <c r="G11" s="5"/>
      <c r="H11" s="5"/>
      <c r="I11" s="5"/>
      <c r="J11" s="5"/>
      <c r="K11" s="5"/>
      <c r="L11" s="5"/>
      <c r="M11" s="5"/>
      <c r="N11" s="5"/>
      <c r="O11" s="5"/>
      <c r="P11" s="5"/>
      <c r="Q11" s="5"/>
      <c r="R11" s="5"/>
      <c r="S11" s="5"/>
      <c r="T11" s="6"/>
    </row>
    <row r="12" spans="1:20" ht="15" customHeight="1">
      <c r="A12" s="4"/>
      <c r="C12" s="22"/>
      <c r="D12" s="5"/>
      <c r="E12" s="5"/>
      <c r="F12" s="5"/>
      <c r="G12" s="5"/>
      <c r="H12" s="5"/>
      <c r="I12" s="5"/>
      <c r="J12" s="5"/>
      <c r="K12" s="5"/>
      <c r="L12" s="5"/>
      <c r="M12" s="5"/>
      <c r="N12" s="5"/>
      <c r="O12" s="5"/>
      <c r="P12" s="5"/>
      <c r="Q12" s="5"/>
      <c r="R12" s="5"/>
      <c r="S12" s="5"/>
      <c r="T12" s="6"/>
    </row>
    <row r="13" spans="1:20" ht="15" customHeight="1">
      <c r="A13" s="4"/>
      <c r="C13" s="22"/>
      <c r="D13" s="5"/>
      <c r="E13" s="5"/>
      <c r="F13" s="5"/>
      <c r="G13" s="5"/>
      <c r="H13" s="5"/>
      <c r="I13" s="5"/>
      <c r="J13" s="5"/>
      <c r="K13" s="5"/>
      <c r="L13" s="5"/>
      <c r="M13" s="5"/>
      <c r="N13" s="5"/>
      <c r="O13" s="5"/>
      <c r="P13" s="5"/>
      <c r="Q13" s="5"/>
      <c r="R13" s="5"/>
      <c r="S13" s="5"/>
      <c r="T13" s="6"/>
    </row>
    <row r="14" spans="1:20" ht="15" customHeight="1">
      <c r="A14" s="4"/>
      <c r="C14" s="12"/>
      <c r="D14" s="5"/>
      <c r="E14" s="5"/>
      <c r="F14" s="5"/>
      <c r="G14" s="5"/>
      <c r="H14" s="5"/>
      <c r="I14" s="5"/>
      <c r="J14" s="5"/>
      <c r="K14" s="5"/>
      <c r="L14" s="5"/>
      <c r="M14" s="5"/>
      <c r="N14" s="5"/>
      <c r="O14" s="5"/>
      <c r="P14" s="5"/>
      <c r="Q14" s="5"/>
      <c r="R14" s="5"/>
      <c r="S14" s="5"/>
      <c r="T14" s="6"/>
    </row>
    <row r="15" spans="1:20" ht="15" customHeight="1">
      <c r="A15" s="4"/>
      <c r="C15" s="22"/>
      <c r="D15" s="5"/>
      <c r="E15" s="5"/>
      <c r="F15" s="5"/>
      <c r="G15" s="5"/>
      <c r="H15" s="5"/>
      <c r="I15" s="5"/>
      <c r="J15" s="5"/>
      <c r="K15" s="5"/>
      <c r="L15" s="5"/>
      <c r="M15" s="5"/>
      <c r="N15" s="5"/>
      <c r="O15" s="5"/>
      <c r="P15" s="5"/>
      <c r="Q15" s="5"/>
      <c r="R15" s="5"/>
      <c r="S15" s="5"/>
      <c r="T15" s="6"/>
    </row>
    <row r="16" spans="1:20" ht="15" customHeight="1">
      <c r="A16" s="4"/>
      <c r="C16" s="22"/>
      <c r="D16" s="5"/>
      <c r="E16" s="5"/>
      <c r="F16" s="5"/>
      <c r="G16" s="5"/>
      <c r="H16" s="5"/>
      <c r="I16" s="5"/>
      <c r="J16" s="5"/>
      <c r="K16" s="5"/>
      <c r="L16" s="5"/>
      <c r="M16" s="5"/>
      <c r="N16" s="5"/>
      <c r="O16" s="5"/>
      <c r="P16" s="5"/>
      <c r="Q16" s="5"/>
      <c r="R16" s="5"/>
      <c r="S16" s="5"/>
      <c r="T16" s="6"/>
    </row>
    <row r="17" spans="1:20" ht="15" customHeight="1">
      <c r="A17" s="4"/>
      <c r="C17" s="22"/>
      <c r="D17" s="5"/>
      <c r="E17" s="5"/>
      <c r="F17" s="5"/>
      <c r="G17" s="5"/>
      <c r="H17" s="5"/>
      <c r="I17" s="5"/>
      <c r="J17" s="5"/>
      <c r="K17" s="5"/>
      <c r="L17" s="5"/>
      <c r="M17" s="5"/>
      <c r="N17" s="5"/>
      <c r="O17" s="5"/>
      <c r="P17" s="5"/>
      <c r="Q17" s="5"/>
      <c r="R17" s="5"/>
      <c r="S17" s="5"/>
      <c r="T17" s="6"/>
    </row>
    <row r="18" spans="1:20" ht="15" customHeight="1">
      <c r="A18" s="4"/>
      <c r="C18" s="22"/>
      <c r="D18" s="5"/>
      <c r="E18" s="5"/>
      <c r="F18" s="5"/>
      <c r="G18" s="5"/>
      <c r="H18" s="5"/>
      <c r="I18" s="5"/>
      <c r="J18" s="5"/>
      <c r="K18" s="5"/>
      <c r="L18" s="5"/>
      <c r="M18" s="5"/>
      <c r="N18" s="5"/>
      <c r="O18" s="5"/>
      <c r="P18" s="5"/>
      <c r="Q18" s="5"/>
      <c r="R18" s="5"/>
      <c r="S18" s="5"/>
      <c r="T18" s="6"/>
    </row>
    <row r="19" spans="1:20" ht="15" customHeight="1">
      <c r="A19" s="4"/>
      <c r="C19" s="22"/>
      <c r="D19" s="5"/>
      <c r="E19" s="5"/>
      <c r="F19" s="5"/>
      <c r="G19" s="5"/>
      <c r="H19" s="5"/>
      <c r="I19" s="5"/>
      <c r="J19" s="5"/>
      <c r="K19" s="5"/>
      <c r="L19" s="5"/>
      <c r="M19" s="5"/>
      <c r="N19" s="5"/>
      <c r="O19" s="5"/>
      <c r="P19" s="5"/>
      <c r="Q19" s="5"/>
      <c r="R19" s="5"/>
      <c r="S19" s="5"/>
      <c r="T19" s="6"/>
    </row>
    <row r="20" spans="1:20" ht="15" customHeight="1">
      <c r="A20" s="4"/>
      <c r="D20" s="5"/>
      <c r="E20" s="5"/>
      <c r="F20" s="5"/>
      <c r="G20" s="5"/>
      <c r="H20" s="5"/>
      <c r="I20" s="5"/>
      <c r="J20" s="5"/>
      <c r="K20" s="5"/>
      <c r="L20" s="5"/>
      <c r="M20" s="5"/>
      <c r="N20" s="5"/>
      <c r="O20" s="5"/>
      <c r="P20" s="5"/>
      <c r="Q20" s="5"/>
      <c r="R20" s="5"/>
      <c r="S20" s="5"/>
      <c r="T20" s="6"/>
    </row>
    <row r="21" spans="1:20" ht="15" customHeight="1">
      <c r="A21" s="4"/>
      <c r="C21" s="5"/>
      <c r="D21" s="5"/>
      <c r="E21" s="5"/>
      <c r="F21" s="5"/>
      <c r="G21" s="5"/>
      <c r="H21" s="5"/>
      <c r="I21" s="5"/>
      <c r="J21" s="5"/>
      <c r="K21" s="5"/>
      <c r="L21" s="5"/>
      <c r="M21" s="5"/>
      <c r="N21" s="5"/>
      <c r="O21" s="5"/>
      <c r="P21" s="5"/>
      <c r="Q21" s="5"/>
      <c r="R21" s="5"/>
      <c r="S21" s="5"/>
      <c r="T21" s="6"/>
    </row>
    <row r="22" spans="1:20" ht="15" customHeight="1">
      <c r="A22" s="4"/>
      <c r="C22" s="5"/>
      <c r="D22" s="5"/>
      <c r="E22" s="5"/>
      <c r="F22" s="5"/>
      <c r="G22" s="5"/>
      <c r="H22" s="5"/>
      <c r="I22" s="5"/>
      <c r="J22" s="5"/>
      <c r="K22" s="5"/>
      <c r="L22" s="5"/>
      <c r="M22" s="5"/>
      <c r="N22" s="5"/>
      <c r="O22" s="5"/>
      <c r="P22" s="5"/>
      <c r="Q22" s="5"/>
      <c r="R22" s="5"/>
      <c r="S22" s="5"/>
      <c r="T22" s="6"/>
    </row>
    <row r="23" spans="1:20" ht="15" customHeight="1">
      <c r="A23" s="4"/>
      <c r="B23" s="5"/>
      <c r="C23" s="5"/>
      <c r="D23" s="5"/>
      <c r="E23" s="5"/>
      <c r="F23" s="5"/>
      <c r="G23" s="5"/>
      <c r="H23" s="5"/>
      <c r="I23" s="5"/>
      <c r="J23" s="5"/>
      <c r="K23" s="5"/>
      <c r="L23" s="5"/>
      <c r="M23" s="5"/>
      <c r="N23" s="5"/>
      <c r="O23" s="5"/>
      <c r="P23" s="5"/>
      <c r="Q23" s="5"/>
      <c r="R23" s="5"/>
      <c r="S23" s="5"/>
      <c r="T23" s="6"/>
    </row>
    <row r="24" spans="1:20" ht="15" customHeight="1">
      <c r="A24" s="4"/>
      <c r="B24" s="5"/>
      <c r="C24" s="5"/>
      <c r="D24" s="5"/>
      <c r="E24" s="5"/>
      <c r="F24" s="5"/>
      <c r="G24" s="5"/>
      <c r="H24" s="5"/>
      <c r="I24" s="5"/>
      <c r="J24" s="5"/>
      <c r="K24" s="5"/>
      <c r="L24" s="5"/>
      <c r="M24" s="5"/>
      <c r="N24" s="5"/>
      <c r="O24" s="5"/>
      <c r="P24" s="5"/>
      <c r="Q24" s="5"/>
      <c r="R24" s="5"/>
      <c r="S24" s="5"/>
      <c r="T24" s="6"/>
    </row>
    <row r="25" spans="1:20" ht="15" customHeight="1" thickBot="1">
      <c r="A25" s="24"/>
      <c r="B25" s="8"/>
      <c r="C25" s="8"/>
      <c r="D25" s="8"/>
      <c r="E25" s="8"/>
      <c r="F25" s="8"/>
      <c r="G25" s="8"/>
      <c r="H25" s="8"/>
      <c r="I25" s="8"/>
      <c r="J25" s="8"/>
      <c r="K25" s="8"/>
      <c r="L25" s="8"/>
      <c r="M25" s="8"/>
      <c r="N25" s="8"/>
      <c r="O25" s="8"/>
      <c r="P25" s="8"/>
      <c r="Q25" s="8"/>
      <c r="R25" s="8"/>
      <c r="S25" s="8"/>
      <c r="T25" s="9"/>
    </row>
  </sheetData>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showRowColHeaders="0" zoomScale="90" zoomScaleNormal="90" workbookViewId="0">
      <selection activeCell="L5" sqref="L5"/>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D5" s="5"/>
      <c r="E5" s="5"/>
      <c r="F5" s="5"/>
      <c r="G5" s="5"/>
      <c r="H5" s="5"/>
      <c r="I5" s="5"/>
      <c r="J5" s="5"/>
      <c r="K5" s="5"/>
      <c r="L5" s="5"/>
      <c r="M5" s="5"/>
      <c r="N5" s="5"/>
      <c r="O5" s="5"/>
      <c r="P5" s="5"/>
      <c r="Q5" s="5"/>
      <c r="R5" s="5"/>
      <c r="S5" s="5"/>
      <c r="T5" s="6"/>
    </row>
    <row r="6" spans="1:20" ht="15" customHeight="1">
      <c r="A6" s="4"/>
      <c r="C6" s="12"/>
      <c r="D6" s="5"/>
      <c r="E6" s="5"/>
      <c r="F6" s="5"/>
      <c r="G6" s="5"/>
      <c r="H6" s="5"/>
      <c r="I6" s="5"/>
      <c r="J6" s="5"/>
      <c r="K6" s="5"/>
      <c r="L6" s="5"/>
      <c r="M6" s="5"/>
      <c r="N6" s="5"/>
      <c r="O6" s="5"/>
      <c r="P6" s="5"/>
      <c r="Q6" s="5"/>
      <c r="R6" s="5"/>
      <c r="S6" s="5"/>
      <c r="T6" s="6"/>
    </row>
    <row r="7" spans="1:20" ht="15" customHeight="1">
      <c r="A7" s="4"/>
      <c r="C7" s="12"/>
      <c r="D7" s="5"/>
      <c r="E7" s="5"/>
      <c r="F7" s="5"/>
      <c r="G7" s="5"/>
      <c r="H7" s="5"/>
      <c r="I7" s="5"/>
      <c r="J7" s="5"/>
      <c r="K7" s="5"/>
      <c r="L7" s="5"/>
      <c r="M7" s="5"/>
      <c r="N7" s="5"/>
      <c r="O7" s="5"/>
      <c r="P7" s="5"/>
      <c r="Q7" s="5"/>
      <c r="R7" s="5"/>
      <c r="S7" s="5"/>
      <c r="T7" s="6"/>
    </row>
    <row r="8" spans="1:20" ht="15" customHeight="1">
      <c r="A8" s="4"/>
      <c r="C8" s="22"/>
      <c r="D8" s="5"/>
      <c r="E8" s="5"/>
      <c r="F8" s="5"/>
      <c r="G8" s="5"/>
      <c r="H8" s="10"/>
      <c r="I8" s="5"/>
      <c r="J8" s="5"/>
      <c r="K8" s="5"/>
      <c r="L8" s="5"/>
      <c r="M8" s="5"/>
      <c r="N8" s="5"/>
      <c r="T8" s="6"/>
    </row>
    <row r="9" spans="1:20" ht="15" customHeight="1">
      <c r="A9" s="4"/>
      <c r="C9" s="22"/>
      <c r="D9" s="5"/>
      <c r="E9" s="5"/>
      <c r="F9" s="5"/>
      <c r="G9" s="5"/>
      <c r="H9" s="11"/>
      <c r="I9" s="5"/>
      <c r="J9" s="5"/>
      <c r="K9" s="5"/>
      <c r="L9" s="5"/>
      <c r="M9" s="5"/>
      <c r="N9" s="5"/>
      <c r="T9" s="6"/>
    </row>
    <row r="10" spans="1:20" ht="15" customHeight="1">
      <c r="A10" s="4"/>
      <c r="C10" s="22"/>
      <c r="D10" s="5"/>
      <c r="E10" s="5"/>
      <c r="F10" s="5"/>
      <c r="G10" s="5"/>
      <c r="H10" s="5"/>
      <c r="I10" s="5"/>
      <c r="J10" s="5"/>
      <c r="K10" s="5"/>
      <c r="L10" s="5"/>
      <c r="M10" s="5"/>
      <c r="N10" s="5"/>
      <c r="T10" s="6"/>
    </row>
    <row r="11" spans="1:20" ht="15" customHeight="1">
      <c r="A11" s="4"/>
      <c r="C11" s="22"/>
      <c r="D11" s="5"/>
      <c r="E11" s="5"/>
      <c r="F11" s="5"/>
      <c r="G11" s="5"/>
      <c r="H11" s="5"/>
      <c r="I11" s="5"/>
      <c r="J11" s="5"/>
      <c r="K11" s="5"/>
      <c r="L11" s="5"/>
      <c r="M11" s="5"/>
      <c r="N11" s="5"/>
      <c r="O11" s="5"/>
      <c r="P11" s="5"/>
      <c r="Q11" s="5"/>
      <c r="R11" s="5"/>
      <c r="S11" s="5"/>
      <c r="T11" s="6"/>
    </row>
    <row r="12" spans="1:20" ht="15" customHeight="1">
      <c r="A12" s="4"/>
      <c r="C12" s="22"/>
      <c r="D12" s="5"/>
      <c r="E12" s="5"/>
      <c r="F12" s="5"/>
      <c r="G12" s="5"/>
      <c r="H12" s="5"/>
      <c r="I12" s="5"/>
      <c r="J12" s="5"/>
      <c r="K12" s="5"/>
      <c r="L12" s="5"/>
      <c r="M12" s="5"/>
      <c r="N12" s="5"/>
      <c r="O12" s="5"/>
      <c r="P12" s="5"/>
      <c r="Q12" s="5"/>
      <c r="R12" s="5"/>
      <c r="S12" s="5"/>
      <c r="T12" s="6"/>
    </row>
    <row r="13" spans="1:20" ht="15" customHeight="1">
      <c r="A13" s="4"/>
      <c r="C13" s="22"/>
      <c r="D13" s="5"/>
      <c r="E13" s="5"/>
      <c r="F13" s="5"/>
      <c r="G13" s="5"/>
      <c r="H13" s="5"/>
      <c r="I13" s="5"/>
      <c r="J13" s="5"/>
      <c r="K13" s="5"/>
      <c r="L13" s="5"/>
      <c r="M13" s="5"/>
      <c r="N13" s="5"/>
      <c r="O13" s="5"/>
      <c r="P13" s="5"/>
      <c r="Q13" s="5"/>
      <c r="R13" s="5"/>
      <c r="S13" s="5"/>
      <c r="T13" s="6"/>
    </row>
    <row r="14" spans="1:20" ht="15" customHeight="1">
      <c r="A14" s="4"/>
      <c r="C14" s="12"/>
      <c r="D14" s="5"/>
      <c r="E14" s="5"/>
      <c r="F14" s="5"/>
      <c r="G14" s="5"/>
      <c r="H14" s="5"/>
      <c r="I14" s="5"/>
      <c r="J14" s="5"/>
      <c r="K14" s="5"/>
      <c r="L14" s="5"/>
      <c r="M14" s="5"/>
      <c r="N14" s="5"/>
      <c r="O14" s="5"/>
      <c r="P14" s="5"/>
      <c r="Q14" s="5"/>
      <c r="R14" s="5"/>
      <c r="S14" s="5"/>
      <c r="T14" s="6"/>
    </row>
    <row r="15" spans="1:20" ht="15" customHeight="1">
      <c r="A15" s="4"/>
      <c r="C15" s="22"/>
      <c r="D15" s="5"/>
      <c r="E15" s="5"/>
      <c r="F15" s="5"/>
      <c r="G15" s="5"/>
      <c r="H15" s="5"/>
      <c r="I15" s="5"/>
      <c r="J15" s="5"/>
      <c r="K15" s="5"/>
      <c r="L15" s="5"/>
      <c r="M15" s="5"/>
      <c r="N15" s="5"/>
      <c r="O15" s="5"/>
      <c r="P15" s="5"/>
      <c r="Q15" s="5"/>
      <c r="R15" s="5"/>
      <c r="S15" s="5"/>
      <c r="T15" s="6"/>
    </row>
    <row r="16" spans="1:20" ht="15" customHeight="1">
      <c r="A16" s="4"/>
      <c r="C16" s="22"/>
      <c r="D16" s="5"/>
      <c r="E16" s="5"/>
      <c r="F16" s="5"/>
      <c r="G16" s="5"/>
      <c r="H16" s="5"/>
      <c r="I16" s="5"/>
      <c r="J16" s="5"/>
      <c r="K16" s="5"/>
      <c r="L16" s="5"/>
      <c r="M16" s="5"/>
      <c r="N16" s="5"/>
      <c r="O16" s="5"/>
      <c r="P16" s="5"/>
      <c r="Q16" s="5"/>
      <c r="R16" s="5"/>
      <c r="S16" s="5"/>
      <c r="T16" s="6"/>
    </row>
    <row r="17" spans="1:20" ht="15" customHeight="1">
      <c r="A17" s="4"/>
      <c r="C17" s="22"/>
      <c r="D17" s="5"/>
      <c r="E17" s="5"/>
      <c r="F17" s="5"/>
      <c r="G17" s="5"/>
      <c r="H17" s="5"/>
      <c r="I17" s="5"/>
      <c r="J17" s="5"/>
      <c r="K17" s="5"/>
      <c r="L17" s="5"/>
      <c r="M17" s="5"/>
      <c r="N17" s="5"/>
      <c r="O17" s="5"/>
      <c r="P17" s="5"/>
      <c r="Q17" s="5"/>
      <c r="R17" s="5"/>
      <c r="S17" s="5"/>
      <c r="T17" s="6"/>
    </row>
    <row r="18" spans="1:20" ht="15" customHeight="1">
      <c r="A18" s="4"/>
      <c r="C18" s="22"/>
      <c r="D18" s="5"/>
      <c r="E18" s="5"/>
      <c r="F18" s="5"/>
      <c r="G18" s="5"/>
      <c r="H18" s="5"/>
      <c r="I18" s="5"/>
      <c r="J18" s="5"/>
      <c r="K18" s="5"/>
      <c r="L18" s="5"/>
      <c r="M18" s="5"/>
      <c r="N18" s="5"/>
      <c r="O18" s="5"/>
      <c r="P18" s="5"/>
      <c r="Q18" s="5"/>
      <c r="R18" s="5"/>
      <c r="S18" s="5"/>
      <c r="T18" s="6"/>
    </row>
    <row r="19" spans="1:20" ht="15" customHeight="1">
      <c r="A19" s="4"/>
      <c r="C19" s="22"/>
      <c r="D19" s="5"/>
      <c r="E19" s="5"/>
      <c r="F19" s="5"/>
      <c r="G19" s="5"/>
      <c r="H19" s="5"/>
      <c r="I19" s="5"/>
      <c r="J19" s="5"/>
      <c r="K19" s="5"/>
      <c r="L19" s="5"/>
      <c r="M19" s="5"/>
      <c r="N19" s="5"/>
      <c r="O19" s="5"/>
      <c r="P19" s="5"/>
      <c r="Q19" s="5"/>
      <c r="R19" s="5"/>
      <c r="S19" s="5"/>
      <c r="T19" s="6"/>
    </row>
    <row r="20" spans="1:20" ht="15" customHeight="1">
      <c r="A20" s="4"/>
      <c r="D20" s="5"/>
      <c r="E20" s="5"/>
      <c r="F20" s="5"/>
      <c r="G20" s="5"/>
      <c r="H20" s="5"/>
      <c r="I20" s="5"/>
      <c r="J20" s="5"/>
      <c r="K20" s="5"/>
      <c r="L20" s="5"/>
      <c r="M20" s="5"/>
      <c r="N20" s="5"/>
      <c r="O20" s="5"/>
      <c r="P20" s="5"/>
      <c r="Q20" s="5"/>
      <c r="R20" s="5"/>
      <c r="S20" s="5"/>
      <c r="T20" s="6"/>
    </row>
    <row r="21" spans="1:20" ht="15" customHeight="1">
      <c r="A21" s="4"/>
      <c r="C21" s="5"/>
      <c r="D21" s="5"/>
      <c r="E21" s="5"/>
      <c r="F21" s="5"/>
      <c r="G21" s="5"/>
      <c r="H21" s="5"/>
      <c r="I21" s="5"/>
      <c r="J21" s="5"/>
      <c r="K21" s="5"/>
      <c r="L21" s="5"/>
      <c r="M21" s="5"/>
      <c r="N21" s="5"/>
      <c r="O21" s="5"/>
      <c r="P21" s="5"/>
      <c r="Q21" s="5"/>
      <c r="R21" s="5"/>
      <c r="S21" s="5"/>
      <c r="T21" s="6"/>
    </row>
    <row r="22" spans="1:20" ht="15" customHeight="1">
      <c r="A22" s="4"/>
      <c r="C22" s="5"/>
      <c r="D22" s="5"/>
      <c r="E22" s="5"/>
      <c r="F22" s="5"/>
      <c r="G22" s="5"/>
      <c r="H22" s="5"/>
      <c r="I22" s="5"/>
      <c r="J22" s="5"/>
      <c r="K22" s="5"/>
      <c r="L22" s="5"/>
      <c r="M22" s="5"/>
      <c r="N22" s="5"/>
      <c r="O22" s="5"/>
      <c r="P22" s="5"/>
      <c r="Q22" s="5"/>
      <c r="R22" s="5"/>
      <c r="S22" s="5"/>
      <c r="T22" s="6"/>
    </row>
    <row r="23" spans="1:20" ht="15" customHeight="1">
      <c r="A23" s="4"/>
      <c r="B23" s="5"/>
      <c r="C23" s="5"/>
      <c r="D23" s="5"/>
      <c r="E23" s="5"/>
      <c r="F23" s="5"/>
      <c r="G23" s="5"/>
      <c r="H23" s="5"/>
      <c r="I23" s="5"/>
      <c r="J23" s="5"/>
      <c r="K23" s="5"/>
      <c r="L23" s="5"/>
      <c r="M23" s="5"/>
      <c r="N23" s="5"/>
      <c r="O23" s="5"/>
      <c r="P23" s="5"/>
      <c r="Q23" s="5"/>
      <c r="R23" s="5"/>
      <c r="S23" s="5"/>
      <c r="T23" s="6"/>
    </row>
    <row r="24" spans="1:20" ht="15" customHeight="1">
      <c r="A24" s="4"/>
      <c r="B24" s="5"/>
      <c r="C24" s="5"/>
      <c r="D24" s="5"/>
      <c r="E24" s="5"/>
      <c r="F24" s="5"/>
      <c r="G24" s="5"/>
      <c r="H24" s="5"/>
      <c r="I24" s="5"/>
      <c r="J24" s="5"/>
      <c r="K24" s="5"/>
      <c r="L24" s="5"/>
      <c r="M24" s="5"/>
      <c r="N24" s="5"/>
      <c r="O24" s="5"/>
      <c r="P24" s="5"/>
      <c r="Q24" s="5"/>
      <c r="R24" s="5"/>
      <c r="S24" s="5"/>
      <c r="T24" s="6"/>
    </row>
    <row r="25" spans="1:20" ht="15" customHeight="1" thickBot="1">
      <c r="A25" s="24" t="s">
        <v>102</v>
      </c>
      <c r="B25" s="8"/>
      <c r="C25" s="8"/>
      <c r="D25" s="8"/>
      <c r="E25" s="8"/>
      <c r="F25" s="8"/>
      <c r="G25" s="8"/>
      <c r="H25" s="8"/>
      <c r="I25" s="8"/>
      <c r="J25" s="8"/>
      <c r="K25" s="8"/>
      <c r="L25" s="8"/>
      <c r="M25" s="8"/>
      <c r="N25" s="8"/>
      <c r="O25" s="8"/>
      <c r="P25" s="8"/>
      <c r="Q25" s="8"/>
      <c r="R25" s="8"/>
      <c r="S25" s="8"/>
      <c r="T25" s="9"/>
    </row>
  </sheetData>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6"/>
  <sheetViews>
    <sheetView showGridLines="0" topLeftCell="A5" zoomScale="90" zoomScaleNormal="90" workbookViewId="0">
      <selection activeCell="G19" sqref="G19:K20"/>
    </sheetView>
  </sheetViews>
  <sheetFormatPr defaultColWidth="0" defaultRowHeight="0" customHeight="1" zeroHeight="1"/>
  <cols>
    <col min="1" max="5" width="9.1796875" customWidth="1"/>
    <col min="6" max="6" width="10.81640625" customWidth="1"/>
    <col min="7"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D5" s="5"/>
      <c r="E5" s="5"/>
      <c r="F5" s="5"/>
      <c r="G5" s="5"/>
      <c r="H5" s="5"/>
      <c r="I5" s="5"/>
      <c r="J5" s="5"/>
      <c r="K5" s="5"/>
      <c r="L5" s="5"/>
      <c r="M5" s="5"/>
      <c r="N5" s="5"/>
      <c r="O5" s="5"/>
      <c r="P5" s="5"/>
      <c r="Q5" s="5"/>
      <c r="R5" s="5"/>
      <c r="S5" s="5"/>
      <c r="T5" s="6"/>
    </row>
    <row r="6" spans="1:20" ht="15" customHeight="1">
      <c r="A6" s="4"/>
      <c r="C6" s="12"/>
      <c r="D6" s="5"/>
      <c r="E6" s="5"/>
      <c r="F6" s="5"/>
      <c r="G6" s="5"/>
      <c r="H6" s="5"/>
      <c r="I6" s="5"/>
      <c r="J6" s="5"/>
      <c r="K6" s="5"/>
      <c r="L6" s="5"/>
      <c r="M6" s="5"/>
      <c r="N6" s="5"/>
      <c r="O6" s="5"/>
      <c r="P6" s="5"/>
      <c r="Q6" s="5"/>
      <c r="R6" s="5"/>
      <c r="S6" s="5"/>
      <c r="T6" s="6"/>
    </row>
    <row r="7" spans="1:20" ht="15" customHeight="1">
      <c r="A7" s="4"/>
      <c r="C7" s="12"/>
      <c r="D7" s="5"/>
      <c r="E7" s="5"/>
      <c r="F7" s="5"/>
      <c r="G7" s="5"/>
      <c r="H7" s="5"/>
      <c r="I7" s="5"/>
      <c r="J7" s="5"/>
      <c r="K7" s="5"/>
      <c r="L7" s="5"/>
      <c r="M7" s="5"/>
      <c r="N7" s="5"/>
      <c r="O7" s="5"/>
      <c r="P7" s="5"/>
      <c r="Q7" s="5"/>
      <c r="R7" s="5"/>
      <c r="S7" s="5"/>
      <c r="T7" s="6"/>
    </row>
    <row r="8" spans="1:20" ht="15" customHeight="1">
      <c r="A8" s="4"/>
      <c r="C8" s="22"/>
      <c r="D8" s="5"/>
      <c r="E8" s="5"/>
      <c r="F8" s="5"/>
      <c r="G8" s="5"/>
      <c r="T8" s="6"/>
    </row>
    <row r="9" spans="1:20" ht="15" customHeight="1">
      <c r="A9" s="4"/>
      <c r="C9" s="22"/>
      <c r="D9" s="5"/>
      <c r="E9" s="5"/>
      <c r="F9" s="5"/>
      <c r="G9" s="5"/>
      <c r="T9" s="6"/>
    </row>
    <row r="10" spans="1:20" ht="15" customHeight="1">
      <c r="A10" s="4"/>
      <c r="C10" s="22"/>
      <c r="D10" s="5"/>
      <c r="E10" s="5"/>
      <c r="F10" s="5"/>
      <c r="G10" s="5"/>
      <c r="T10" s="6"/>
    </row>
    <row r="11" spans="1:20" ht="15" customHeight="1">
      <c r="A11" s="4"/>
      <c r="C11" s="22"/>
      <c r="D11" s="5"/>
      <c r="E11" s="5"/>
      <c r="F11" s="5"/>
      <c r="G11" s="5"/>
      <c r="R11" s="5"/>
      <c r="S11" s="5"/>
      <c r="T11" s="6"/>
    </row>
    <row r="12" spans="1:20" ht="15" customHeight="1">
      <c r="A12" s="4"/>
      <c r="C12" s="22"/>
      <c r="D12" s="5"/>
      <c r="E12" s="5"/>
      <c r="F12" s="5"/>
      <c r="G12" s="5"/>
      <c r="R12" s="5"/>
      <c r="S12" s="5"/>
      <c r="T12" s="6"/>
    </row>
    <row r="13" spans="1:20" ht="15" customHeight="1">
      <c r="A13" s="177"/>
      <c r="B13" s="178"/>
      <c r="C13" s="178"/>
      <c r="D13" s="178"/>
      <c r="E13" s="5"/>
      <c r="F13" s="5"/>
      <c r="G13" s="5"/>
      <c r="R13" s="5"/>
      <c r="S13" s="5"/>
      <c r="T13" s="6"/>
    </row>
    <row r="14" spans="1:20" ht="15" customHeight="1" thickBot="1">
      <c r="A14" s="29"/>
      <c r="B14" s="179" t="s">
        <v>49</v>
      </c>
      <c r="C14" s="179"/>
      <c r="D14" s="179"/>
      <c r="E14" s="179"/>
      <c r="F14" s="25"/>
      <c r="G14" s="26">
        <v>2019</v>
      </c>
      <c r="H14" s="26">
        <v>2020</v>
      </c>
      <c r="I14" s="26">
        <v>2021</v>
      </c>
      <c r="J14" s="26">
        <v>2022</v>
      </c>
      <c r="K14" s="26">
        <v>2023</v>
      </c>
      <c r="R14" s="5"/>
      <c r="S14" s="5"/>
      <c r="T14" s="6"/>
    </row>
    <row r="15" spans="1:20" ht="15" customHeight="1">
      <c r="A15" s="29"/>
      <c r="B15" s="30" t="s">
        <v>132</v>
      </c>
      <c r="C15" s="30"/>
      <c r="D15" s="30"/>
      <c r="E15" s="30"/>
      <c r="F15" s="30"/>
      <c r="G15" s="27">
        <f t="shared" ref="G15:J15" si="0">SUM(G16:G17)</f>
        <v>3073.0929999999998</v>
      </c>
      <c r="H15" s="27">
        <f t="shared" si="0"/>
        <v>2261.7959999999998</v>
      </c>
      <c r="I15" s="27">
        <f t="shared" si="0"/>
        <v>2326.5430000000001</v>
      </c>
      <c r="J15" s="27">
        <f t="shared" si="0"/>
        <v>2410.741</v>
      </c>
      <c r="K15" s="27">
        <f>SUM(K16:K17)</f>
        <v>2562.4659999999999</v>
      </c>
      <c r="M15" s="132"/>
      <c r="N15" s="5"/>
      <c r="O15" s="5"/>
      <c r="P15" s="5"/>
      <c r="Q15" s="5"/>
      <c r="R15" s="5"/>
      <c r="S15" s="5"/>
      <c r="T15" s="6"/>
    </row>
    <row r="16" spans="1:20" ht="15" customHeight="1">
      <c r="A16" s="4"/>
      <c r="B16" s="31" t="s">
        <v>140</v>
      </c>
      <c r="C16" s="31"/>
      <c r="D16" s="31"/>
      <c r="E16" s="31"/>
      <c r="F16" s="31"/>
      <c r="G16" s="28">
        <v>2665.5830000000001</v>
      </c>
      <c r="H16" s="28">
        <v>1954.828</v>
      </c>
      <c r="I16" s="28">
        <v>1977.0940000000001</v>
      </c>
      <c r="J16" s="28">
        <v>1960.462</v>
      </c>
      <c r="K16" s="28">
        <v>2180.23</v>
      </c>
      <c r="M16" s="5"/>
      <c r="N16" s="5"/>
      <c r="O16" s="5"/>
      <c r="P16" s="5"/>
      <c r="Q16" s="5"/>
      <c r="R16" s="5"/>
      <c r="S16" s="5"/>
      <c r="T16" s="6"/>
    </row>
    <row r="17" spans="1:20" ht="15" customHeight="1">
      <c r="A17" s="4"/>
      <c r="B17" s="181" t="s">
        <v>139</v>
      </c>
      <c r="C17" s="31"/>
      <c r="D17" s="31"/>
      <c r="E17" s="31"/>
      <c r="F17" s="31"/>
      <c r="G17" s="28">
        <v>407.51</v>
      </c>
      <c r="H17" s="28">
        <v>306.96800000000002</v>
      </c>
      <c r="I17" s="28">
        <v>349.44900000000001</v>
      </c>
      <c r="J17" s="28">
        <v>450.279</v>
      </c>
      <c r="K17" s="28">
        <v>382.23599999999999</v>
      </c>
      <c r="M17" s="5"/>
      <c r="N17" s="5"/>
      <c r="O17" s="5"/>
      <c r="P17" s="5"/>
      <c r="Q17" s="5"/>
      <c r="R17" s="5"/>
      <c r="S17" s="5"/>
      <c r="T17" s="6"/>
    </row>
    <row r="18" spans="1:20" ht="15" customHeight="1">
      <c r="A18" s="4"/>
      <c r="B18" s="108" t="s">
        <v>15</v>
      </c>
      <c r="C18" s="108"/>
      <c r="D18" s="108"/>
      <c r="E18" s="108"/>
      <c r="F18" s="108"/>
      <c r="G18" s="36">
        <f t="shared" ref="G18:J18" si="1">+SUM(G19:G20)</f>
        <v>821.26700000000005</v>
      </c>
      <c r="H18" s="36">
        <f t="shared" si="1"/>
        <v>560.85800000000006</v>
      </c>
      <c r="I18" s="36">
        <f t="shared" si="1"/>
        <v>527.38499999999999</v>
      </c>
      <c r="J18" s="36">
        <f t="shared" si="1"/>
        <v>585.34900000000005</v>
      </c>
      <c r="K18" s="36">
        <f>+SUM(K19:K20)</f>
        <v>639.8549999999999</v>
      </c>
      <c r="M18" s="5"/>
      <c r="N18" s="5"/>
      <c r="O18" s="5"/>
      <c r="P18" s="5"/>
      <c r="Q18" s="5"/>
      <c r="R18" s="5"/>
      <c r="S18" s="5"/>
      <c r="T18" s="6"/>
    </row>
    <row r="19" spans="1:20" ht="15" customHeight="1">
      <c r="A19" s="4"/>
      <c r="B19" s="31" t="s">
        <v>17</v>
      </c>
      <c r="C19" s="31"/>
      <c r="D19" s="31"/>
      <c r="E19" s="31"/>
      <c r="F19" s="31"/>
      <c r="G19" s="28">
        <v>724.97900000000004</v>
      </c>
      <c r="H19" s="28">
        <v>483.68700000000001</v>
      </c>
      <c r="I19" s="28">
        <v>442.23599999999999</v>
      </c>
      <c r="J19" s="28">
        <v>474.71300000000002</v>
      </c>
      <c r="K19" s="28">
        <v>554.63699999999994</v>
      </c>
      <c r="M19" s="132"/>
      <c r="N19" s="125"/>
      <c r="O19" s="5"/>
      <c r="P19" s="5"/>
      <c r="Q19" s="5"/>
      <c r="R19" s="5"/>
      <c r="S19" s="5"/>
      <c r="T19" s="6"/>
    </row>
    <row r="20" spans="1:20" ht="15" customHeight="1">
      <c r="A20" s="4"/>
      <c r="B20" s="103" t="s">
        <v>18</v>
      </c>
      <c r="C20" s="103"/>
      <c r="D20" s="103"/>
      <c r="E20" s="103"/>
      <c r="F20" s="103"/>
      <c r="G20" s="99">
        <v>96.287999999999997</v>
      </c>
      <c r="H20" s="99">
        <v>77.171000000000006</v>
      </c>
      <c r="I20" s="99">
        <v>85.149000000000001</v>
      </c>
      <c r="J20" s="99">
        <v>110.636</v>
      </c>
      <c r="K20" s="99">
        <v>85.218000000000004</v>
      </c>
      <c r="M20" s="131"/>
      <c r="N20" s="126"/>
      <c r="O20" s="5"/>
      <c r="P20" s="5"/>
      <c r="Q20" s="5"/>
      <c r="R20" s="5"/>
      <c r="S20" s="5"/>
      <c r="T20" s="6"/>
    </row>
    <row r="21" spans="1:20" ht="15" customHeight="1" thickBot="1">
      <c r="A21" s="4"/>
      <c r="B21" s="94" t="s">
        <v>16</v>
      </c>
      <c r="C21" s="94"/>
      <c r="D21" s="94"/>
      <c r="E21" s="94"/>
      <c r="F21" s="94"/>
      <c r="G21" s="104">
        <f>+G18/G15</f>
        <v>0.26724443419056959</v>
      </c>
      <c r="H21" s="104">
        <f>+H18/H15</f>
        <v>0.24797019713537388</v>
      </c>
      <c r="I21" s="104">
        <f>+I18/I15</f>
        <v>0.22668181933452336</v>
      </c>
      <c r="J21" s="104">
        <f>+J18/J15</f>
        <v>0.24280874635641075</v>
      </c>
      <c r="K21" s="104">
        <f>+K18/K15</f>
        <v>0.24970282532529209</v>
      </c>
      <c r="M21" s="5"/>
      <c r="N21" s="5"/>
      <c r="O21" s="5"/>
      <c r="P21" s="5"/>
      <c r="Q21" s="5"/>
      <c r="R21" s="5"/>
      <c r="S21" s="5"/>
      <c r="T21" s="6"/>
    </row>
    <row r="22" spans="1:20" ht="15" customHeight="1">
      <c r="A22" s="4"/>
      <c r="B22" s="5"/>
      <c r="C22" s="5"/>
      <c r="D22" s="5"/>
      <c r="E22" s="5"/>
      <c r="F22" s="5"/>
      <c r="G22" s="5"/>
      <c r="H22" s="5"/>
      <c r="I22" s="5"/>
      <c r="J22" s="5"/>
      <c r="K22" s="5"/>
      <c r="M22" s="5"/>
      <c r="N22" s="5"/>
      <c r="O22" s="5"/>
      <c r="P22" s="5"/>
      <c r="Q22" s="5"/>
      <c r="R22" s="5"/>
      <c r="S22" s="5"/>
      <c r="T22" s="6"/>
    </row>
    <row r="23" spans="1:20" ht="15" customHeight="1">
      <c r="A23" s="4"/>
      <c r="B23" s="5"/>
      <c r="C23" s="5"/>
      <c r="D23" s="5"/>
      <c r="E23" s="5"/>
      <c r="F23" s="5"/>
      <c r="G23" s="5"/>
      <c r="H23" s="5"/>
      <c r="I23" s="5"/>
      <c r="J23" s="5"/>
      <c r="K23" s="5"/>
      <c r="L23" s="5"/>
      <c r="M23" s="5"/>
      <c r="N23" s="5"/>
      <c r="O23" s="5"/>
      <c r="P23" s="5"/>
      <c r="Q23" s="5"/>
      <c r="R23" s="5"/>
      <c r="S23" s="5"/>
      <c r="T23" s="6"/>
    </row>
    <row r="24" spans="1:20" ht="15" customHeight="1">
      <c r="A24" s="4"/>
      <c r="B24" s="169"/>
      <c r="C24" s="169"/>
      <c r="D24" s="169"/>
      <c r="E24" s="169"/>
      <c r="F24" s="169"/>
      <c r="G24" s="169"/>
      <c r="H24" s="169"/>
      <c r="I24" s="169"/>
      <c r="J24" s="169"/>
      <c r="K24" s="169"/>
      <c r="L24" s="5"/>
      <c r="M24" s="5"/>
      <c r="N24" s="5"/>
      <c r="O24" s="5"/>
      <c r="P24" s="5"/>
      <c r="Q24" s="5"/>
      <c r="R24" s="5"/>
      <c r="S24" s="5"/>
      <c r="T24" s="6"/>
    </row>
    <row r="25" spans="1:20" ht="15" customHeight="1" thickBot="1">
      <c r="A25" s="24" t="s">
        <v>103</v>
      </c>
      <c r="B25" s="8"/>
      <c r="C25" s="8"/>
      <c r="D25" s="8"/>
      <c r="E25" s="8"/>
      <c r="F25" s="8"/>
      <c r="G25" s="8"/>
      <c r="H25" s="8"/>
      <c r="I25" s="8"/>
      <c r="J25" s="8"/>
      <c r="K25" s="8"/>
      <c r="L25" s="8"/>
      <c r="M25" s="8"/>
      <c r="N25" s="8"/>
      <c r="O25" s="8"/>
      <c r="P25" s="8"/>
      <c r="Q25" s="8"/>
      <c r="R25" s="8"/>
      <c r="S25" s="8"/>
      <c r="T25" s="9"/>
    </row>
    <row r="26" spans="1:20" ht="0" hidden="1" customHeight="1"/>
  </sheetData>
  <mergeCells count="2">
    <mergeCell ref="A13:D13"/>
    <mergeCell ref="B14:E14"/>
  </mergeCells>
  <pageMargins left="0.511811024" right="0.511811024" top="0.78740157499999996" bottom="0.78740157499999996" header="0.31496062000000002" footer="0.31496062000000002"/>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5" zoomScale="90" zoomScaleNormal="90" workbookViewId="0">
      <selection activeCell="H21" sqref="H21:L21"/>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B2" s="5"/>
      <c r="C2" s="5"/>
      <c r="D2" s="5"/>
      <c r="E2" s="5"/>
      <c r="F2" s="5"/>
      <c r="G2" s="5"/>
      <c r="H2" s="5"/>
      <c r="I2" s="5"/>
      <c r="J2" s="5"/>
      <c r="K2" s="5"/>
      <c r="L2" s="5"/>
      <c r="M2" s="5"/>
      <c r="N2" s="5"/>
      <c r="O2" s="5"/>
      <c r="P2" s="5"/>
      <c r="Q2" s="5"/>
      <c r="R2" s="5"/>
      <c r="S2" s="5"/>
      <c r="T2" s="6"/>
    </row>
    <row r="3" spans="1:20" ht="15" customHeight="1">
      <c r="A3" s="4"/>
      <c r="B3" s="5"/>
      <c r="C3" s="5"/>
      <c r="D3" s="5"/>
      <c r="E3" s="5"/>
      <c r="F3" s="5"/>
      <c r="G3" s="5"/>
      <c r="H3" s="5"/>
      <c r="I3" s="5"/>
      <c r="J3" s="5"/>
      <c r="K3" s="5"/>
      <c r="L3" s="5"/>
      <c r="M3" s="5"/>
      <c r="N3" s="5"/>
      <c r="O3" s="5"/>
      <c r="P3" s="5"/>
      <c r="Q3" s="5"/>
      <c r="R3" s="5"/>
      <c r="S3" s="5"/>
      <c r="T3" s="6"/>
    </row>
    <row r="4" spans="1:20" ht="15" customHeight="1">
      <c r="A4" s="4"/>
      <c r="B4" s="5"/>
      <c r="C4" s="5"/>
      <c r="D4" s="5"/>
      <c r="E4" s="5"/>
      <c r="F4" s="5"/>
      <c r="G4" s="5"/>
      <c r="H4" s="5"/>
      <c r="I4" s="5"/>
      <c r="J4" s="5"/>
      <c r="K4" s="5"/>
      <c r="L4" s="5"/>
      <c r="M4" s="5"/>
      <c r="N4" s="5"/>
      <c r="O4" s="5"/>
      <c r="P4" s="5"/>
      <c r="Q4" s="5"/>
      <c r="R4" s="5"/>
      <c r="S4" s="5"/>
      <c r="T4" s="6"/>
    </row>
    <row r="5" spans="1:20" ht="15" customHeight="1">
      <c r="A5" s="4"/>
      <c r="D5" s="5"/>
      <c r="E5" s="5"/>
      <c r="F5" s="5"/>
      <c r="G5" s="5"/>
      <c r="H5" s="5"/>
      <c r="I5" s="5"/>
      <c r="J5" s="5"/>
      <c r="K5" s="5"/>
      <c r="L5" s="5"/>
      <c r="M5" s="5"/>
      <c r="N5" s="5"/>
      <c r="O5" s="5"/>
      <c r="P5" s="5"/>
      <c r="Q5" s="5"/>
      <c r="R5" s="5"/>
      <c r="S5" s="5"/>
      <c r="T5" s="6"/>
    </row>
    <row r="6" spans="1:20" ht="15" customHeight="1">
      <c r="A6" s="4"/>
      <c r="C6" s="12"/>
      <c r="D6" s="5"/>
      <c r="E6" s="5"/>
      <c r="F6" s="5"/>
      <c r="G6" s="5"/>
      <c r="H6" s="5"/>
      <c r="I6" s="5"/>
      <c r="J6" s="5"/>
      <c r="K6" s="5"/>
      <c r="L6" s="5"/>
      <c r="M6" s="5"/>
      <c r="N6" s="5"/>
      <c r="O6" s="5"/>
      <c r="P6" s="5"/>
      <c r="Q6" s="5"/>
      <c r="R6" s="5"/>
      <c r="S6" s="5"/>
      <c r="T6" s="6"/>
    </row>
    <row r="7" spans="1:20" ht="15" customHeight="1">
      <c r="A7" s="4"/>
      <c r="C7" s="12"/>
      <c r="D7" s="5"/>
      <c r="E7" s="5"/>
      <c r="F7" s="5"/>
      <c r="G7" s="5"/>
      <c r="H7" s="5"/>
      <c r="I7" s="5"/>
      <c r="J7" s="5"/>
      <c r="K7" s="5"/>
      <c r="L7" s="5"/>
      <c r="M7" s="5"/>
      <c r="N7" s="5"/>
      <c r="O7" s="5"/>
      <c r="P7" s="5"/>
      <c r="Q7" s="5"/>
      <c r="R7" s="5"/>
      <c r="S7" s="5"/>
      <c r="T7" s="6"/>
    </row>
    <row r="8" spans="1:20" ht="15" customHeight="1">
      <c r="A8" s="4"/>
      <c r="C8" s="22"/>
      <c r="D8" s="5"/>
      <c r="E8" s="5"/>
      <c r="F8" s="5"/>
      <c r="G8" s="5"/>
      <c r="T8" s="6"/>
    </row>
    <row r="9" spans="1:20" ht="15" customHeight="1">
      <c r="A9" s="4"/>
      <c r="C9" s="22"/>
      <c r="D9" s="5"/>
      <c r="E9" s="5"/>
      <c r="F9" s="5"/>
      <c r="G9" s="5"/>
      <c r="T9" s="6"/>
    </row>
    <row r="10" spans="1:20" ht="15" customHeight="1">
      <c r="A10" s="4"/>
      <c r="C10" s="22"/>
      <c r="D10" s="5"/>
      <c r="E10" s="5"/>
      <c r="F10" s="5"/>
      <c r="G10" s="5"/>
      <c r="T10" s="6"/>
    </row>
    <row r="11" spans="1:20" ht="15" customHeight="1">
      <c r="A11" s="4"/>
      <c r="C11" s="22"/>
      <c r="D11" s="5"/>
      <c r="E11" s="5"/>
      <c r="F11" s="5"/>
      <c r="G11" s="5"/>
      <c r="R11" s="5"/>
      <c r="S11" s="5"/>
      <c r="T11" s="6"/>
    </row>
    <row r="12" spans="1:20" ht="15" customHeight="1">
      <c r="A12" s="4"/>
      <c r="C12" s="22"/>
      <c r="D12" s="5"/>
      <c r="E12" s="5"/>
      <c r="F12" s="5"/>
      <c r="G12" s="5"/>
      <c r="R12" s="5"/>
      <c r="S12" s="5"/>
      <c r="T12" s="6"/>
    </row>
    <row r="13" spans="1:20" ht="15" customHeight="1">
      <c r="A13" s="177"/>
      <c r="B13" s="178"/>
      <c r="C13" s="178"/>
      <c r="D13" s="178"/>
      <c r="E13" s="5"/>
      <c r="F13" s="5"/>
      <c r="G13" s="5"/>
      <c r="R13" s="5"/>
      <c r="S13" s="5"/>
      <c r="T13" s="6"/>
    </row>
    <row r="14" spans="1:20" ht="15" customHeight="1">
      <c r="A14" s="177"/>
      <c r="B14" s="178"/>
      <c r="C14" s="178"/>
      <c r="D14" s="178"/>
      <c r="E14" s="5"/>
      <c r="F14" s="5"/>
      <c r="G14" s="5"/>
      <c r="R14" s="5"/>
      <c r="S14" s="5"/>
      <c r="T14" s="6"/>
    </row>
    <row r="15" spans="1:20" ht="15" customHeight="1">
      <c r="A15" s="177"/>
      <c r="B15" s="178"/>
      <c r="C15" s="178"/>
      <c r="D15" s="178"/>
      <c r="E15" s="5"/>
      <c r="F15" s="5"/>
      <c r="G15" s="5"/>
      <c r="H15" s="5"/>
      <c r="M15" s="5"/>
      <c r="N15" s="5"/>
      <c r="O15" s="5"/>
      <c r="P15" s="5"/>
      <c r="Q15" s="5"/>
      <c r="R15" s="5"/>
      <c r="S15" s="5"/>
      <c r="T15" s="6"/>
    </row>
    <row r="16" spans="1:20" ht="15" customHeight="1">
      <c r="A16" s="4"/>
      <c r="M16" s="5"/>
      <c r="N16" s="5"/>
      <c r="O16" s="5"/>
      <c r="P16" s="5"/>
      <c r="Q16" s="5"/>
      <c r="R16" s="5"/>
      <c r="S16" s="5"/>
      <c r="T16" s="6"/>
    </row>
    <row r="17" spans="1:20" ht="15" customHeight="1">
      <c r="A17" s="4"/>
      <c r="M17" s="5"/>
      <c r="N17" s="5"/>
      <c r="O17" s="5"/>
      <c r="P17" s="5"/>
      <c r="Q17" s="5"/>
      <c r="R17" s="5"/>
      <c r="S17" s="5"/>
      <c r="T17" s="6"/>
    </row>
    <row r="18" spans="1:20" ht="15" customHeight="1">
      <c r="A18" s="4"/>
      <c r="M18" s="5"/>
      <c r="N18" s="5"/>
      <c r="O18" s="5"/>
      <c r="P18" s="5"/>
      <c r="Q18" s="5"/>
      <c r="R18" s="5"/>
      <c r="S18" s="5"/>
      <c r="T18" s="6"/>
    </row>
    <row r="19" spans="1:20" ht="15" customHeight="1">
      <c r="A19" s="4"/>
      <c r="M19" s="5"/>
      <c r="N19" s="5"/>
      <c r="O19" s="5"/>
      <c r="P19" s="5"/>
      <c r="Q19" s="5"/>
      <c r="R19" s="5"/>
      <c r="S19" s="5"/>
      <c r="T19" s="6"/>
    </row>
    <row r="20" spans="1:20" ht="15" customHeight="1" thickBot="1">
      <c r="A20" s="4"/>
      <c r="B20" s="180" t="s">
        <v>49</v>
      </c>
      <c r="C20" s="180"/>
      <c r="D20" s="180"/>
      <c r="E20" s="180"/>
      <c r="F20" s="84"/>
      <c r="G20" s="85"/>
      <c r="H20" s="86">
        <v>2019</v>
      </c>
      <c r="I20" s="86">
        <v>2020</v>
      </c>
      <c r="J20" s="86">
        <v>2021</v>
      </c>
      <c r="K20" s="86">
        <v>2022</v>
      </c>
      <c r="L20" s="86">
        <v>2023</v>
      </c>
      <c r="M20" s="5"/>
      <c r="N20" s="5"/>
      <c r="O20" s="5"/>
      <c r="P20" s="5"/>
      <c r="Q20" s="5"/>
      <c r="R20" s="5"/>
      <c r="S20" s="5"/>
      <c r="T20" s="6"/>
    </row>
    <row r="21" spans="1:20" ht="15" customHeight="1">
      <c r="A21" s="4"/>
      <c r="B21" s="114" t="s">
        <v>57</v>
      </c>
      <c r="C21" s="114"/>
      <c r="D21" s="114"/>
      <c r="E21" s="114"/>
      <c r="F21" s="114"/>
      <c r="G21" s="114"/>
      <c r="H21" s="27">
        <v>1072.6076903126511</v>
      </c>
      <c r="I21" s="27">
        <v>1133.5053632113654</v>
      </c>
      <c r="J21" s="27">
        <v>1048.0808441650786</v>
      </c>
      <c r="K21" s="27">
        <v>1003.9993200637568</v>
      </c>
      <c r="L21" s="27">
        <v>1021.2432176039885</v>
      </c>
      <c r="M21" s="5"/>
      <c r="N21" s="5"/>
      <c r="O21" s="5"/>
      <c r="P21" s="5"/>
      <c r="Q21" s="5"/>
      <c r="R21" s="5"/>
      <c r="S21" s="5"/>
      <c r="T21" s="6"/>
    </row>
    <row r="22" spans="1:20" ht="15" customHeight="1">
      <c r="A22" s="4"/>
      <c r="B22" s="115" t="s">
        <v>58</v>
      </c>
      <c r="C22" s="115"/>
      <c r="D22" s="115"/>
      <c r="E22" s="115"/>
      <c r="F22" s="115"/>
      <c r="G22" s="115"/>
      <c r="H22" s="101">
        <v>1188.970219827057</v>
      </c>
      <c r="I22" s="101">
        <v>1282.4657164654002</v>
      </c>
      <c r="J22" s="101">
        <v>1196.5610081494949</v>
      </c>
      <c r="K22" s="101">
        <v>1168.8844291182252</v>
      </c>
      <c r="L22" s="101">
        <v>1124.0847617450693</v>
      </c>
      <c r="M22" s="5"/>
      <c r="N22" s="5"/>
      <c r="O22" s="5"/>
      <c r="P22" s="5"/>
      <c r="Q22" s="5"/>
      <c r="R22" s="5"/>
      <c r="S22" s="5"/>
      <c r="T22" s="6"/>
    </row>
    <row r="23" spans="1:20" ht="15" customHeight="1" thickBot="1">
      <c r="A23" s="4"/>
      <c r="B23" s="116" t="s">
        <v>59</v>
      </c>
      <c r="C23" s="116"/>
      <c r="D23" s="116"/>
      <c r="E23" s="116"/>
      <c r="F23" s="116"/>
      <c r="G23" s="116"/>
      <c r="H23" s="102">
        <v>196.48200191093386</v>
      </c>
      <c r="I23" s="102">
        <v>199.86207254020292</v>
      </c>
      <c r="J23" s="102">
        <v>276.92353404032929</v>
      </c>
      <c r="K23" s="102">
        <v>296.51617918218301</v>
      </c>
      <c r="L23" s="102">
        <v>351.90428078574951</v>
      </c>
      <c r="M23" s="5"/>
      <c r="N23" s="5"/>
      <c r="O23" s="5"/>
      <c r="P23" s="5"/>
      <c r="Q23" s="5"/>
      <c r="R23" s="5"/>
      <c r="S23" s="5"/>
      <c r="T23" s="6"/>
    </row>
    <row r="24" spans="1:20" ht="15" customHeight="1">
      <c r="A24" s="4"/>
      <c r="M24" s="5"/>
      <c r="N24" s="5"/>
      <c r="O24" s="5"/>
      <c r="P24" s="5"/>
      <c r="Q24" s="5"/>
      <c r="R24" s="5"/>
      <c r="S24" s="5"/>
      <c r="T24" s="6"/>
    </row>
    <row r="25" spans="1:20" ht="15" customHeight="1" thickBot="1">
      <c r="A25" s="24" t="s">
        <v>104</v>
      </c>
      <c r="B25" s="8"/>
      <c r="C25" s="8"/>
      <c r="D25" s="8"/>
      <c r="E25" s="8"/>
      <c r="F25" s="8"/>
      <c r="G25" s="8"/>
      <c r="H25" s="8"/>
      <c r="I25" s="8"/>
      <c r="J25" s="8"/>
      <c r="K25" s="8"/>
      <c r="L25" s="8"/>
      <c r="M25" s="8"/>
      <c r="N25" s="8"/>
      <c r="O25" s="8"/>
      <c r="P25" s="8"/>
      <c r="Q25" s="8"/>
      <c r="R25" s="8"/>
      <c r="S25" s="8"/>
      <c r="T25" s="9"/>
    </row>
  </sheetData>
  <mergeCells count="4">
    <mergeCell ref="A13:D13"/>
    <mergeCell ref="A14:D14"/>
    <mergeCell ref="A15:D15"/>
    <mergeCell ref="B20:E20"/>
  </mergeCells>
  <pageMargins left="0.51181102362204722" right="0.51181102362204722" top="0.78740157480314965" bottom="0.78740157480314965" header="0.31496062992125984" footer="0.31496062992125984"/>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4" zoomScale="90" zoomScaleNormal="90" workbookViewId="0">
      <selection activeCell="H17" sqref="H17:L17"/>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T8" s="6"/>
    </row>
    <row r="9" spans="1:20" ht="15" customHeight="1">
      <c r="A9" s="32"/>
      <c r="C9" s="22"/>
      <c r="D9" s="33"/>
      <c r="E9" s="33"/>
      <c r="F9" s="33"/>
      <c r="G9" s="33"/>
      <c r="T9" s="6"/>
    </row>
    <row r="10" spans="1:20" ht="15" customHeight="1">
      <c r="A10" s="32"/>
      <c r="C10" s="22"/>
      <c r="D10" s="33"/>
      <c r="E10" s="33"/>
      <c r="F10" s="33"/>
      <c r="G10" s="33"/>
      <c r="T10" s="6"/>
    </row>
    <row r="11" spans="1:20" ht="15" customHeight="1">
      <c r="A11" s="32"/>
      <c r="R11" s="33"/>
      <c r="S11" s="33"/>
      <c r="T11" s="6"/>
    </row>
    <row r="12" spans="1:20" ht="15" customHeight="1">
      <c r="A12" s="32"/>
      <c r="R12" s="33"/>
      <c r="S12" s="33"/>
      <c r="T12" s="6"/>
    </row>
    <row r="13" spans="1:20" ht="15" customHeight="1">
      <c r="A13" s="32"/>
      <c r="R13" s="33"/>
      <c r="S13" s="33"/>
      <c r="T13" s="6"/>
    </row>
    <row r="14" spans="1:20" ht="15" customHeight="1">
      <c r="A14" s="32"/>
      <c r="R14" s="33"/>
      <c r="S14" s="33"/>
      <c r="T14" s="6"/>
    </row>
    <row r="15" spans="1:20" ht="15" customHeight="1">
      <c r="A15" s="32"/>
      <c r="M15" s="33"/>
      <c r="N15" s="33"/>
      <c r="O15" s="33"/>
      <c r="P15" s="33"/>
      <c r="Q15" s="33"/>
      <c r="R15" s="33"/>
      <c r="S15" s="33"/>
      <c r="T15" s="6"/>
    </row>
    <row r="16" spans="1:20" ht="15" customHeight="1" thickBot="1">
      <c r="A16" s="32"/>
      <c r="B16" s="179" t="s">
        <v>49</v>
      </c>
      <c r="C16" s="179"/>
      <c r="D16" s="179"/>
      <c r="E16" s="179"/>
      <c r="F16" s="35"/>
      <c r="H16" s="26">
        <v>2019</v>
      </c>
      <c r="I16" s="26">
        <v>2020</v>
      </c>
      <c r="J16" s="26">
        <v>2021</v>
      </c>
      <c r="K16" s="26">
        <v>2022</v>
      </c>
      <c r="L16" s="26">
        <v>2023</v>
      </c>
      <c r="M16" s="33"/>
      <c r="N16" s="33"/>
      <c r="O16" s="33"/>
      <c r="P16" s="33"/>
      <c r="Q16" s="33"/>
      <c r="R16" s="33"/>
      <c r="S16" s="33"/>
      <c r="T16" s="6"/>
    </row>
    <row r="17" spans="1:20" ht="15" customHeight="1">
      <c r="A17" s="32"/>
      <c r="B17" s="114" t="s">
        <v>60</v>
      </c>
      <c r="C17" s="114"/>
      <c r="D17" s="114"/>
      <c r="E17" s="114"/>
      <c r="F17" s="114"/>
      <c r="G17" s="114"/>
      <c r="H17" s="166">
        <v>1463.8060990900001</v>
      </c>
      <c r="I17" s="166">
        <v>1050.3526486800001</v>
      </c>
      <c r="J17" s="166">
        <v>1082.8686054699999</v>
      </c>
      <c r="K17" s="166">
        <v>1500.6704069</v>
      </c>
      <c r="L17" s="166">
        <v>1781.7250238100003</v>
      </c>
      <c r="M17" s="33"/>
      <c r="N17" s="33"/>
      <c r="O17" s="33"/>
      <c r="P17" s="33"/>
      <c r="Q17" s="33"/>
      <c r="R17" s="33"/>
      <c r="S17" s="33"/>
      <c r="T17" s="6"/>
    </row>
    <row r="18" spans="1:20" ht="15" customHeight="1">
      <c r="A18" s="32"/>
      <c r="B18" s="117" t="s">
        <v>61</v>
      </c>
      <c r="C18" s="117"/>
      <c r="D18" s="117"/>
      <c r="E18" s="117"/>
      <c r="F18" s="117"/>
      <c r="G18" s="117"/>
      <c r="H18" s="99">
        <f>'Vol. veículos transportados'!G18*'Distância média'!H21/1000</f>
        <v>880.8973000000002</v>
      </c>
      <c r="I18" s="99">
        <f>'Vol. veículos transportados'!H18*'Distância média'!I21/1000</f>
        <v>635.7355510000001</v>
      </c>
      <c r="J18" s="99">
        <f>'Vol. veículos transportados'!I18*'Distância média'!J21/1000</f>
        <v>552.7421159999999</v>
      </c>
      <c r="K18" s="99">
        <f>'Vol. veículos transportados'!J18*'Distância média'!K21/1000</f>
        <v>587.68999800000006</v>
      </c>
      <c r="L18" s="118">
        <f>'Vol. veículos transportados'!K18*'Distância média'!L21/1000</f>
        <v>653.44757899999991</v>
      </c>
      <c r="M18" s="33"/>
      <c r="N18" s="33"/>
      <c r="O18" s="33"/>
      <c r="P18" s="33"/>
      <c r="Q18" s="33"/>
      <c r="R18" s="33"/>
      <c r="S18" s="33"/>
      <c r="T18" s="6"/>
    </row>
    <row r="19" spans="1:20" ht="15" customHeight="1" thickBot="1">
      <c r="A19" s="32"/>
      <c r="B19" s="116" t="s">
        <v>62</v>
      </c>
      <c r="C19" s="116"/>
      <c r="D19" s="116"/>
      <c r="E19" s="116"/>
      <c r="F19" s="116"/>
      <c r="G19" s="116"/>
      <c r="H19" s="100">
        <f>H17/H18</f>
        <v>1.6617216321244255</v>
      </c>
      <c r="I19" s="100">
        <f t="shared" ref="I19:L19" si="0">I17/I18</f>
        <v>1.6521848542649771</v>
      </c>
      <c r="J19" s="100">
        <f t="shared" si="0"/>
        <v>1.9590846691877557</v>
      </c>
      <c r="K19" s="100">
        <f t="shared" si="0"/>
        <v>2.5535068012166509</v>
      </c>
      <c r="L19" s="119">
        <f t="shared" si="0"/>
        <v>2.7266533400225521</v>
      </c>
      <c r="M19" s="33"/>
      <c r="N19" s="33"/>
      <c r="O19" s="33"/>
      <c r="P19" s="33"/>
      <c r="Q19" s="33"/>
      <c r="R19" s="33"/>
      <c r="S19" s="33"/>
      <c r="T19" s="6"/>
    </row>
    <row r="20" spans="1:20" ht="15" customHeight="1">
      <c r="A20" s="32"/>
      <c r="M20" s="33"/>
      <c r="N20" s="33"/>
      <c r="O20" s="33"/>
      <c r="P20" s="33"/>
      <c r="Q20" s="33"/>
      <c r="R20" s="33"/>
      <c r="S20" s="33"/>
      <c r="T20" s="6"/>
    </row>
    <row r="21" spans="1:20" ht="15" customHeight="1">
      <c r="A21" s="32"/>
      <c r="M21" s="33"/>
      <c r="N21" s="33"/>
      <c r="O21" s="33"/>
      <c r="P21" s="33"/>
      <c r="Q21" s="33"/>
      <c r="R21" s="33"/>
      <c r="S21" s="33"/>
      <c r="T21" s="6"/>
    </row>
    <row r="22" spans="1:20" ht="15" customHeight="1">
      <c r="A22" s="32"/>
      <c r="M22" s="33"/>
      <c r="N22" s="33"/>
      <c r="O22" s="33"/>
      <c r="P22" s="33"/>
      <c r="Q22" s="33"/>
      <c r="R22" s="33"/>
      <c r="S22" s="33"/>
      <c r="T22" s="6"/>
    </row>
    <row r="23" spans="1:20" ht="15" customHeight="1">
      <c r="A23" s="32"/>
      <c r="B23" s="33"/>
      <c r="C23" s="33"/>
      <c r="D23" s="33"/>
      <c r="E23" s="33"/>
      <c r="F23" s="33"/>
      <c r="G23" s="33"/>
      <c r="H23" s="33"/>
      <c r="I23" s="33"/>
      <c r="J23" s="33"/>
      <c r="K23" s="33"/>
      <c r="L23" s="33"/>
      <c r="M23" s="33"/>
      <c r="N23" s="33"/>
      <c r="O23" s="33"/>
      <c r="P23" s="33"/>
      <c r="Q23" s="33"/>
      <c r="R23" s="33"/>
      <c r="S23" s="33"/>
      <c r="T23" s="6"/>
    </row>
    <row r="24" spans="1:20" ht="15" customHeight="1">
      <c r="A24" s="32"/>
      <c r="B24" s="33"/>
      <c r="C24" s="33"/>
      <c r="D24" s="33"/>
      <c r="E24" s="33"/>
      <c r="F24" s="33"/>
      <c r="G24" s="33"/>
      <c r="H24" s="33"/>
      <c r="I24" s="33"/>
      <c r="J24" s="33"/>
      <c r="K24" s="33"/>
      <c r="L24" s="33"/>
      <c r="M24" s="33"/>
      <c r="N24" s="33"/>
      <c r="O24" s="33"/>
      <c r="P24" s="33"/>
      <c r="Q24" s="33"/>
      <c r="R24" s="33"/>
      <c r="S24" s="33"/>
      <c r="T24" s="6"/>
    </row>
    <row r="25" spans="1:20" ht="15" customHeight="1" thickBot="1">
      <c r="A25" s="24" t="s">
        <v>105</v>
      </c>
      <c r="B25" s="8"/>
      <c r="C25" s="8"/>
      <c r="D25" s="8"/>
      <c r="E25" s="8"/>
      <c r="F25" s="8"/>
      <c r="G25" s="8"/>
      <c r="H25" s="8"/>
      <c r="I25" s="8"/>
      <c r="J25" s="8"/>
      <c r="K25" s="8"/>
      <c r="L25" s="8"/>
      <c r="M25" s="8"/>
      <c r="N25" s="8"/>
      <c r="O25" s="8"/>
      <c r="P25" s="8"/>
      <c r="Q25" s="8"/>
      <c r="R25" s="8"/>
      <c r="S25" s="8"/>
      <c r="T25" s="9"/>
    </row>
  </sheetData>
  <mergeCells count="1">
    <mergeCell ref="B16:E16"/>
  </mergeCells>
  <pageMargins left="0.51181102362204722" right="0.51181102362204722" top="0.78740157480314965" bottom="0.78740157480314965" header="0.31496062992125984" footer="0.31496062992125984"/>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N3" sqref="N3"/>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T8" s="6"/>
    </row>
    <row r="9" spans="1:20" ht="15" customHeight="1">
      <c r="A9" s="32"/>
      <c r="C9" s="22"/>
      <c r="D9" s="33"/>
      <c r="E9" s="33"/>
      <c r="F9" s="33"/>
      <c r="G9" s="33"/>
      <c r="T9" s="6"/>
    </row>
    <row r="10" spans="1:20" ht="15" customHeight="1">
      <c r="A10" s="32"/>
      <c r="C10" s="22"/>
      <c r="D10" s="33"/>
      <c r="E10" s="33"/>
      <c r="F10" s="33"/>
      <c r="G10" s="33"/>
      <c r="T10" s="6"/>
    </row>
    <row r="11" spans="1:20" ht="15" customHeight="1">
      <c r="A11" s="32"/>
      <c r="R11" s="33"/>
      <c r="S11" s="33"/>
      <c r="T11" s="6"/>
    </row>
    <row r="12" spans="1:20" ht="15" customHeight="1">
      <c r="A12" s="32"/>
      <c r="R12" s="33"/>
      <c r="S12" s="33"/>
      <c r="T12" s="6"/>
    </row>
    <row r="13" spans="1:20" ht="15" customHeight="1">
      <c r="A13" s="32"/>
      <c r="R13" s="33"/>
      <c r="S13" s="33"/>
      <c r="T13" s="6"/>
    </row>
    <row r="14" spans="1:20" ht="15" customHeight="1">
      <c r="A14" s="32"/>
      <c r="R14" s="33"/>
      <c r="S14" s="33"/>
      <c r="T14" s="6"/>
    </row>
    <row r="15" spans="1:20" ht="15" customHeight="1">
      <c r="A15" s="32"/>
      <c r="M15" s="33"/>
      <c r="N15" s="33"/>
      <c r="O15" s="33"/>
      <c r="P15" s="33"/>
      <c r="Q15" s="33"/>
      <c r="R15" s="33"/>
      <c r="S15" s="33"/>
      <c r="T15" s="6"/>
    </row>
    <row r="16" spans="1:20" ht="15" customHeight="1">
      <c r="A16" s="32"/>
      <c r="M16" s="33"/>
      <c r="N16" s="33"/>
      <c r="O16" s="33"/>
      <c r="P16" s="33"/>
      <c r="Q16" s="33"/>
      <c r="R16" s="33"/>
      <c r="S16" s="33"/>
      <c r="T16" s="6"/>
    </row>
    <row r="17" spans="1:20" ht="15" customHeight="1">
      <c r="A17" s="32"/>
      <c r="M17" s="33"/>
      <c r="N17" s="33"/>
      <c r="O17" s="33"/>
      <c r="P17" s="33"/>
      <c r="Q17" s="33"/>
      <c r="R17" s="33"/>
      <c r="S17" s="33"/>
      <c r="T17" s="6"/>
    </row>
    <row r="18" spans="1:20" ht="15" customHeight="1">
      <c r="A18" s="32"/>
      <c r="M18" s="33"/>
      <c r="N18" s="33"/>
      <c r="O18" s="33"/>
      <c r="P18" s="33"/>
      <c r="Q18" s="33"/>
      <c r="R18" s="33"/>
      <c r="S18" s="33"/>
      <c r="T18" s="6"/>
    </row>
    <row r="19" spans="1:20" ht="15" customHeight="1">
      <c r="A19" s="32"/>
      <c r="M19" s="33"/>
      <c r="N19" s="33"/>
      <c r="O19" s="33"/>
      <c r="P19" s="33"/>
      <c r="Q19" s="33"/>
      <c r="R19" s="33"/>
      <c r="S19" s="33"/>
      <c r="T19" s="6"/>
    </row>
    <row r="20" spans="1:20" ht="15" customHeight="1">
      <c r="A20" s="32"/>
      <c r="M20" s="33"/>
      <c r="N20" s="33"/>
      <c r="O20" s="33"/>
      <c r="P20" s="33"/>
      <c r="Q20" s="33"/>
      <c r="R20" s="33"/>
      <c r="S20" s="33"/>
      <c r="T20" s="6"/>
    </row>
    <row r="21" spans="1:20" ht="15" customHeight="1">
      <c r="A21" s="32"/>
      <c r="M21" s="33"/>
      <c r="N21" s="33"/>
      <c r="O21" s="33"/>
      <c r="P21" s="33"/>
      <c r="Q21" s="33"/>
      <c r="R21" s="33"/>
      <c r="S21" s="33"/>
      <c r="T21" s="6"/>
    </row>
    <row r="22" spans="1:20" ht="15" customHeight="1">
      <c r="A22" s="32"/>
      <c r="M22" s="33"/>
      <c r="N22" s="33"/>
      <c r="O22" s="33"/>
      <c r="P22" s="33"/>
      <c r="Q22" s="33"/>
      <c r="R22" s="33"/>
      <c r="S22" s="33"/>
      <c r="T22" s="6"/>
    </row>
    <row r="23" spans="1:20" ht="15" customHeight="1">
      <c r="A23" s="32"/>
      <c r="B23" s="33"/>
      <c r="C23" s="33"/>
      <c r="D23" s="33"/>
      <c r="E23" s="33"/>
      <c r="F23" s="33"/>
      <c r="G23" s="33"/>
      <c r="H23" s="33"/>
      <c r="I23" s="33"/>
      <c r="J23" s="33"/>
      <c r="K23" s="33"/>
      <c r="L23" s="33"/>
      <c r="M23" s="33"/>
      <c r="N23" s="33"/>
      <c r="O23" s="33"/>
      <c r="P23" s="33"/>
      <c r="Q23" s="33"/>
      <c r="R23" s="33"/>
      <c r="S23" s="33"/>
      <c r="T23" s="6"/>
    </row>
    <row r="24" spans="1:20" ht="15" customHeight="1">
      <c r="A24" s="32"/>
      <c r="B24" s="33"/>
      <c r="C24" s="33"/>
      <c r="D24" s="33"/>
      <c r="E24" s="33"/>
      <c r="F24" s="33"/>
      <c r="G24" s="33"/>
      <c r="H24" s="33"/>
      <c r="I24" s="33"/>
      <c r="J24" s="33"/>
      <c r="K24" s="33"/>
      <c r="L24" s="33"/>
      <c r="M24" s="33"/>
      <c r="N24" s="33"/>
      <c r="O24" s="33"/>
      <c r="P24" s="33"/>
      <c r="Q24" s="33"/>
      <c r="R24" s="33"/>
      <c r="S24" s="33"/>
      <c r="T24" s="6"/>
    </row>
    <row r="25" spans="1:20" ht="15" customHeight="1" thickBot="1">
      <c r="A25" s="24" t="s">
        <v>106</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4" zoomScale="90" zoomScaleNormal="90" workbookViewId="0">
      <selection activeCell="H24" sqref="H24"/>
    </sheetView>
  </sheetViews>
  <sheetFormatPr defaultColWidth="0" defaultRowHeight="0"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thickBot="1">
      <c r="A7" s="32"/>
      <c r="B7" s="87"/>
      <c r="C7" s="87"/>
      <c r="D7" s="87"/>
      <c r="E7" s="87"/>
      <c r="F7" s="87"/>
      <c r="G7" s="89"/>
      <c r="H7" s="90">
        <v>2019</v>
      </c>
      <c r="I7" s="90">
        <v>2020</v>
      </c>
      <c r="J7" s="90">
        <v>2021</v>
      </c>
      <c r="K7" s="90">
        <v>2022</v>
      </c>
      <c r="L7" s="90">
        <v>2023</v>
      </c>
      <c r="M7" s="33"/>
      <c r="N7" s="33"/>
      <c r="O7" s="33"/>
      <c r="P7" s="33"/>
      <c r="Q7" s="33"/>
      <c r="R7" s="33"/>
      <c r="S7" s="33"/>
      <c r="T7" s="6"/>
    </row>
    <row r="8" spans="1:20" ht="15" customHeight="1">
      <c r="A8" s="62"/>
      <c r="B8" s="45" t="s">
        <v>19</v>
      </c>
      <c r="C8" s="55"/>
      <c r="D8" s="55"/>
      <c r="E8" s="55"/>
      <c r="F8" s="55"/>
      <c r="G8" s="45"/>
      <c r="H8" s="46">
        <f>H9</f>
        <v>1463.8060990900001</v>
      </c>
      <c r="I8" s="46">
        <f t="shared" ref="I8:L8" si="0">I9</f>
        <v>1050.3526486800001</v>
      </c>
      <c r="J8" s="46">
        <f t="shared" si="0"/>
        <v>1082.8686054699999</v>
      </c>
      <c r="K8" s="46">
        <f t="shared" si="0"/>
        <v>1500.6704069</v>
      </c>
      <c r="L8" s="46">
        <f t="shared" si="0"/>
        <v>1781.7250238100003</v>
      </c>
      <c r="M8" s="44"/>
      <c r="T8" s="6"/>
    </row>
    <row r="9" spans="1:20" ht="15" customHeight="1">
      <c r="A9" s="62"/>
      <c r="B9" s="47" t="s">
        <v>20</v>
      </c>
      <c r="C9" s="34"/>
      <c r="D9" s="34"/>
      <c r="E9" s="34"/>
      <c r="F9" s="34"/>
      <c r="G9" s="47"/>
      <c r="H9" s="48">
        <v>1463.8060990900001</v>
      </c>
      <c r="I9" s="48">
        <v>1050.3526486800001</v>
      </c>
      <c r="J9" s="48">
        <v>1082.8686054699999</v>
      </c>
      <c r="K9" s="48">
        <v>1500.6704069</v>
      </c>
      <c r="L9" s="48">
        <v>1781.7250238100003</v>
      </c>
      <c r="M9" s="44"/>
      <c r="T9" s="6"/>
    </row>
    <row r="10" spans="1:20" ht="15" customHeight="1">
      <c r="A10" s="62"/>
      <c r="B10" s="47" t="s">
        <v>21</v>
      </c>
      <c r="C10" s="34"/>
      <c r="D10" s="34"/>
      <c r="E10" s="34"/>
      <c r="F10" s="34"/>
      <c r="G10" s="47"/>
      <c r="H10" s="48">
        <f>+H12-H8</f>
        <v>-273.65914507999992</v>
      </c>
      <c r="I10" s="48">
        <f t="shared" ref="I10:L10" si="1">+I12-I8</f>
        <v>-204.69486545000018</v>
      </c>
      <c r="J10" s="48">
        <f t="shared" si="1"/>
        <v>-215.35568939999996</v>
      </c>
      <c r="K10" s="48">
        <f t="shared" si="1"/>
        <v>-287.23181455000008</v>
      </c>
      <c r="L10" s="48">
        <f t="shared" si="1"/>
        <v>-354.58600413000022</v>
      </c>
      <c r="M10" s="44"/>
      <c r="T10" s="6"/>
    </row>
    <row r="11" spans="1:20" ht="15" customHeight="1">
      <c r="A11" s="62"/>
      <c r="B11" s="47" t="s">
        <v>22</v>
      </c>
      <c r="C11" s="43"/>
      <c r="D11" s="43"/>
      <c r="E11" s="43"/>
      <c r="F11" s="43"/>
      <c r="G11" s="50"/>
      <c r="H11" s="51">
        <f t="shared" ref="H11:K11" si="2">-H10/H8</f>
        <v>0.1869504063756291</v>
      </c>
      <c r="I11" s="51">
        <f t="shared" si="2"/>
        <v>0.19488203862506984</v>
      </c>
      <c r="J11" s="51">
        <f t="shared" si="2"/>
        <v>0.1988751805271228</v>
      </c>
      <c r="K11" s="51">
        <f t="shared" si="2"/>
        <v>0.19140233140423374</v>
      </c>
      <c r="L11" s="51">
        <f>-L10/L8</f>
        <v>0.19901275415201924</v>
      </c>
      <c r="M11" s="44"/>
      <c r="R11" s="33"/>
      <c r="S11" s="33"/>
      <c r="T11" s="6"/>
    </row>
    <row r="12" spans="1:20" ht="15" customHeight="1">
      <c r="A12" s="62"/>
      <c r="B12" s="53" t="s">
        <v>23</v>
      </c>
      <c r="C12" s="56"/>
      <c r="D12" s="56"/>
      <c r="E12" s="56"/>
      <c r="F12" s="56"/>
      <c r="G12" s="53"/>
      <c r="H12" s="46">
        <v>1190.1469540100002</v>
      </c>
      <c r="I12" s="46">
        <v>845.65778322999995</v>
      </c>
      <c r="J12" s="46">
        <v>867.51291606999996</v>
      </c>
      <c r="K12" s="46">
        <v>1213.4385923499999</v>
      </c>
      <c r="L12" s="46">
        <v>1427.13901968</v>
      </c>
      <c r="M12" s="44"/>
      <c r="R12" s="33"/>
      <c r="S12" s="33"/>
      <c r="T12" s="6"/>
    </row>
    <row r="13" spans="1:20" ht="15" customHeight="1">
      <c r="A13" s="62"/>
      <c r="B13" s="57" t="s">
        <v>24</v>
      </c>
      <c r="C13" s="58"/>
      <c r="D13" s="58"/>
      <c r="E13" s="58"/>
      <c r="F13" s="58"/>
      <c r="G13" s="57"/>
      <c r="H13" s="48">
        <v>-928.7587703800001</v>
      </c>
      <c r="I13" s="48">
        <v>-682.18169158000001</v>
      </c>
      <c r="J13" s="48">
        <v>-706.29166493000002</v>
      </c>
      <c r="K13" s="48">
        <v>-972.94859483000016</v>
      </c>
      <c r="L13" s="48">
        <v>-1147.1234008799997</v>
      </c>
      <c r="M13" s="44"/>
      <c r="R13" s="33"/>
      <c r="S13" s="33"/>
      <c r="T13" s="6"/>
    </row>
    <row r="14" spans="1:20" ht="15" customHeight="1">
      <c r="A14" s="62"/>
      <c r="B14" s="47" t="s">
        <v>25</v>
      </c>
      <c r="C14" s="44"/>
      <c r="D14" s="44"/>
      <c r="E14" s="44"/>
      <c r="F14" s="44"/>
      <c r="G14" s="50"/>
      <c r="H14" s="51">
        <f t="shared" ref="H14:K14" si="3">-H13/H12</f>
        <v>0.78037318605967398</v>
      </c>
      <c r="I14" s="51">
        <f t="shared" si="3"/>
        <v>0.80668765203626336</v>
      </c>
      <c r="J14" s="51">
        <f t="shared" si="3"/>
        <v>0.81415694434802988</v>
      </c>
      <c r="K14" s="51">
        <f t="shared" si="3"/>
        <v>0.80181115135438707</v>
      </c>
      <c r="L14" s="51">
        <f>-L13/L12</f>
        <v>0.80379233211436774</v>
      </c>
      <c r="M14" s="44"/>
      <c r="R14" s="33"/>
      <c r="S14" s="33"/>
      <c r="T14" s="6"/>
    </row>
    <row r="15" spans="1:20" ht="15" customHeight="1">
      <c r="A15" s="62"/>
      <c r="B15" s="49" t="s">
        <v>26</v>
      </c>
      <c r="C15" s="44"/>
      <c r="D15" s="44"/>
      <c r="E15" s="44"/>
      <c r="F15" s="44"/>
      <c r="G15" s="49"/>
      <c r="H15" s="48">
        <v>-48.557913409999998</v>
      </c>
      <c r="I15" s="48">
        <v>-97.321198150000001</v>
      </c>
      <c r="J15" s="48">
        <v>-76.650957800000015</v>
      </c>
      <c r="K15" s="48">
        <v>-82.848546990000003</v>
      </c>
      <c r="L15" s="48">
        <v>-99.68503742</v>
      </c>
      <c r="M15" s="35"/>
      <c r="N15" s="33"/>
      <c r="O15" s="33"/>
      <c r="P15" s="33"/>
      <c r="Q15" s="33"/>
      <c r="R15" s="33"/>
      <c r="S15" s="33"/>
      <c r="T15" s="6"/>
    </row>
    <row r="16" spans="1:20" ht="15" customHeight="1">
      <c r="A16" s="62"/>
      <c r="B16" s="63" t="s">
        <v>27</v>
      </c>
      <c r="C16" s="44"/>
      <c r="D16" s="44"/>
      <c r="E16" s="44"/>
      <c r="F16" s="44"/>
      <c r="G16" s="59"/>
      <c r="H16" s="60">
        <f t="shared" ref="H16:L16" si="4">+H15/H13</f>
        <v>5.228258936400957E-2</v>
      </c>
      <c r="I16" s="60">
        <f t="shared" si="4"/>
        <v>0.14266169753778427</v>
      </c>
      <c r="J16" s="60">
        <f t="shared" si="4"/>
        <v>0.10852592718561506</v>
      </c>
      <c r="K16" s="60">
        <f t="shared" si="4"/>
        <v>8.5152029028291915E-2</v>
      </c>
      <c r="L16" s="60">
        <f t="shared" si="4"/>
        <v>8.6900012102907168E-2</v>
      </c>
      <c r="M16" s="35"/>
      <c r="N16" s="33"/>
      <c r="O16" s="33"/>
      <c r="P16" s="33"/>
      <c r="Q16" s="33"/>
      <c r="R16" s="33"/>
      <c r="S16" s="33"/>
      <c r="T16" s="6"/>
    </row>
    <row r="17" spans="1:20" ht="15" customHeight="1">
      <c r="A17" s="62"/>
      <c r="B17" s="61" t="s">
        <v>28</v>
      </c>
      <c r="C17" s="35"/>
      <c r="D17" s="35"/>
      <c r="E17" s="35"/>
      <c r="F17" s="35"/>
      <c r="G17" s="61"/>
      <c r="H17" s="54">
        <f>+H12+H13+H15</f>
        <v>212.83027022000007</v>
      </c>
      <c r="I17" s="54">
        <f t="shared" ref="I17:L17" si="5">+I12+I13+I15</f>
        <v>66.154893499999943</v>
      </c>
      <c r="J17" s="54">
        <f t="shared" si="5"/>
        <v>84.570293339999921</v>
      </c>
      <c r="K17" s="54">
        <f t="shared" si="5"/>
        <v>157.64145052999976</v>
      </c>
      <c r="L17" s="54">
        <f t="shared" si="5"/>
        <v>180.3305813800003</v>
      </c>
      <c r="M17" s="35"/>
      <c r="N17" s="33"/>
      <c r="O17" s="33"/>
      <c r="P17" s="33"/>
      <c r="Q17" s="33"/>
      <c r="R17" s="33"/>
      <c r="S17" s="33"/>
      <c r="T17" s="6"/>
    </row>
    <row r="18" spans="1:20" ht="15" customHeight="1">
      <c r="A18" s="62"/>
      <c r="B18" s="47" t="s">
        <v>88</v>
      </c>
      <c r="C18" s="44"/>
      <c r="D18" s="44"/>
      <c r="E18" s="44"/>
      <c r="F18" s="44"/>
      <c r="G18" s="49"/>
      <c r="H18" s="48">
        <v>32.189525039999992</v>
      </c>
      <c r="I18" s="48">
        <v>30.190152060000003</v>
      </c>
      <c r="J18" s="48">
        <v>32.913038649999997</v>
      </c>
      <c r="K18" s="48">
        <v>35.447811659999999</v>
      </c>
      <c r="L18" s="48">
        <v>37.86777936</v>
      </c>
      <c r="M18" s="35"/>
      <c r="N18" s="33"/>
      <c r="O18" s="33"/>
      <c r="P18" s="33"/>
      <c r="Q18" s="33"/>
      <c r="R18" s="33"/>
      <c r="S18" s="33"/>
      <c r="T18" s="6"/>
    </row>
    <row r="19" spans="1:20" ht="15" customHeight="1">
      <c r="A19" s="62"/>
      <c r="B19" s="45" t="s">
        <v>30</v>
      </c>
      <c r="C19" s="44"/>
      <c r="D19" s="44"/>
      <c r="E19" s="44"/>
      <c r="F19" s="44"/>
      <c r="G19" s="45"/>
      <c r="H19" s="46">
        <f>+H17+H18</f>
        <v>245.01979526000008</v>
      </c>
      <c r="I19" s="46">
        <f t="shared" ref="I19:L19" si="6">+I17+I18</f>
        <v>96.345045559999946</v>
      </c>
      <c r="J19" s="46">
        <f t="shared" si="6"/>
        <v>117.48333198999993</v>
      </c>
      <c r="K19" s="46">
        <f t="shared" si="6"/>
        <v>193.08926218999977</v>
      </c>
      <c r="L19" s="46">
        <f t="shared" si="6"/>
        <v>218.19836074000028</v>
      </c>
      <c r="M19" s="35"/>
      <c r="N19" s="33"/>
      <c r="O19" s="33"/>
      <c r="P19" s="33"/>
      <c r="Q19" s="33"/>
      <c r="R19" s="33"/>
      <c r="S19" s="33"/>
      <c r="T19" s="6"/>
    </row>
    <row r="20" spans="1:20" ht="15" customHeight="1">
      <c r="A20" s="62"/>
      <c r="B20" s="47" t="s">
        <v>31</v>
      </c>
      <c r="C20" s="44"/>
      <c r="D20" s="44"/>
      <c r="E20" s="44"/>
      <c r="F20" s="44"/>
      <c r="G20" s="49"/>
      <c r="H20" s="48">
        <v>-46.536526178841321</v>
      </c>
      <c r="I20" s="48">
        <v>3.3170000000000002</v>
      </c>
      <c r="J20" s="48">
        <v>1.159</v>
      </c>
      <c r="K20" s="48">
        <v>1.1862472420473387</v>
      </c>
      <c r="L20" s="48">
        <v>0</v>
      </c>
      <c r="M20" s="35"/>
      <c r="N20" s="33"/>
      <c r="O20" s="33"/>
      <c r="P20" s="33"/>
      <c r="Q20" s="33"/>
      <c r="R20" s="33"/>
      <c r="S20" s="33"/>
      <c r="T20" s="6"/>
    </row>
    <row r="21" spans="1:20" ht="15" customHeight="1">
      <c r="A21" s="62"/>
      <c r="B21" s="45" t="s">
        <v>32</v>
      </c>
      <c r="C21" s="44"/>
      <c r="D21" s="44"/>
      <c r="E21" s="44"/>
      <c r="F21" s="44"/>
      <c r="G21" s="45"/>
      <c r="H21" s="46">
        <f>+H19+H20</f>
        <v>198.48326908115877</v>
      </c>
      <c r="I21" s="46">
        <f t="shared" ref="I21:L21" si="7">+I19+I20</f>
        <v>99.662045559999939</v>
      </c>
      <c r="J21" s="46">
        <f t="shared" si="7"/>
        <v>118.64233198999993</v>
      </c>
      <c r="K21" s="46">
        <f t="shared" si="7"/>
        <v>194.2755094320471</v>
      </c>
      <c r="L21" s="46">
        <f t="shared" si="7"/>
        <v>218.19836074000028</v>
      </c>
      <c r="M21" s="35"/>
      <c r="N21" s="33"/>
      <c r="O21" s="33"/>
      <c r="P21" s="33"/>
      <c r="Q21" s="33"/>
      <c r="R21" s="33"/>
      <c r="S21" s="33"/>
      <c r="T21" s="6"/>
    </row>
    <row r="22" spans="1:20" ht="15" customHeight="1">
      <c r="A22" s="62"/>
      <c r="B22" s="47" t="s">
        <v>33</v>
      </c>
      <c r="C22" s="44"/>
      <c r="D22" s="44"/>
      <c r="E22" s="44"/>
      <c r="F22" s="44"/>
      <c r="G22" s="49"/>
      <c r="H22" s="48">
        <v>-18.942078708277709</v>
      </c>
      <c r="I22" s="48">
        <v>-20.785984470000017</v>
      </c>
      <c r="J22" s="48">
        <v>-25.486570809999996</v>
      </c>
      <c r="K22" s="48">
        <v>-27.15558587999994</v>
      </c>
      <c r="L22" s="48">
        <v>-31.190710780000025</v>
      </c>
      <c r="M22" s="35"/>
      <c r="N22" s="33"/>
      <c r="O22" s="33"/>
      <c r="P22" s="33"/>
      <c r="Q22" s="33"/>
      <c r="R22" s="33"/>
      <c r="S22" s="33"/>
      <c r="T22" s="6"/>
    </row>
    <row r="23" spans="1:20" ht="15" customHeight="1">
      <c r="A23" s="62"/>
      <c r="B23" s="53" t="s">
        <v>34</v>
      </c>
      <c r="C23" s="35"/>
      <c r="D23" s="35"/>
      <c r="E23" s="35"/>
      <c r="F23" s="35"/>
      <c r="G23" s="53"/>
      <c r="H23" s="54">
        <f t="shared" ref="H23:K23" si="8">+H21+H22</f>
        <v>179.54119037288106</v>
      </c>
      <c r="I23" s="54">
        <f t="shared" si="8"/>
        <v>78.876061089999922</v>
      </c>
      <c r="J23" s="54">
        <f t="shared" si="8"/>
        <v>93.155761179999928</v>
      </c>
      <c r="K23" s="54">
        <f t="shared" si="8"/>
        <v>167.11992355204717</v>
      </c>
      <c r="L23" s="54">
        <f>+L21+L22</f>
        <v>187.00764996000026</v>
      </c>
      <c r="M23" s="35"/>
      <c r="N23" s="33"/>
      <c r="O23" s="33"/>
      <c r="P23" s="33"/>
      <c r="Q23" s="33"/>
      <c r="R23" s="33"/>
      <c r="S23" s="33"/>
      <c r="T23" s="6"/>
    </row>
    <row r="24" spans="1:20" ht="15" customHeight="1" thickBot="1">
      <c r="A24" s="62"/>
      <c r="B24" s="97" t="s">
        <v>35</v>
      </c>
      <c r="C24" s="87"/>
      <c r="D24" s="87"/>
      <c r="E24" s="87"/>
      <c r="F24" s="87"/>
      <c r="G24" s="89"/>
      <c r="H24" s="98">
        <f>H23/H12</f>
        <v>0.15085632053079429</v>
      </c>
      <c r="I24" s="98">
        <f t="shared" ref="I24:L24" si="9">I23/I12</f>
        <v>9.3271844301759832E-2</v>
      </c>
      <c r="J24" s="98">
        <f t="shared" si="9"/>
        <v>0.10738256394154154</v>
      </c>
      <c r="K24" s="98">
        <f t="shared" si="9"/>
        <v>0.13772425288402537</v>
      </c>
      <c r="L24" s="98">
        <f t="shared" si="9"/>
        <v>0.13103674370975577</v>
      </c>
      <c r="M24" s="35"/>
      <c r="N24" s="33"/>
      <c r="O24" s="33"/>
      <c r="P24" s="33"/>
      <c r="Q24" s="33"/>
      <c r="R24" s="33"/>
      <c r="S24" s="33"/>
      <c r="T24" s="6"/>
    </row>
    <row r="25" spans="1:20" ht="15" customHeight="1" thickBot="1">
      <c r="A25" s="24" t="s">
        <v>107</v>
      </c>
      <c r="B25" s="64"/>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election activeCell="L3" sqref="L3"/>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H8" s="10"/>
      <c r="I8" s="33"/>
      <c r="J8" s="33"/>
      <c r="K8" s="33"/>
      <c r="L8" s="33"/>
      <c r="M8" s="33"/>
      <c r="N8" s="33"/>
      <c r="T8" s="6"/>
    </row>
    <row r="9" spans="1:20" ht="15" customHeight="1">
      <c r="A9" s="32"/>
      <c r="C9" s="22"/>
      <c r="D9" s="33"/>
      <c r="E9" s="33"/>
      <c r="F9" s="33"/>
      <c r="G9" s="33"/>
      <c r="H9" s="11"/>
      <c r="I9" s="33"/>
      <c r="J9" s="33"/>
      <c r="K9" s="33"/>
      <c r="L9" s="33"/>
      <c r="M9" s="33"/>
      <c r="N9" s="33"/>
      <c r="T9" s="6"/>
    </row>
    <row r="10" spans="1:20" ht="15" customHeight="1">
      <c r="A10" s="32"/>
      <c r="C10" s="22"/>
      <c r="D10" s="33"/>
      <c r="E10" s="33"/>
      <c r="F10" s="33"/>
      <c r="G10" s="33"/>
      <c r="H10" s="33"/>
      <c r="I10" s="33"/>
      <c r="J10" s="33"/>
      <c r="K10" s="33"/>
      <c r="L10" s="33"/>
      <c r="M10" s="33"/>
      <c r="N10" s="33"/>
      <c r="T10" s="6"/>
    </row>
    <row r="11" spans="1:20" ht="15" customHeight="1">
      <c r="A11" s="32"/>
      <c r="C11" s="22"/>
      <c r="D11" s="33"/>
      <c r="E11" s="33"/>
      <c r="F11" s="33"/>
      <c r="G11" s="33"/>
      <c r="H11" s="33"/>
      <c r="I11" s="33"/>
      <c r="J11" s="33"/>
      <c r="K11" s="33"/>
      <c r="L11" s="33"/>
      <c r="M11" s="33"/>
      <c r="N11" s="33"/>
      <c r="O11" s="33"/>
      <c r="P11" s="33"/>
      <c r="Q11" s="33"/>
      <c r="R11" s="33"/>
      <c r="S11" s="33"/>
      <c r="T11" s="6"/>
    </row>
    <row r="12" spans="1:20" ht="15" customHeight="1">
      <c r="A12" s="32"/>
      <c r="C12" s="22"/>
      <c r="D12" s="33"/>
      <c r="E12" s="33"/>
      <c r="F12" s="33"/>
      <c r="G12" s="33"/>
      <c r="H12" s="33"/>
      <c r="I12" s="33"/>
      <c r="J12" s="33"/>
      <c r="K12" s="33"/>
      <c r="L12" s="33"/>
      <c r="M12" s="33"/>
      <c r="N12" s="33"/>
      <c r="O12" s="33"/>
      <c r="P12" s="33"/>
      <c r="Q12" s="33"/>
      <c r="R12" s="33"/>
      <c r="S12" s="33"/>
      <c r="T12" s="6"/>
    </row>
    <row r="13" spans="1:20" ht="15" customHeight="1">
      <c r="A13" s="32"/>
      <c r="C13" s="22"/>
      <c r="D13" s="33"/>
      <c r="E13" s="33"/>
      <c r="F13" s="33"/>
      <c r="G13" s="33"/>
      <c r="H13" s="33"/>
      <c r="I13" s="33"/>
      <c r="J13" s="33"/>
      <c r="K13" s="33"/>
      <c r="L13" s="33"/>
      <c r="M13" s="33"/>
      <c r="N13" s="33"/>
      <c r="O13" s="33"/>
      <c r="P13" s="33"/>
      <c r="Q13" s="33"/>
      <c r="R13" s="33"/>
      <c r="S13" s="33"/>
      <c r="T13" s="6"/>
    </row>
    <row r="14" spans="1:20" ht="15" customHeight="1">
      <c r="A14" s="32"/>
      <c r="C14" s="12"/>
      <c r="D14" s="33"/>
      <c r="E14" s="33"/>
      <c r="F14" s="33"/>
      <c r="G14" s="33"/>
      <c r="H14" s="33"/>
      <c r="I14" s="33"/>
      <c r="J14" s="33"/>
      <c r="K14" s="33"/>
      <c r="L14" s="33"/>
      <c r="M14" s="33"/>
      <c r="N14" s="33"/>
      <c r="O14" s="33"/>
      <c r="P14" s="33"/>
      <c r="Q14" s="33"/>
      <c r="R14" s="33"/>
      <c r="S14" s="33"/>
      <c r="T14" s="6"/>
    </row>
    <row r="15" spans="1:20" ht="15" customHeight="1">
      <c r="A15" s="32"/>
      <c r="C15" s="22"/>
      <c r="D15" s="33"/>
      <c r="E15" s="33"/>
      <c r="F15" s="33"/>
      <c r="G15" s="33"/>
      <c r="H15" s="33"/>
      <c r="I15" s="33"/>
      <c r="J15" s="33"/>
      <c r="K15" s="33"/>
      <c r="L15" s="33"/>
      <c r="M15" s="33"/>
      <c r="N15" s="33"/>
      <c r="O15" s="33"/>
      <c r="P15" s="33"/>
      <c r="Q15" s="33"/>
      <c r="R15" s="33"/>
      <c r="S15" s="33"/>
      <c r="T15" s="6"/>
    </row>
    <row r="16" spans="1:20" ht="15" customHeight="1">
      <c r="A16" s="32"/>
      <c r="C16" s="22"/>
      <c r="D16" s="33"/>
      <c r="E16" s="33"/>
      <c r="F16" s="33"/>
      <c r="G16" s="33"/>
      <c r="H16" s="33"/>
      <c r="I16" s="33"/>
      <c r="J16" s="33"/>
      <c r="K16" s="33"/>
      <c r="L16" s="33"/>
      <c r="M16" s="33"/>
      <c r="N16" s="33"/>
      <c r="O16" s="33"/>
      <c r="P16" s="33"/>
      <c r="Q16" s="33"/>
      <c r="R16" s="33"/>
      <c r="S16" s="33"/>
      <c r="T16" s="6"/>
    </row>
    <row r="17" spans="1:20" ht="15" customHeight="1">
      <c r="A17" s="32"/>
      <c r="C17" s="22"/>
      <c r="D17" s="33"/>
      <c r="E17" s="33"/>
      <c r="F17" s="33"/>
      <c r="G17" s="33"/>
      <c r="H17" s="33"/>
      <c r="I17" s="33"/>
      <c r="J17" s="33"/>
      <c r="K17" s="33"/>
      <c r="L17" s="33"/>
      <c r="M17" s="33"/>
      <c r="N17" s="33"/>
      <c r="O17" s="33"/>
      <c r="P17" s="33"/>
      <c r="Q17" s="33"/>
      <c r="R17" s="33"/>
      <c r="S17" s="33"/>
      <c r="T17" s="6"/>
    </row>
    <row r="18" spans="1:20" ht="15" customHeight="1">
      <c r="A18" s="32"/>
      <c r="C18" s="22"/>
      <c r="D18" s="33"/>
      <c r="E18" s="33"/>
      <c r="F18" s="33"/>
      <c r="G18" s="33"/>
      <c r="H18" s="33"/>
      <c r="I18" s="33"/>
      <c r="J18" s="33"/>
      <c r="K18" s="33"/>
      <c r="L18" s="33"/>
      <c r="M18" s="33"/>
      <c r="N18" s="33"/>
      <c r="O18" s="33"/>
      <c r="P18" s="33"/>
      <c r="Q18" s="33"/>
      <c r="R18" s="33"/>
      <c r="S18" s="33"/>
      <c r="T18" s="6"/>
    </row>
    <row r="19" spans="1:20" ht="15" customHeight="1">
      <c r="A19" s="32"/>
      <c r="C19" s="22"/>
      <c r="D19" s="33"/>
      <c r="E19" s="33"/>
      <c r="F19" s="33"/>
      <c r="G19" s="33"/>
      <c r="H19" s="33"/>
      <c r="I19" s="33"/>
      <c r="J19" s="33"/>
      <c r="K19" s="33"/>
      <c r="L19" s="33"/>
      <c r="M19" s="33"/>
      <c r="N19" s="33"/>
      <c r="O19" s="33"/>
      <c r="P19" s="33"/>
      <c r="Q19" s="33"/>
      <c r="R19" s="33"/>
      <c r="S19" s="33"/>
      <c r="T19" s="6"/>
    </row>
    <row r="20" spans="1:20" ht="15" customHeight="1">
      <c r="A20" s="32"/>
      <c r="D20" s="33"/>
      <c r="E20" s="33"/>
      <c r="F20" s="33"/>
      <c r="G20" s="33"/>
      <c r="H20" s="33"/>
      <c r="I20" s="33"/>
      <c r="J20" s="33"/>
      <c r="K20" s="33"/>
      <c r="L20" s="33"/>
      <c r="M20" s="33"/>
      <c r="N20" s="33"/>
      <c r="O20" s="33"/>
      <c r="P20" s="33"/>
      <c r="Q20" s="33"/>
      <c r="R20" s="33"/>
      <c r="S20" s="33"/>
      <c r="T20" s="6"/>
    </row>
    <row r="21" spans="1:20" ht="15" customHeight="1">
      <c r="A21" s="32"/>
      <c r="C21" s="33"/>
      <c r="D21" s="33"/>
      <c r="E21" s="33"/>
      <c r="F21" s="33"/>
      <c r="G21" s="33"/>
      <c r="H21" s="33"/>
      <c r="I21" s="33"/>
      <c r="J21" s="33"/>
      <c r="K21" s="33"/>
      <c r="L21" s="33"/>
      <c r="M21" s="33"/>
      <c r="N21" s="33"/>
      <c r="O21" s="33"/>
      <c r="P21" s="33"/>
      <c r="Q21" s="33"/>
      <c r="R21" s="33"/>
      <c r="S21" s="33"/>
      <c r="T21" s="6"/>
    </row>
    <row r="22" spans="1:20" ht="15" customHeight="1">
      <c r="A22" s="32"/>
      <c r="C22" s="33"/>
      <c r="D22" s="33"/>
      <c r="E22" s="33"/>
      <c r="F22" s="33"/>
      <c r="G22" s="33"/>
      <c r="H22" s="33"/>
      <c r="I22" s="33"/>
      <c r="J22" s="33"/>
      <c r="K22" s="33"/>
      <c r="L22" s="33"/>
      <c r="M22" s="33"/>
      <c r="N22" s="33"/>
      <c r="O22" s="33"/>
      <c r="P22" s="33"/>
      <c r="Q22" s="33"/>
      <c r="R22" s="33"/>
      <c r="S22" s="33"/>
      <c r="T22" s="6"/>
    </row>
    <row r="23" spans="1:20" ht="15" customHeight="1">
      <c r="A23" s="32"/>
      <c r="B23" s="33"/>
      <c r="C23" s="33"/>
      <c r="D23" s="33"/>
      <c r="E23" s="33"/>
      <c r="F23" s="33"/>
      <c r="G23" s="33"/>
      <c r="H23" s="33"/>
      <c r="I23" s="33"/>
      <c r="J23" s="33"/>
      <c r="K23" s="33"/>
      <c r="L23" s="33"/>
      <c r="M23" s="33"/>
      <c r="N23" s="33"/>
      <c r="O23" s="33"/>
      <c r="P23" s="33"/>
      <c r="Q23" s="33"/>
      <c r="R23" s="33"/>
      <c r="S23" s="33"/>
      <c r="T23" s="6"/>
    </row>
    <row r="24" spans="1:20" ht="15" customHeight="1">
      <c r="A24" s="32"/>
      <c r="B24" s="33"/>
      <c r="C24" s="33"/>
      <c r="D24" s="33"/>
      <c r="E24" s="33"/>
      <c r="F24" s="33"/>
      <c r="G24" s="33"/>
      <c r="H24" s="33"/>
      <c r="I24" s="33"/>
      <c r="J24" s="33"/>
      <c r="K24" s="33"/>
      <c r="L24" s="33"/>
      <c r="M24" s="33"/>
      <c r="N24" s="33"/>
      <c r="O24" s="33"/>
      <c r="P24" s="33"/>
      <c r="Q24" s="33"/>
      <c r="R24" s="33"/>
      <c r="S24" s="33"/>
      <c r="T24" s="6"/>
    </row>
    <row r="25" spans="1:20" ht="15" customHeight="1" thickBot="1">
      <c r="A25" s="24" t="s">
        <v>108</v>
      </c>
      <c r="B25" s="8"/>
      <c r="C25" s="8"/>
      <c r="D25" s="8"/>
      <c r="E25" s="8"/>
      <c r="F25" s="8"/>
      <c r="G25" s="8"/>
      <c r="H25" s="8"/>
      <c r="I25" s="8"/>
      <c r="J25" s="8"/>
      <c r="K25" s="8"/>
      <c r="L25" s="8"/>
      <c r="M25" s="8"/>
      <c r="N25" s="8"/>
      <c r="O25" s="8"/>
      <c r="P25" s="8"/>
      <c r="Q25" s="8"/>
      <c r="R25" s="8"/>
      <c r="S25" s="8"/>
      <c r="T25" s="9"/>
    </row>
  </sheetData>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election activeCell="P18" sqref="P18"/>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T8" s="6"/>
    </row>
    <row r="9" spans="1:20" ht="15" customHeight="1">
      <c r="A9" s="32"/>
      <c r="C9" s="22"/>
      <c r="D9" s="33"/>
      <c r="E9" s="33"/>
      <c r="F9" s="33"/>
      <c r="G9" s="33"/>
      <c r="T9" s="6"/>
    </row>
    <row r="10" spans="1:20" ht="15" customHeight="1">
      <c r="A10" s="32"/>
      <c r="C10" s="22"/>
      <c r="D10" s="33"/>
      <c r="E10" s="33"/>
      <c r="F10" s="33"/>
      <c r="G10" s="33"/>
      <c r="T10" s="6"/>
    </row>
    <row r="11" spans="1:20" ht="15" customHeight="1">
      <c r="A11" s="32"/>
      <c r="R11" s="33"/>
      <c r="S11" s="33"/>
      <c r="T11" s="6"/>
    </row>
    <row r="12" spans="1:20" ht="15" customHeight="1">
      <c r="A12" s="32"/>
      <c r="R12" s="33"/>
      <c r="S12" s="33"/>
      <c r="T12" s="6"/>
    </row>
    <row r="13" spans="1:20" ht="15" customHeight="1">
      <c r="A13" s="32"/>
      <c r="R13" s="33"/>
      <c r="S13" s="33"/>
      <c r="T13" s="6"/>
    </row>
    <row r="14" spans="1:20" ht="15" customHeight="1">
      <c r="A14" s="32"/>
      <c r="R14" s="33"/>
      <c r="S14" s="33"/>
      <c r="T14" s="6"/>
    </row>
    <row r="15" spans="1:20" ht="15" customHeight="1">
      <c r="A15" s="32"/>
      <c r="M15" s="33"/>
      <c r="N15" s="33"/>
      <c r="O15" s="33"/>
      <c r="P15" s="33"/>
      <c r="Q15" s="33"/>
      <c r="R15" s="33"/>
      <c r="S15" s="33"/>
      <c r="T15" s="6"/>
    </row>
    <row r="16" spans="1:20" ht="15" customHeight="1">
      <c r="A16" s="32"/>
      <c r="M16" s="33"/>
      <c r="N16" s="33"/>
      <c r="O16" s="33"/>
      <c r="P16" s="33"/>
      <c r="Q16" s="33"/>
      <c r="R16" s="33"/>
      <c r="S16" s="33"/>
      <c r="T16" s="6"/>
    </row>
    <row r="17" spans="1:20" ht="15" customHeight="1">
      <c r="A17" s="32"/>
      <c r="M17" s="33"/>
      <c r="N17" s="33"/>
      <c r="O17" s="33"/>
      <c r="P17" s="33"/>
      <c r="Q17" s="33"/>
      <c r="R17" s="33"/>
      <c r="S17" s="33"/>
      <c r="T17" s="6"/>
    </row>
    <row r="18" spans="1:20" ht="15" customHeight="1">
      <c r="A18" s="32"/>
      <c r="M18" s="33"/>
      <c r="N18" s="33"/>
      <c r="O18" s="33"/>
      <c r="P18" s="33"/>
      <c r="Q18" s="33"/>
      <c r="R18" s="33"/>
      <c r="S18" s="33"/>
      <c r="T18" s="6"/>
    </row>
    <row r="19" spans="1:20" ht="15" customHeight="1">
      <c r="A19" s="32"/>
      <c r="M19" s="33"/>
      <c r="N19" s="33"/>
      <c r="O19" s="33"/>
      <c r="P19" s="33"/>
      <c r="Q19" s="33"/>
      <c r="R19" s="33"/>
      <c r="S19" s="33"/>
      <c r="T19" s="6"/>
    </row>
    <row r="20" spans="1:20" ht="15" customHeight="1">
      <c r="A20" s="32"/>
      <c r="M20" s="33"/>
      <c r="N20" s="33"/>
      <c r="O20" s="33"/>
      <c r="P20" s="33"/>
      <c r="Q20" s="33"/>
      <c r="R20" s="33"/>
      <c r="S20" s="33"/>
      <c r="T20" s="6"/>
    </row>
    <row r="21" spans="1:20" ht="15" customHeight="1">
      <c r="A21" s="32"/>
      <c r="M21" s="33"/>
      <c r="N21" s="33"/>
      <c r="O21" s="33"/>
      <c r="P21" s="33"/>
      <c r="Q21" s="33"/>
      <c r="R21" s="33"/>
      <c r="S21" s="33"/>
      <c r="T21" s="6"/>
    </row>
    <row r="22" spans="1:20" ht="15" customHeight="1">
      <c r="A22" s="32"/>
      <c r="M22" s="33"/>
      <c r="N22" s="33"/>
      <c r="O22" s="33"/>
      <c r="P22" s="33"/>
      <c r="Q22" s="33"/>
      <c r="R22" s="33"/>
      <c r="S22" s="33"/>
      <c r="T22" s="6"/>
    </row>
    <row r="23" spans="1:20" ht="15" customHeight="1">
      <c r="A23" s="32"/>
      <c r="B23" s="33"/>
      <c r="C23" s="33"/>
      <c r="D23" s="33"/>
      <c r="E23" s="33"/>
      <c r="F23" s="33"/>
      <c r="G23" s="33"/>
      <c r="H23" s="33"/>
      <c r="I23" s="33"/>
      <c r="J23" s="33"/>
      <c r="K23" s="33"/>
      <c r="L23" s="33"/>
      <c r="M23" s="33"/>
      <c r="N23" s="33"/>
      <c r="O23" s="33"/>
      <c r="P23" s="33"/>
      <c r="Q23" s="33"/>
      <c r="R23" s="33"/>
      <c r="S23" s="33"/>
      <c r="T23" s="6"/>
    </row>
    <row r="24" spans="1:20" ht="15" customHeight="1">
      <c r="A24" s="32"/>
      <c r="B24" s="33"/>
      <c r="C24" s="33"/>
      <c r="D24" s="33"/>
      <c r="E24" s="33"/>
      <c r="F24" s="33"/>
      <c r="G24" s="33"/>
      <c r="H24" s="33"/>
      <c r="I24" s="33"/>
      <c r="J24" s="33"/>
      <c r="K24" s="33"/>
      <c r="L24" s="33"/>
      <c r="M24" s="33"/>
      <c r="N24" s="33"/>
      <c r="O24" s="33"/>
      <c r="P24" s="33"/>
      <c r="Q24" s="33"/>
      <c r="R24" s="33"/>
      <c r="S24" s="33"/>
      <c r="T24" s="6"/>
    </row>
    <row r="25" spans="1:20" ht="15" customHeight="1" thickBot="1">
      <c r="A25" s="24" t="s">
        <v>109</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H24" sqref="H24"/>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thickBot="1">
      <c r="A6" s="32"/>
      <c r="B6" s="87"/>
      <c r="C6" s="87"/>
      <c r="D6" s="87"/>
      <c r="E6" s="87"/>
      <c r="F6" s="87"/>
      <c r="G6" s="89"/>
      <c r="H6" s="90">
        <v>2019</v>
      </c>
      <c r="I6" s="90">
        <v>2020</v>
      </c>
      <c r="J6" s="90">
        <v>2021</v>
      </c>
      <c r="K6" s="90">
        <v>2022</v>
      </c>
      <c r="L6" s="90">
        <v>2023</v>
      </c>
      <c r="M6" s="33"/>
      <c r="N6" s="33"/>
      <c r="O6" s="33"/>
      <c r="P6" s="33"/>
      <c r="Q6" s="33"/>
      <c r="R6" s="33"/>
      <c r="S6" s="33"/>
      <c r="T6" s="6"/>
    </row>
    <row r="7" spans="1:20" ht="15" customHeight="1">
      <c r="A7" s="32"/>
      <c r="B7" s="45" t="s">
        <v>36</v>
      </c>
      <c r="C7" s="55"/>
      <c r="D7" s="55"/>
      <c r="E7" s="55"/>
      <c r="F7" s="55"/>
      <c r="G7" s="45"/>
      <c r="H7" s="46">
        <f>+SUM(H8:H9)</f>
        <v>189.50370136000001</v>
      </c>
      <c r="I7" s="46">
        <f t="shared" ref="I7:L7" si="0">+SUM(I8:I9)</f>
        <v>200.41104225999999</v>
      </c>
      <c r="J7" s="46">
        <f t="shared" si="0"/>
        <v>171.37171094999999</v>
      </c>
      <c r="K7" s="46">
        <f t="shared" si="0"/>
        <v>191.21040446999999</v>
      </c>
      <c r="L7" s="46">
        <f t="shared" si="0"/>
        <v>189.71429617000001</v>
      </c>
      <c r="M7" s="33"/>
      <c r="N7" s="33"/>
      <c r="O7" s="33"/>
      <c r="P7" s="33"/>
      <c r="Q7" s="33"/>
      <c r="R7" s="33"/>
      <c r="S7" s="33"/>
      <c r="T7" s="6"/>
    </row>
    <row r="8" spans="1:20" ht="15" customHeight="1">
      <c r="A8" s="62"/>
      <c r="B8" s="47" t="s">
        <v>37</v>
      </c>
      <c r="C8" s="34"/>
      <c r="D8" s="34"/>
      <c r="E8" s="34"/>
      <c r="F8" s="34"/>
      <c r="G8" s="47"/>
      <c r="H8" s="48">
        <v>152.93376678000001</v>
      </c>
      <c r="I8" s="48">
        <v>165.40693739</v>
      </c>
      <c r="J8" s="48">
        <v>168.51322854</v>
      </c>
      <c r="K8" s="48">
        <v>186.68617237999999</v>
      </c>
      <c r="L8" s="48">
        <v>184.21672786000002</v>
      </c>
      <c r="M8" s="44"/>
      <c r="T8" s="6"/>
    </row>
    <row r="9" spans="1:20" ht="15" customHeight="1">
      <c r="A9" s="62"/>
      <c r="B9" s="47" t="s">
        <v>38</v>
      </c>
      <c r="C9" s="34"/>
      <c r="D9" s="34"/>
      <c r="E9" s="34"/>
      <c r="F9" s="34"/>
      <c r="G9" s="47"/>
      <c r="H9" s="48">
        <v>36.569934580000002</v>
      </c>
      <c r="I9" s="48">
        <v>35.004104870000006</v>
      </c>
      <c r="J9" s="48">
        <v>2.8584824100000001</v>
      </c>
      <c r="K9" s="48">
        <v>4.5242320900000053</v>
      </c>
      <c r="L9" s="48">
        <v>5.4975683099999983</v>
      </c>
      <c r="M9" s="44"/>
      <c r="T9" s="6"/>
    </row>
    <row r="10" spans="1:20" ht="15" customHeight="1">
      <c r="A10" s="62"/>
      <c r="B10" s="47" t="s">
        <v>21</v>
      </c>
      <c r="C10" s="43"/>
      <c r="D10" s="43"/>
      <c r="E10" s="43"/>
      <c r="F10" s="43"/>
      <c r="G10" s="50"/>
      <c r="H10" s="72">
        <v>-32.330211130000009</v>
      </c>
      <c r="I10" s="72">
        <v>-34.033846879999992</v>
      </c>
      <c r="J10" s="72">
        <v>-31.541618109999998</v>
      </c>
      <c r="K10" s="72">
        <v>-34.139550589999999</v>
      </c>
      <c r="L10" s="72">
        <v>-33.38577141999999</v>
      </c>
      <c r="M10" s="44"/>
      <c r="T10" s="6"/>
    </row>
    <row r="11" spans="1:20" ht="15" customHeight="1">
      <c r="A11" s="62"/>
      <c r="B11" s="63" t="s">
        <v>22</v>
      </c>
      <c r="C11" s="56"/>
      <c r="D11" s="56"/>
      <c r="E11" s="56"/>
      <c r="F11" s="56"/>
      <c r="G11" s="53"/>
      <c r="H11" s="52">
        <f t="shared" ref="H11:J11" si="1">-H10/H7</f>
        <v>0.17060464200951062</v>
      </c>
      <c r="I11" s="52">
        <f t="shared" si="1"/>
        <v>0.16982021796906149</v>
      </c>
      <c r="J11" s="52">
        <f t="shared" si="1"/>
        <v>0.1840538204068155</v>
      </c>
      <c r="K11" s="52">
        <f>-K10/K7</f>
        <v>0.17854441908968574</v>
      </c>
      <c r="L11" s="52">
        <f>-L10/L7</f>
        <v>0.17597920712355553</v>
      </c>
      <c r="M11" s="44"/>
      <c r="R11" s="33"/>
      <c r="S11" s="33"/>
      <c r="T11" s="6"/>
    </row>
    <row r="12" spans="1:20" ht="15" customHeight="1">
      <c r="A12" s="62"/>
      <c r="B12" s="66" t="s">
        <v>39</v>
      </c>
      <c r="C12" s="58"/>
      <c r="D12" s="58"/>
      <c r="E12" s="58"/>
      <c r="F12" s="58"/>
      <c r="G12" s="57"/>
      <c r="H12" s="46">
        <f>+H7+H10</f>
        <v>157.17349023</v>
      </c>
      <c r="I12" s="46">
        <f t="shared" ref="I12:L12" si="2">+I7+I10</f>
        <v>166.37719537999999</v>
      </c>
      <c r="J12" s="46">
        <f t="shared" si="2"/>
        <v>139.83009283999999</v>
      </c>
      <c r="K12" s="46">
        <f t="shared" si="2"/>
        <v>157.07085387999999</v>
      </c>
      <c r="L12" s="46">
        <f t="shared" si="2"/>
        <v>156.32852475000001</v>
      </c>
      <c r="M12" s="44"/>
      <c r="R12" s="33"/>
      <c r="S12" s="33"/>
      <c r="T12" s="6"/>
    </row>
    <row r="13" spans="1:20" ht="15" customHeight="1">
      <c r="A13" s="62"/>
      <c r="B13" s="47" t="s">
        <v>40</v>
      </c>
      <c r="C13" s="44"/>
      <c r="D13" s="44"/>
      <c r="E13" s="44"/>
      <c r="F13" s="44"/>
      <c r="G13" s="50"/>
      <c r="H13" s="72">
        <v>-131.71361213</v>
      </c>
      <c r="I13" s="72">
        <v>-129.71751211</v>
      </c>
      <c r="J13" s="72">
        <v>-113.10758944999998</v>
      </c>
      <c r="K13" s="72">
        <v>-122.87729874000001</v>
      </c>
      <c r="L13" s="72">
        <v>-124.5783486</v>
      </c>
      <c r="M13" s="44"/>
      <c r="R13" s="33"/>
      <c r="S13" s="33"/>
      <c r="T13" s="6"/>
    </row>
    <row r="14" spans="1:20" ht="15" customHeight="1">
      <c r="A14" s="62"/>
      <c r="B14" s="47" t="s">
        <v>41</v>
      </c>
      <c r="C14" s="44"/>
      <c r="D14" s="44"/>
      <c r="E14" s="44"/>
      <c r="F14" s="44"/>
      <c r="G14" s="49"/>
      <c r="H14" s="52">
        <f t="shared" ref="H14" si="3">+H13/H12</f>
        <v>-0.83801417107463061</v>
      </c>
      <c r="I14" s="52">
        <v>-0.83801417107463061</v>
      </c>
      <c r="J14" s="52">
        <v>-0.7796592063817972</v>
      </c>
      <c r="K14" s="52">
        <v>-0.80889304407044105</v>
      </c>
      <c r="L14" s="52">
        <f>-L13/L12</f>
        <v>0.79690094177774162</v>
      </c>
      <c r="M14" s="44"/>
      <c r="R14" s="33"/>
      <c r="S14" s="33"/>
      <c r="T14" s="6"/>
    </row>
    <row r="15" spans="1:20" ht="15" customHeight="1">
      <c r="A15" s="62"/>
      <c r="B15" s="63" t="s">
        <v>42</v>
      </c>
      <c r="C15" s="44"/>
      <c r="D15" s="44"/>
      <c r="E15" s="44"/>
      <c r="F15" s="44"/>
      <c r="G15" s="59"/>
      <c r="H15" s="69">
        <v>1.3243846199999998</v>
      </c>
      <c r="I15" s="69">
        <v>-2.88235391</v>
      </c>
      <c r="J15" s="69">
        <v>6.8732420899999997</v>
      </c>
      <c r="K15" s="69">
        <v>-1.2254815800000001</v>
      </c>
      <c r="L15" s="69">
        <v>-1.7975409599999999</v>
      </c>
      <c r="M15" s="35"/>
      <c r="N15" s="33"/>
      <c r="O15" s="33"/>
      <c r="P15" s="33"/>
      <c r="Q15" s="33"/>
      <c r="R15" s="33"/>
      <c r="S15" s="33"/>
      <c r="T15" s="6"/>
    </row>
    <row r="16" spans="1:20" ht="15" customHeight="1">
      <c r="A16" s="62"/>
      <c r="B16" s="68" t="s">
        <v>43</v>
      </c>
      <c r="C16" s="35"/>
      <c r="D16" s="35"/>
      <c r="E16" s="35"/>
      <c r="F16" s="35"/>
      <c r="G16" s="61"/>
      <c r="H16" s="60">
        <f t="shared" ref="H16:K16" si="4">H15/H12</f>
        <v>8.4262595305478055E-3</v>
      </c>
      <c r="I16" s="60">
        <f t="shared" si="4"/>
        <v>-1.7324212632727695E-2</v>
      </c>
      <c r="J16" s="60">
        <f t="shared" si="4"/>
        <v>4.9154241053566909E-2</v>
      </c>
      <c r="K16" s="60">
        <f t="shared" si="4"/>
        <v>-7.802094085107931E-3</v>
      </c>
      <c r="L16" s="60">
        <f>L15/L12</f>
        <v>-1.1498483484537582E-2</v>
      </c>
      <c r="M16" s="35"/>
      <c r="N16" s="33"/>
      <c r="O16" s="33"/>
      <c r="P16" s="33"/>
      <c r="Q16" s="33"/>
      <c r="R16" s="33"/>
      <c r="S16" s="33"/>
      <c r="T16" s="6"/>
    </row>
    <row r="17" spans="1:20" ht="15" customHeight="1">
      <c r="A17" s="62"/>
      <c r="B17" s="65" t="s">
        <v>28</v>
      </c>
      <c r="C17" s="44"/>
      <c r="D17" s="44"/>
      <c r="E17" s="44"/>
      <c r="F17" s="44"/>
      <c r="G17" s="49"/>
      <c r="H17" s="46">
        <f>+H12+H13+H15</f>
        <v>26.784262719999997</v>
      </c>
      <c r="I17" s="46">
        <f t="shared" ref="I17:L17" si="5">+I12+I13+I15</f>
        <v>33.777329359999989</v>
      </c>
      <c r="J17" s="46">
        <f t="shared" si="5"/>
        <v>33.595745480000012</v>
      </c>
      <c r="K17" s="46">
        <f t="shared" si="5"/>
        <v>32.968073559999972</v>
      </c>
      <c r="L17" s="46">
        <f t="shared" si="5"/>
        <v>29.952635190000017</v>
      </c>
      <c r="M17" s="35"/>
      <c r="N17" s="33"/>
      <c r="O17" s="33"/>
      <c r="P17" s="33"/>
      <c r="Q17" s="33"/>
      <c r="R17" s="33"/>
      <c r="S17" s="33"/>
      <c r="T17" s="6"/>
    </row>
    <row r="18" spans="1:20" ht="15" customHeight="1">
      <c r="A18" s="62"/>
      <c r="B18" s="63" t="s">
        <v>29</v>
      </c>
      <c r="C18" s="44"/>
      <c r="D18" s="44"/>
      <c r="E18" s="44"/>
      <c r="F18" s="44"/>
      <c r="G18" s="45"/>
      <c r="H18" s="48">
        <v>26.416516059999999</v>
      </c>
      <c r="I18" s="48">
        <v>23.859231439999999</v>
      </c>
      <c r="J18" s="48">
        <v>17.953099439999999</v>
      </c>
      <c r="K18" s="48">
        <v>17.648378920000003</v>
      </c>
      <c r="L18" s="48">
        <v>16.89587886</v>
      </c>
      <c r="M18" s="35"/>
      <c r="N18" s="33"/>
      <c r="O18" s="33"/>
      <c r="P18" s="33"/>
      <c r="Q18" s="33"/>
      <c r="R18" s="33"/>
      <c r="S18" s="33"/>
      <c r="T18" s="6"/>
    </row>
    <row r="19" spans="1:20" ht="15" customHeight="1">
      <c r="A19" s="62"/>
      <c r="B19" s="65" t="s">
        <v>44</v>
      </c>
      <c r="C19" s="44"/>
      <c r="D19" s="44"/>
      <c r="E19" s="44"/>
      <c r="F19" s="44"/>
      <c r="G19" s="49"/>
      <c r="H19" s="46">
        <f>+H17+H18</f>
        <v>53.200778779999993</v>
      </c>
      <c r="I19" s="46">
        <f t="shared" ref="I19:L19" si="6">+I17+I18</f>
        <v>57.636560799999984</v>
      </c>
      <c r="J19" s="46">
        <f t="shared" si="6"/>
        <v>51.548844920000008</v>
      </c>
      <c r="K19" s="46">
        <f t="shared" si="6"/>
        <v>50.616452479999978</v>
      </c>
      <c r="L19" s="46">
        <f t="shared" si="6"/>
        <v>46.84851405000002</v>
      </c>
      <c r="M19" s="35"/>
      <c r="N19" s="33"/>
      <c r="O19" s="33"/>
      <c r="P19" s="33"/>
      <c r="Q19" s="33"/>
      <c r="R19" s="33"/>
      <c r="S19" s="33"/>
      <c r="T19" s="6"/>
    </row>
    <row r="20" spans="1:20" ht="15" customHeight="1">
      <c r="A20" s="62"/>
      <c r="B20" s="63" t="s">
        <v>45</v>
      </c>
      <c r="C20" s="44"/>
      <c r="D20" s="44"/>
      <c r="E20" s="44"/>
      <c r="F20" s="44"/>
      <c r="G20" s="45"/>
      <c r="H20" s="48">
        <v>-1.6009180111586792</v>
      </c>
      <c r="I20" s="48">
        <v>5.2202719999999996</v>
      </c>
      <c r="J20" s="48">
        <v>-8.3237137899999993</v>
      </c>
      <c r="K20" s="48">
        <v>0</v>
      </c>
      <c r="L20" s="48">
        <v>0</v>
      </c>
      <c r="M20" s="35"/>
      <c r="N20" s="33"/>
      <c r="O20" s="33"/>
      <c r="P20" s="33"/>
      <c r="Q20" s="33"/>
      <c r="R20" s="33"/>
      <c r="S20" s="33"/>
      <c r="T20" s="6"/>
    </row>
    <row r="21" spans="1:20" ht="15" customHeight="1">
      <c r="A21" s="62"/>
      <c r="B21" s="65" t="s">
        <v>46</v>
      </c>
      <c r="C21" s="44"/>
      <c r="D21" s="44"/>
      <c r="E21" s="44"/>
      <c r="F21" s="44"/>
      <c r="G21" s="49"/>
      <c r="H21" s="46">
        <f>+H19+H20</f>
        <v>51.599860768841317</v>
      </c>
      <c r="I21" s="46">
        <f t="shared" ref="I21:L21" si="7">+I19+I20</f>
        <v>62.856832799999985</v>
      </c>
      <c r="J21" s="46">
        <f t="shared" si="7"/>
        <v>43.225131130000008</v>
      </c>
      <c r="K21" s="46">
        <f t="shared" si="7"/>
        <v>50.616452479999978</v>
      </c>
      <c r="L21" s="46">
        <f t="shared" si="7"/>
        <v>46.84851405000002</v>
      </c>
      <c r="M21" s="35"/>
      <c r="N21" s="33"/>
      <c r="O21" s="33"/>
      <c r="P21" s="33"/>
      <c r="Q21" s="33"/>
      <c r="R21" s="33"/>
      <c r="S21" s="33"/>
      <c r="T21" s="6"/>
    </row>
    <row r="22" spans="1:20" ht="15" customHeight="1">
      <c r="A22" s="62"/>
      <c r="B22" s="63" t="s">
        <v>33</v>
      </c>
      <c r="C22" s="35"/>
      <c r="D22" s="35"/>
      <c r="E22" s="35"/>
      <c r="F22" s="35"/>
      <c r="G22" s="45"/>
      <c r="H22" s="48">
        <v>-17.31229738</v>
      </c>
      <c r="I22" s="48">
        <v>-17.189350459999996</v>
      </c>
      <c r="J22" s="48">
        <v>-9.9609750299999984</v>
      </c>
      <c r="K22" s="48">
        <v>-11.81085023</v>
      </c>
      <c r="L22" s="48">
        <v>-11.38303228</v>
      </c>
      <c r="M22" s="35"/>
      <c r="N22" s="33"/>
      <c r="O22" s="33"/>
      <c r="P22" s="33"/>
      <c r="Q22" s="33"/>
      <c r="R22" s="33"/>
      <c r="S22" s="33"/>
      <c r="T22" s="6"/>
    </row>
    <row r="23" spans="1:20" ht="15" customHeight="1">
      <c r="A23" s="62"/>
      <c r="B23" s="70" t="s">
        <v>47</v>
      </c>
      <c r="C23" s="44"/>
      <c r="D23" s="44"/>
      <c r="E23" s="44"/>
      <c r="F23" s="44"/>
      <c r="G23" s="67"/>
      <c r="H23" s="54">
        <f>H21+H22</f>
        <v>34.28756338884132</v>
      </c>
      <c r="I23" s="54">
        <f>I21+I22</f>
        <v>45.667482339999992</v>
      </c>
      <c r="J23" s="54">
        <f t="shared" ref="J23:L23" si="8">J21+J22</f>
        <v>33.264156100000008</v>
      </c>
      <c r="K23" s="54">
        <f t="shared" si="8"/>
        <v>38.805602249999978</v>
      </c>
      <c r="L23" s="54">
        <f t="shared" si="8"/>
        <v>35.465481770000018</v>
      </c>
      <c r="M23" s="35"/>
      <c r="N23" s="33"/>
      <c r="O23" s="33"/>
      <c r="P23" s="33"/>
      <c r="Q23" s="33"/>
      <c r="R23" s="33"/>
      <c r="S23" s="33"/>
      <c r="T23" s="6"/>
    </row>
    <row r="24" spans="1:20" ht="15" customHeight="1" thickBot="1">
      <c r="A24" s="62"/>
      <c r="B24" s="97" t="s">
        <v>133</v>
      </c>
      <c r="C24" s="87"/>
      <c r="D24" s="87"/>
      <c r="E24" s="87"/>
      <c r="F24" s="87"/>
      <c r="G24" s="89"/>
      <c r="H24" s="98">
        <f t="shared" ref="H24:K24" si="9">+H23/H12</f>
        <v>0.21815105930819872</v>
      </c>
      <c r="I24" s="98">
        <f t="shared" si="9"/>
        <v>0.27448162132855397</v>
      </c>
      <c r="J24" s="98">
        <f t="shared" si="9"/>
        <v>0.23788982345926341</v>
      </c>
      <c r="K24" s="98">
        <f t="shared" si="9"/>
        <v>0.2470579441787904</v>
      </c>
      <c r="L24" s="98">
        <f>+L23/L12</f>
        <v>0.22686507038121342</v>
      </c>
      <c r="M24" s="35"/>
      <c r="N24" s="33"/>
      <c r="O24" s="33"/>
      <c r="P24" s="33"/>
      <c r="Q24" s="33"/>
      <c r="R24" s="33"/>
      <c r="S24" s="33"/>
      <c r="T24" s="6"/>
    </row>
    <row r="25" spans="1:20" ht="15" customHeight="1" thickBot="1">
      <c r="A25" s="24" t="s">
        <v>110</v>
      </c>
      <c r="B25" s="64"/>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H23" sqref="H23"/>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thickBot="1">
      <c r="A6" s="32"/>
      <c r="B6" s="87"/>
      <c r="C6" s="87"/>
      <c r="D6" s="87"/>
      <c r="E6" s="87"/>
      <c r="F6" s="87"/>
      <c r="G6" s="89"/>
      <c r="H6" s="90">
        <v>2019</v>
      </c>
      <c r="I6" s="90">
        <v>2020</v>
      </c>
      <c r="J6" s="90">
        <v>2021</v>
      </c>
      <c r="K6" s="90">
        <v>2022</v>
      </c>
      <c r="L6" s="90">
        <v>2023</v>
      </c>
      <c r="M6" s="33"/>
      <c r="N6" s="33"/>
      <c r="O6" s="33"/>
      <c r="P6" s="33"/>
      <c r="Q6" s="33"/>
      <c r="R6" s="33"/>
      <c r="S6" s="33"/>
      <c r="T6" s="6"/>
    </row>
    <row r="7" spans="1:20" ht="15" customHeight="1">
      <c r="A7" s="32"/>
      <c r="B7" s="45" t="s">
        <v>36</v>
      </c>
      <c r="C7" s="55"/>
      <c r="D7" s="55"/>
      <c r="E7" s="55"/>
      <c r="F7" s="55"/>
      <c r="G7" s="45"/>
      <c r="H7" s="46">
        <f>'Resumo financeiro - DLV'!H8+'Resumo financeiro - DLI'!H7</f>
        <v>1653.30980045</v>
      </c>
      <c r="I7" s="46">
        <f>'Resumo financeiro - DLV'!I8+'Resumo financeiro - DLI'!I7</f>
        <v>1250.7636909400001</v>
      </c>
      <c r="J7" s="46">
        <f>'Resumo financeiro - DLV'!J8+'Resumo financeiro - DLI'!J7</f>
        <v>1254.24031642</v>
      </c>
      <c r="K7" s="46">
        <f>'Resumo financeiro - DLV'!K8+'Resumo financeiro - DLI'!K7</f>
        <v>1691.8808113699999</v>
      </c>
      <c r="L7" s="46">
        <f>'Resumo financeiro - DLV'!L8+'Resumo financeiro - DLI'!L7</f>
        <v>1971.4393199800002</v>
      </c>
      <c r="M7" s="33"/>
      <c r="N7" s="33"/>
      <c r="O7" s="33"/>
      <c r="P7" s="33"/>
      <c r="Q7" s="33"/>
      <c r="R7" s="33"/>
      <c r="S7" s="33"/>
      <c r="T7" s="6"/>
    </row>
    <row r="8" spans="1:20" ht="15" customHeight="1">
      <c r="A8" s="62"/>
      <c r="B8" s="49" t="s">
        <v>21</v>
      </c>
      <c r="C8" s="34"/>
      <c r="D8" s="34"/>
      <c r="E8" s="34"/>
      <c r="F8" s="34"/>
      <c r="G8" s="47"/>
      <c r="H8" s="72">
        <f>'Resumo financeiro - DLV'!H10+'Resumo financeiro - DLI'!H10</f>
        <v>-305.98935620999993</v>
      </c>
      <c r="I8" s="72">
        <f>'Resumo financeiro - DLV'!I10+'Resumo financeiro - DLI'!I10</f>
        <v>-238.72871233000018</v>
      </c>
      <c r="J8" s="72">
        <f>'Resumo financeiro - DLV'!J10+'Resumo financeiro - DLI'!J10</f>
        <v>-246.89730750999996</v>
      </c>
      <c r="K8" s="72">
        <f>'Resumo financeiro - DLV'!K10+'Resumo financeiro - DLI'!K10</f>
        <v>-321.37136514000008</v>
      </c>
      <c r="L8" s="72">
        <f>'Resumo financeiro - DLV'!L10+'Resumo financeiro - DLI'!L10</f>
        <v>-387.97177555000019</v>
      </c>
      <c r="M8" s="44"/>
      <c r="T8" s="6"/>
    </row>
    <row r="9" spans="1:20" ht="15" customHeight="1">
      <c r="A9" s="62"/>
      <c r="B9" s="50" t="s">
        <v>22</v>
      </c>
      <c r="C9" s="34"/>
      <c r="D9" s="34"/>
      <c r="E9" s="34"/>
      <c r="F9" s="34"/>
      <c r="G9" s="47"/>
      <c r="H9" s="52">
        <f t="shared" ref="H9:K9" si="0">-H8/H7</f>
        <v>0.18507684169459065</v>
      </c>
      <c r="I9" s="52">
        <f t="shared" si="0"/>
        <v>0.19086635953637715</v>
      </c>
      <c r="J9" s="52">
        <f t="shared" si="0"/>
        <v>0.1968500807044086</v>
      </c>
      <c r="K9" s="52">
        <f t="shared" si="0"/>
        <v>0.18994917548581317</v>
      </c>
      <c r="L9" s="52">
        <f>-L8/L7</f>
        <v>0.19679620448776283</v>
      </c>
      <c r="M9" s="44"/>
      <c r="T9" s="6"/>
    </row>
    <row r="10" spans="1:20" ht="15" customHeight="1">
      <c r="A10" s="62"/>
      <c r="B10" s="45" t="s">
        <v>39</v>
      </c>
      <c r="C10" s="43"/>
      <c r="D10" s="43"/>
      <c r="E10" s="43"/>
      <c r="F10" s="43"/>
      <c r="G10" s="50"/>
      <c r="H10" s="73">
        <f>H7+H8</f>
        <v>1347.3204442400001</v>
      </c>
      <c r="I10" s="73">
        <f t="shared" ref="I10:L10" si="1">I7+I8</f>
        <v>1012.0349786099998</v>
      </c>
      <c r="J10" s="73">
        <f t="shared" si="1"/>
        <v>1007.34300891</v>
      </c>
      <c r="K10" s="73">
        <f t="shared" si="1"/>
        <v>1370.5094462299999</v>
      </c>
      <c r="L10" s="73">
        <f t="shared" si="1"/>
        <v>1583.4675444300001</v>
      </c>
      <c r="M10" s="44"/>
      <c r="T10" s="6"/>
    </row>
    <row r="11" spans="1:20" ht="15" customHeight="1">
      <c r="A11" s="62"/>
      <c r="B11" s="49" t="s">
        <v>40</v>
      </c>
      <c r="C11" s="56"/>
      <c r="D11" s="56"/>
      <c r="E11" s="56"/>
      <c r="F11" s="56"/>
      <c r="G11" s="53"/>
      <c r="H11" s="72">
        <f>'Resumo financeiro - DLV'!H13+'Resumo financeiro - DLI'!H13</f>
        <v>-1060.47238251</v>
      </c>
      <c r="I11" s="72">
        <f>'Resumo financeiro - DLV'!I13+'Resumo financeiro - DLI'!I13</f>
        <v>-811.89920369000004</v>
      </c>
      <c r="J11" s="72">
        <f>'Resumo financeiro - DLV'!J13+'Resumo financeiro - DLI'!J13</f>
        <v>-819.39925438</v>
      </c>
      <c r="K11" s="72">
        <f>'Resumo financeiro - DLV'!K13+'Resumo financeiro - DLI'!K13</f>
        <v>-1095.8258935700001</v>
      </c>
      <c r="L11" s="72">
        <f>'Resumo financeiro - DLV'!L13+'Resumo financeiro - DLI'!L13</f>
        <v>-1271.7017494799998</v>
      </c>
      <c r="M11" s="44"/>
      <c r="R11" s="33"/>
      <c r="S11" s="33"/>
      <c r="T11" s="6"/>
    </row>
    <row r="12" spans="1:20" ht="15" customHeight="1">
      <c r="A12" s="62"/>
      <c r="B12" s="50" t="s">
        <v>41</v>
      </c>
      <c r="C12" s="58"/>
      <c r="D12" s="58"/>
      <c r="E12" s="58"/>
      <c r="F12" s="58"/>
      <c r="G12" s="57"/>
      <c r="H12" s="52">
        <f t="shared" ref="H12:K12" si="2">-H11/H10</f>
        <v>0.78709737319260664</v>
      </c>
      <c r="I12" s="52">
        <f t="shared" si="2"/>
        <v>0.80224421176145477</v>
      </c>
      <c r="J12" s="52">
        <f t="shared" si="2"/>
        <v>0.81342625811900426</v>
      </c>
      <c r="K12" s="52">
        <f t="shared" si="2"/>
        <v>0.79957558598694822</v>
      </c>
      <c r="L12" s="52">
        <f>-L11/L10</f>
        <v>0.80311197659423672</v>
      </c>
      <c r="M12" s="44"/>
      <c r="R12" s="33"/>
      <c r="S12" s="33"/>
      <c r="T12" s="6"/>
    </row>
    <row r="13" spans="1:20" ht="15" customHeight="1">
      <c r="A13" s="62"/>
      <c r="B13" s="49" t="s">
        <v>42</v>
      </c>
      <c r="C13" s="44"/>
      <c r="D13" s="44"/>
      <c r="E13" s="44"/>
      <c r="F13" s="44"/>
      <c r="G13" s="50"/>
      <c r="H13" s="72">
        <f>'Resumo financeiro - DLV'!H15+'Resumo financeiro - DLI'!H15</f>
        <v>-47.233528790000001</v>
      </c>
      <c r="I13" s="72">
        <f>'Resumo financeiro - DLV'!I15+'Resumo financeiro - DLI'!I15</f>
        <v>-100.20355206000001</v>
      </c>
      <c r="J13" s="72">
        <f>'Resumo financeiro - DLV'!J15+'Resumo financeiro - DLI'!J15</f>
        <v>-69.77771571000001</v>
      </c>
      <c r="K13" s="72">
        <f>'Resumo financeiro - DLV'!K15+'Resumo financeiro - DLI'!K15</f>
        <v>-84.074028569999996</v>
      </c>
      <c r="L13" s="72">
        <f>'Resumo financeiro - DLV'!L15+'Resumo financeiro - DLI'!L15</f>
        <v>-101.48257838000001</v>
      </c>
      <c r="M13" s="44"/>
      <c r="R13" s="33"/>
      <c r="S13" s="33"/>
      <c r="T13" s="6"/>
    </row>
    <row r="14" spans="1:20" ht="15" customHeight="1">
      <c r="A14" s="62"/>
      <c r="B14" s="50" t="s">
        <v>43</v>
      </c>
      <c r="C14" s="44"/>
      <c r="D14" s="44"/>
      <c r="E14" s="44"/>
      <c r="F14" s="44"/>
      <c r="G14" s="49"/>
      <c r="H14" s="52">
        <f t="shared" ref="H14:L14" si="3">+H13/H11</f>
        <v>4.4540083805109938E-2</v>
      </c>
      <c r="I14" s="52">
        <f t="shared" si="3"/>
        <v>0.12341870961886028</v>
      </c>
      <c r="J14" s="52">
        <f t="shared" si="3"/>
        <v>8.5157162808010431E-2</v>
      </c>
      <c r="K14" s="52">
        <f t="shared" si="3"/>
        <v>7.6722067860709342E-2</v>
      </c>
      <c r="L14" s="52">
        <f t="shared" si="3"/>
        <v>7.9800612385330399E-2</v>
      </c>
      <c r="M14" s="44"/>
      <c r="R14" s="33"/>
      <c r="S14" s="33"/>
      <c r="T14" s="6"/>
    </row>
    <row r="15" spans="1:20" ht="15" customHeight="1">
      <c r="A15" s="62"/>
      <c r="B15" s="45" t="s">
        <v>28</v>
      </c>
      <c r="C15" s="44"/>
      <c r="D15" s="44"/>
      <c r="E15" s="44"/>
      <c r="F15" s="44"/>
      <c r="G15" s="59"/>
      <c r="H15" s="74">
        <f>+H10+H11+H13</f>
        <v>239.61453294000015</v>
      </c>
      <c r="I15" s="74">
        <f t="shared" ref="I15:L15" si="4">+I10+I11+I13</f>
        <v>99.932222859999783</v>
      </c>
      <c r="J15" s="74">
        <f t="shared" si="4"/>
        <v>118.16603881999997</v>
      </c>
      <c r="K15" s="74">
        <f t="shared" si="4"/>
        <v>190.60952408999981</v>
      </c>
      <c r="L15" s="74">
        <f t="shared" si="4"/>
        <v>210.28321657000032</v>
      </c>
      <c r="M15" s="35"/>
      <c r="N15" s="33"/>
      <c r="O15" s="33"/>
      <c r="P15" s="33"/>
      <c r="Q15" s="33"/>
      <c r="R15" s="33"/>
      <c r="S15" s="33"/>
      <c r="T15" s="6"/>
    </row>
    <row r="16" spans="1:20" ht="15" customHeight="1" thickBot="1">
      <c r="A16" s="62"/>
      <c r="B16" s="67" t="s">
        <v>29</v>
      </c>
      <c r="C16" s="35"/>
      <c r="D16" s="35"/>
      <c r="E16" s="35"/>
      <c r="F16" s="35"/>
      <c r="G16" s="61"/>
      <c r="H16" s="71">
        <f>'Resumo financeiro - DLV'!H18+'Resumo financeiro - DLI'!H18</f>
        <v>58.606041099999992</v>
      </c>
      <c r="I16" s="71">
        <f>'Resumo financeiro - DLV'!I18+'Resumo financeiro - DLI'!I18</f>
        <v>54.049383500000005</v>
      </c>
      <c r="J16" s="71">
        <f>'Resumo financeiro - DLV'!J18+'Resumo financeiro - DLI'!J18</f>
        <v>50.866138089999993</v>
      </c>
      <c r="K16" s="71">
        <f>'Resumo financeiro - DLV'!K18+'Resumo financeiro - DLI'!K18</f>
        <v>53.096190579999998</v>
      </c>
      <c r="L16" s="71">
        <f>'Resumo financeiro - DLV'!L18+'Resumo financeiro - DLI'!L18</f>
        <v>54.763658219999996</v>
      </c>
      <c r="M16" s="35"/>
      <c r="N16" s="33"/>
      <c r="O16" s="33"/>
      <c r="P16" s="33"/>
      <c r="Q16" s="33"/>
      <c r="R16" s="33"/>
      <c r="S16" s="33"/>
      <c r="T16" s="6"/>
    </row>
    <row r="17" spans="1:20" ht="15" customHeight="1">
      <c r="A17" s="62"/>
      <c r="B17" s="75" t="s">
        <v>44</v>
      </c>
      <c r="C17" s="44"/>
      <c r="D17" s="44"/>
      <c r="E17" s="44"/>
      <c r="F17" s="44"/>
      <c r="G17" s="49"/>
      <c r="H17" s="46">
        <f>+H15+H16</f>
        <v>298.22057404000014</v>
      </c>
      <c r="I17" s="46">
        <f t="shared" ref="I17:L17" si="5">+I15+I16</f>
        <v>153.98160635999977</v>
      </c>
      <c r="J17" s="46">
        <f t="shared" si="5"/>
        <v>169.03217690999998</v>
      </c>
      <c r="K17" s="46">
        <f t="shared" si="5"/>
        <v>243.70571466999979</v>
      </c>
      <c r="L17" s="46">
        <f t="shared" si="5"/>
        <v>265.04687479000029</v>
      </c>
      <c r="M17" s="35"/>
      <c r="N17" s="33"/>
      <c r="O17" s="33"/>
      <c r="P17" s="33"/>
      <c r="Q17" s="33"/>
      <c r="R17" s="33"/>
      <c r="S17" s="33"/>
      <c r="T17" s="6"/>
    </row>
    <row r="18" spans="1:20" ht="15" customHeight="1">
      <c r="A18" s="62"/>
      <c r="B18" s="49" t="s">
        <v>45</v>
      </c>
      <c r="C18" s="44"/>
      <c r="D18" s="44"/>
      <c r="E18" s="44"/>
      <c r="F18" s="44"/>
      <c r="G18" s="45"/>
      <c r="H18" s="48">
        <f>'Resumo financeiro - DLV'!H20+'Resumo financeiro - DLI'!H20</f>
        <v>-48.137444189999997</v>
      </c>
      <c r="I18" s="48">
        <f>'Resumo financeiro - DLV'!I20+'Resumo financeiro - DLI'!I20</f>
        <v>8.5372719999999997</v>
      </c>
      <c r="J18" s="48">
        <f>'Resumo financeiro - DLV'!J20+'Resumo financeiro - DLI'!J20</f>
        <v>-7.1647137899999995</v>
      </c>
      <c r="K18" s="48">
        <f>'Resumo financeiro - DLV'!K20+'Resumo financeiro - DLI'!K20</f>
        <v>1.1862472420473387</v>
      </c>
      <c r="L18" s="48">
        <f>'Resumo financeiro - DLV'!L20+'Resumo financeiro - DLI'!L20</f>
        <v>0</v>
      </c>
      <c r="N18" s="33"/>
      <c r="O18" s="33"/>
      <c r="P18" s="33"/>
      <c r="Q18" s="33"/>
      <c r="R18" s="33"/>
      <c r="S18" s="33"/>
      <c r="T18" s="6"/>
    </row>
    <row r="19" spans="1:20" ht="15" customHeight="1">
      <c r="A19" s="62"/>
      <c r="B19" s="45" t="s">
        <v>46</v>
      </c>
      <c r="C19" s="44"/>
      <c r="D19" s="44"/>
      <c r="E19" s="44"/>
      <c r="F19" s="44"/>
      <c r="G19" s="49"/>
      <c r="H19" s="46">
        <f>+H17+H18</f>
        <v>250.08312985000015</v>
      </c>
      <c r="I19" s="46">
        <f>+I17+I18</f>
        <v>162.51887835999977</v>
      </c>
      <c r="J19" s="46">
        <f>+J17+J18</f>
        <v>161.86746311999997</v>
      </c>
      <c r="K19" s="46">
        <f>+K17+K18</f>
        <v>244.89196191204712</v>
      </c>
      <c r="L19" s="46">
        <f>+L17+L18</f>
        <v>265.04687479000029</v>
      </c>
      <c r="M19" s="35"/>
      <c r="N19" s="33"/>
      <c r="O19" s="33"/>
      <c r="P19" s="33"/>
      <c r="Q19" s="33"/>
      <c r="R19" s="33"/>
      <c r="S19" s="33"/>
      <c r="T19" s="6"/>
    </row>
    <row r="20" spans="1:20" ht="15" customHeight="1">
      <c r="A20" s="62"/>
      <c r="B20" s="50" t="s">
        <v>48</v>
      </c>
      <c r="C20" s="44"/>
      <c r="D20" s="44"/>
      <c r="E20" s="44"/>
      <c r="F20" s="44"/>
      <c r="G20" s="49"/>
      <c r="H20" s="52">
        <f>+H19/H10</f>
        <v>0.18561518228209448</v>
      </c>
      <c r="I20" s="52">
        <f t="shared" ref="I20:L20" si="6">+I19/I10</f>
        <v>0.16058622655830992</v>
      </c>
      <c r="J20" s="52">
        <f t="shared" si="6"/>
        <v>0.16068753313248224</v>
      </c>
      <c r="K20" s="52">
        <f t="shared" si="6"/>
        <v>0.17868681064964304</v>
      </c>
      <c r="L20" s="52">
        <f t="shared" si="6"/>
        <v>0.16738383790834757</v>
      </c>
      <c r="M20" s="35"/>
      <c r="N20" s="33"/>
      <c r="O20" s="33"/>
      <c r="P20" s="33"/>
      <c r="Q20" s="33"/>
      <c r="R20" s="33"/>
      <c r="S20" s="33"/>
      <c r="T20" s="6"/>
    </row>
    <row r="21" spans="1:20" ht="15" customHeight="1">
      <c r="A21" s="62"/>
      <c r="B21" s="67" t="s">
        <v>33</v>
      </c>
      <c r="C21" s="44"/>
      <c r="D21" s="44"/>
      <c r="E21" s="44"/>
      <c r="F21" s="44"/>
      <c r="G21" s="53"/>
      <c r="H21" s="96">
        <f>'Resumo financeiro - DLV'!H22+'Resumo financeiro - DLI'!H22</f>
        <v>-36.254376088277709</v>
      </c>
      <c r="I21" s="96">
        <f>'Resumo financeiro - DLV'!I22+'Resumo financeiro - DLI'!I22</f>
        <v>-37.975334930000017</v>
      </c>
      <c r="J21" s="96">
        <f>'Resumo financeiro - DLV'!J22+'Resumo financeiro - DLI'!J22</f>
        <v>-35.447545839999997</v>
      </c>
      <c r="K21" s="96">
        <f>'Resumo financeiro - DLV'!K22+'Resumo financeiro - DLI'!K22</f>
        <v>-38.96643610999994</v>
      </c>
      <c r="L21" s="96">
        <f>'Resumo financeiro - DLV'!L22+'Resumo financeiro - DLI'!L22</f>
        <v>-42.573743060000027</v>
      </c>
      <c r="M21" s="35"/>
      <c r="N21" s="33"/>
      <c r="O21" s="33"/>
      <c r="P21" s="33"/>
      <c r="Q21" s="33"/>
      <c r="R21" s="33"/>
      <c r="S21" s="33"/>
      <c r="T21" s="6"/>
    </row>
    <row r="22" spans="1:20" ht="15" customHeight="1">
      <c r="A22" s="62"/>
      <c r="B22" s="61" t="s">
        <v>47</v>
      </c>
      <c r="C22" s="35"/>
      <c r="D22" s="35"/>
      <c r="E22" s="35"/>
      <c r="F22" s="35"/>
      <c r="G22" s="57"/>
      <c r="H22" s="54">
        <f>+H19+H21</f>
        <v>213.82875376172245</v>
      </c>
      <c r="I22" s="54">
        <f>+I19+I21</f>
        <v>124.54354342999976</v>
      </c>
      <c r="J22" s="54">
        <f>+J19+J21</f>
        <v>126.41991727999996</v>
      </c>
      <c r="K22" s="54">
        <f>+K19+K21</f>
        <v>205.92552580204719</v>
      </c>
      <c r="L22" s="54">
        <f>+L19+L21</f>
        <v>222.47313173000026</v>
      </c>
      <c r="M22" s="35"/>
      <c r="N22" s="33"/>
      <c r="O22" s="33"/>
      <c r="P22" s="33"/>
      <c r="Q22" s="33"/>
      <c r="R22" s="33"/>
      <c r="S22" s="33"/>
      <c r="T22" s="6"/>
    </row>
    <row r="23" spans="1:20" ht="15" customHeight="1" thickBot="1">
      <c r="A23" s="62"/>
      <c r="B23" s="97" t="s">
        <v>131</v>
      </c>
      <c r="C23" s="87"/>
      <c r="D23" s="87"/>
      <c r="E23" s="87"/>
      <c r="F23" s="87"/>
      <c r="G23" s="89"/>
      <c r="H23" s="98">
        <f>+H22/H10</f>
        <v>0.15870667937673841</v>
      </c>
      <c r="I23" s="98">
        <f>+I22/I10</f>
        <v>0.1230624890071059</v>
      </c>
      <c r="J23" s="98">
        <f>+J22/J10</f>
        <v>0.12549838154611626</v>
      </c>
      <c r="K23" s="98">
        <f>+K22/K10</f>
        <v>0.15025472926765118</v>
      </c>
      <c r="L23" s="98">
        <f>+L22/L10</f>
        <v>0.14049743710413956</v>
      </c>
      <c r="M23" s="35"/>
      <c r="N23" s="33"/>
      <c r="O23" s="33"/>
      <c r="P23" s="33"/>
      <c r="Q23" s="33"/>
      <c r="R23" s="33"/>
      <c r="S23" s="33"/>
      <c r="T23" s="6"/>
    </row>
    <row r="24" spans="1:20" ht="15" customHeight="1">
      <c r="A24" s="62"/>
      <c r="B24" s="33"/>
      <c r="C24" s="33"/>
      <c r="D24" s="33"/>
      <c r="E24" s="33"/>
      <c r="F24" s="33"/>
      <c r="G24" s="33"/>
      <c r="H24" s="33"/>
      <c r="I24" s="33"/>
      <c r="J24" s="33"/>
      <c r="K24" s="33"/>
      <c r="L24" s="33"/>
      <c r="N24" s="33"/>
      <c r="O24" s="33"/>
      <c r="P24" s="33"/>
      <c r="Q24" s="33"/>
      <c r="R24" s="33"/>
      <c r="S24" s="33"/>
      <c r="T24" s="6"/>
    </row>
    <row r="25" spans="1:20" ht="15" customHeight="1" thickBot="1">
      <c r="A25" s="24" t="s">
        <v>111</v>
      </c>
      <c r="B25" s="64"/>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topLeftCell="A4" zoomScale="90" zoomScaleNormal="90" workbookViewId="0">
      <selection activeCell="H17" sqref="H17"/>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T8" s="6"/>
    </row>
    <row r="9" spans="1:20" ht="15" customHeight="1">
      <c r="A9" s="32"/>
      <c r="C9" s="22"/>
      <c r="D9" s="33"/>
      <c r="E9" s="33"/>
      <c r="F9" s="33"/>
      <c r="G9" s="33"/>
      <c r="T9" s="6"/>
    </row>
    <row r="10" spans="1:20" ht="15" customHeight="1">
      <c r="A10" s="32"/>
      <c r="C10" s="22"/>
      <c r="D10" s="33"/>
      <c r="E10" s="33"/>
      <c r="F10" s="33"/>
      <c r="G10" s="33"/>
      <c r="T10" s="6"/>
    </row>
    <row r="11" spans="1:20" ht="15" customHeight="1" thickBot="1">
      <c r="A11" s="32"/>
      <c r="B11" s="80" t="s">
        <v>50</v>
      </c>
      <c r="C11" s="35"/>
      <c r="D11" s="35"/>
      <c r="E11" s="35"/>
      <c r="F11" s="35"/>
      <c r="H11" s="26">
        <v>2019</v>
      </c>
      <c r="I11" s="26">
        <v>2020</v>
      </c>
      <c r="J11" s="26">
        <v>2021</v>
      </c>
      <c r="K11" s="26">
        <v>2022</v>
      </c>
      <c r="L11" s="26">
        <v>2023</v>
      </c>
      <c r="R11" s="33"/>
      <c r="S11" s="33"/>
      <c r="T11" s="6"/>
    </row>
    <row r="12" spans="1:20" ht="15" customHeight="1">
      <c r="A12" s="32"/>
      <c r="B12" s="122" t="s">
        <v>51</v>
      </c>
      <c r="C12" s="123"/>
      <c r="D12" s="123"/>
      <c r="E12" s="123"/>
      <c r="F12" s="123"/>
      <c r="G12" s="123"/>
      <c r="H12" s="124">
        <v>-9.1850000000000005</v>
      </c>
      <c r="I12" s="124">
        <v>-9.8339999999999996</v>
      </c>
      <c r="J12" s="124">
        <v>-10.266999999999999</v>
      </c>
      <c r="K12" s="124">
        <v>-11.58</v>
      </c>
      <c r="L12" s="124">
        <v>-12.62</v>
      </c>
      <c r="R12" s="33"/>
      <c r="S12" s="33"/>
      <c r="T12" s="6"/>
    </row>
    <row r="13" spans="1:20" ht="15" customHeight="1">
      <c r="A13" s="32"/>
      <c r="B13" s="43" t="s">
        <v>52</v>
      </c>
      <c r="C13" s="43"/>
      <c r="D13" s="43"/>
      <c r="E13" s="43"/>
      <c r="F13" s="43"/>
      <c r="G13" s="43"/>
      <c r="H13" s="77">
        <v>6.5860000000000003</v>
      </c>
      <c r="I13" s="77">
        <v>5.9119999999999999</v>
      </c>
      <c r="J13" s="77">
        <v>9.782</v>
      </c>
      <c r="K13" s="77">
        <v>17.632000000000001</v>
      </c>
      <c r="L13" s="77">
        <v>29.29</v>
      </c>
      <c r="R13" s="33"/>
      <c r="S13" s="33"/>
      <c r="T13" s="6"/>
    </row>
    <row r="14" spans="1:20" ht="15" customHeight="1">
      <c r="A14" s="32"/>
      <c r="B14" s="43" t="s">
        <v>53</v>
      </c>
      <c r="C14" s="43"/>
      <c r="D14" s="43"/>
      <c r="E14" s="43"/>
      <c r="F14" s="43"/>
      <c r="G14" s="43"/>
      <c r="H14" s="77">
        <v>-6.44</v>
      </c>
      <c r="I14" s="77">
        <v>-5.4509999999999996</v>
      </c>
      <c r="J14" s="77">
        <v>-5.0209999999999999</v>
      </c>
      <c r="K14" s="77">
        <v>-5.2519999999999998</v>
      </c>
      <c r="L14" s="77">
        <v>-9.5719999999999992</v>
      </c>
      <c r="R14" s="33"/>
      <c r="S14" s="33"/>
      <c r="T14" s="6"/>
    </row>
    <row r="15" spans="1:20" ht="15" customHeight="1">
      <c r="A15" s="32"/>
      <c r="B15" s="43" t="s">
        <v>138</v>
      </c>
      <c r="C15" s="43"/>
      <c r="D15" s="43"/>
      <c r="E15" s="43"/>
      <c r="F15" s="43"/>
      <c r="G15" s="43"/>
      <c r="H15" s="77">
        <f t="shared" ref="H15:K15" si="0">+H16-H13-H12-H14</f>
        <v>31.736000000000001</v>
      </c>
      <c r="I15" s="77">
        <f t="shared" si="0"/>
        <v>0.21600000000000019</v>
      </c>
      <c r="J15" s="77">
        <f t="shared" si="0"/>
        <v>2.4829999999999997</v>
      </c>
      <c r="K15" s="77">
        <f t="shared" si="0"/>
        <v>5.9129999999999994</v>
      </c>
      <c r="L15" s="77">
        <f>+L16-L13-L12-L14</f>
        <v>1.8409999999999993</v>
      </c>
      <c r="M15" s="33"/>
      <c r="N15" s="33"/>
      <c r="O15" s="33"/>
      <c r="P15" s="33"/>
      <c r="Q15" s="33"/>
      <c r="R15" s="33"/>
      <c r="S15" s="33"/>
      <c r="T15" s="6"/>
    </row>
    <row r="16" spans="1:20" ht="15" customHeight="1" thickBot="1">
      <c r="A16" s="32"/>
      <c r="B16" s="76" t="s">
        <v>54</v>
      </c>
      <c r="C16" s="76"/>
      <c r="D16" s="76"/>
      <c r="E16" s="76"/>
      <c r="F16" s="76"/>
      <c r="G16" s="76"/>
      <c r="H16" s="78">
        <v>22.696999999999999</v>
      </c>
      <c r="I16" s="78">
        <v>-9.157</v>
      </c>
      <c r="J16" s="78">
        <v>-3.0230000000000001</v>
      </c>
      <c r="K16" s="78">
        <v>6.7130000000000001</v>
      </c>
      <c r="L16" s="78">
        <v>8.9390000000000001</v>
      </c>
      <c r="M16" s="33"/>
      <c r="N16" s="33"/>
      <c r="O16" s="33"/>
      <c r="P16" s="33"/>
      <c r="Q16" s="33"/>
      <c r="R16" s="33"/>
      <c r="S16" s="33"/>
      <c r="T16" s="6"/>
    </row>
    <row r="17" spans="1:20" ht="15" customHeight="1">
      <c r="A17" s="32"/>
      <c r="M17" s="33"/>
      <c r="N17" s="33"/>
      <c r="O17" s="33"/>
      <c r="P17" s="33"/>
      <c r="Q17" s="33"/>
      <c r="R17" s="33"/>
      <c r="S17" s="33"/>
      <c r="T17" s="6"/>
    </row>
    <row r="18" spans="1:20" ht="15" customHeight="1">
      <c r="A18" s="32"/>
      <c r="M18" s="33"/>
      <c r="N18" s="33"/>
      <c r="O18" s="33"/>
      <c r="P18" s="33"/>
      <c r="Q18" s="33"/>
      <c r="R18" s="33"/>
      <c r="S18" s="33"/>
      <c r="T18" s="6"/>
    </row>
    <row r="19" spans="1:20" ht="15" customHeight="1">
      <c r="A19" s="32"/>
      <c r="M19" s="33"/>
      <c r="N19" s="33"/>
      <c r="O19" s="33"/>
      <c r="P19" s="33"/>
      <c r="Q19" s="33"/>
      <c r="R19" s="33"/>
      <c r="S19" s="33"/>
      <c r="T19" s="6"/>
    </row>
    <row r="20" spans="1:20" ht="15" customHeight="1">
      <c r="A20" s="32"/>
      <c r="M20" s="33"/>
      <c r="N20" s="33"/>
      <c r="O20" s="33"/>
      <c r="P20" s="33"/>
      <c r="Q20" s="33"/>
      <c r="R20" s="33"/>
      <c r="S20" s="33"/>
      <c r="T20" s="6"/>
    </row>
    <row r="21" spans="1:20" ht="15" customHeight="1">
      <c r="A21" s="32"/>
      <c r="M21" s="33"/>
      <c r="N21" s="33"/>
      <c r="O21" s="33"/>
      <c r="P21" s="33"/>
      <c r="Q21" s="33"/>
      <c r="R21" s="33"/>
      <c r="S21" s="33"/>
      <c r="T21" s="6"/>
    </row>
    <row r="22" spans="1:20" ht="15" customHeight="1">
      <c r="A22" s="32"/>
      <c r="M22" s="33"/>
      <c r="N22" s="33"/>
      <c r="O22" s="33"/>
      <c r="P22" s="33"/>
      <c r="Q22" s="33"/>
      <c r="R22" s="33"/>
      <c r="S22" s="33"/>
      <c r="T22" s="6"/>
    </row>
    <row r="23" spans="1:20" ht="15" customHeight="1">
      <c r="A23" s="32"/>
      <c r="B23" s="33"/>
      <c r="C23" s="33"/>
      <c r="D23" s="33"/>
      <c r="E23" s="33"/>
      <c r="F23" s="33"/>
      <c r="G23" s="33"/>
      <c r="H23" s="33"/>
      <c r="I23" s="33"/>
      <c r="J23" s="33"/>
      <c r="K23" s="33"/>
      <c r="L23" s="33"/>
      <c r="M23" s="33"/>
      <c r="N23" s="33"/>
      <c r="O23" s="33"/>
      <c r="P23" s="33"/>
      <c r="Q23" s="33"/>
      <c r="R23" s="33"/>
      <c r="S23" s="33"/>
      <c r="T23" s="6"/>
    </row>
    <row r="24" spans="1:20" ht="15" customHeight="1">
      <c r="A24" s="32"/>
      <c r="B24" s="33"/>
      <c r="C24" s="33"/>
      <c r="D24" s="33"/>
      <c r="E24" s="33"/>
      <c r="F24" s="33"/>
      <c r="G24" s="33"/>
      <c r="H24" s="33"/>
      <c r="I24" s="33"/>
      <c r="J24" s="33"/>
      <c r="K24" s="33"/>
      <c r="L24" s="33"/>
      <c r="M24" s="33"/>
      <c r="N24" s="33"/>
      <c r="O24" s="33"/>
      <c r="P24" s="33"/>
      <c r="Q24" s="33"/>
      <c r="R24" s="33"/>
      <c r="S24" s="33"/>
      <c r="T24" s="6"/>
    </row>
    <row r="25" spans="1:20" ht="15" customHeight="1" thickBot="1">
      <c r="A25" s="24" t="s">
        <v>112</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G20" sqref="G20"/>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32"/>
      <c r="B2" s="33"/>
      <c r="C2" s="33"/>
      <c r="D2" s="33"/>
      <c r="E2" s="33"/>
      <c r="F2" s="33"/>
      <c r="G2" s="33"/>
      <c r="H2" s="33"/>
      <c r="I2" s="33"/>
      <c r="J2" s="33"/>
      <c r="K2" s="33"/>
      <c r="L2" s="33"/>
      <c r="M2" s="33"/>
      <c r="N2" s="33"/>
      <c r="O2" s="33"/>
      <c r="P2" s="33"/>
      <c r="Q2" s="33"/>
      <c r="R2" s="33"/>
      <c r="S2" s="33"/>
      <c r="T2" s="6"/>
    </row>
    <row r="3" spans="1:20" ht="15" customHeight="1">
      <c r="A3" s="32"/>
      <c r="B3" s="33"/>
      <c r="C3" s="33"/>
      <c r="D3" s="33"/>
      <c r="E3" s="33"/>
      <c r="F3" s="33"/>
      <c r="G3" s="33"/>
      <c r="H3" s="33"/>
      <c r="I3" s="33"/>
      <c r="J3" s="33"/>
      <c r="K3" s="33"/>
      <c r="L3" s="33"/>
      <c r="M3" s="33"/>
      <c r="N3" s="33"/>
      <c r="O3" s="33"/>
      <c r="P3" s="33"/>
      <c r="Q3" s="33"/>
      <c r="R3" s="33"/>
      <c r="S3" s="33"/>
      <c r="T3" s="6"/>
    </row>
    <row r="4" spans="1:20" ht="15" customHeight="1">
      <c r="A4" s="32"/>
      <c r="B4" s="33"/>
      <c r="C4" s="33"/>
      <c r="D4" s="33"/>
      <c r="E4" s="33"/>
      <c r="F4" s="33"/>
      <c r="G4" s="33"/>
      <c r="H4" s="33"/>
      <c r="I4" s="33"/>
      <c r="J4" s="33"/>
      <c r="K4" s="33"/>
      <c r="L4" s="33"/>
      <c r="M4" s="33"/>
      <c r="N4" s="33"/>
      <c r="O4" s="33"/>
      <c r="P4" s="33"/>
      <c r="Q4" s="33"/>
      <c r="R4" s="33"/>
      <c r="S4" s="33"/>
      <c r="T4" s="6"/>
    </row>
    <row r="5" spans="1:20" ht="15" customHeight="1">
      <c r="A5" s="32"/>
      <c r="D5" s="33"/>
      <c r="E5" s="33"/>
      <c r="F5" s="33"/>
      <c r="G5" s="33"/>
      <c r="H5" s="33"/>
      <c r="I5" s="33"/>
      <c r="J5" s="33"/>
      <c r="K5" s="33"/>
      <c r="L5" s="33"/>
      <c r="M5" s="33"/>
      <c r="N5" s="33"/>
      <c r="O5" s="33"/>
      <c r="P5" s="33"/>
      <c r="Q5" s="33"/>
      <c r="R5" s="33"/>
      <c r="S5" s="33"/>
      <c r="T5" s="6"/>
    </row>
    <row r="6" spans="1:20" ht="15" customHeight="1">
      <c r="A6" s="32"/>
      <c r="C6" s="12"/>
      <c r="D6" s="33"/>
      <c r="E6" s="33"/>
      <c r="F6" s="33"/>
      <c r="G6" s="33"/>
      <c r="H6" s="33"/>
      <c r="I6" s="33"/>
      <c r="J6" s="33"/>
      <c r="K6" s="33"/>
      <c r="L6" s="33"/>
      <c r="M6" s="33"/>
      <c r="N6" s="33"/>
      <c r="O6" s="33"/>
      <c r="P6" s="33"/>
      <c r="Q6" s="33"/>
      <c r="R6" s="33"/>
      <c r="S6" s="33"/>
      <c r="T6" s="6"/>
    </row>
    <row r="7" spans="1:20" ht="15" customHeight="1">
      <c r="A7" s="32"/>
      <c r="C7" s="12"/>
      <c r="D7" s="33"/>
      <c r="E7" s="33"/>
      <c r="F7" s="33"/>
      <c r="G7" s="33"/>
      <c r="H7" s="33"/>
      <c r="I7" s="33"/>
      <c r="J7" s="33"/>
      <c r="K7" s="33"/>
      <c r="L7" s="33"/>
      <c r="M7" s="33"/>
      <c r="N7" s="33"/>
      <c r="O7" s="33"/>
      <c r="P7" s="33"/>
      <c r="Q7" s="33"/>
      <c r="R7" s="33"/>
      <c r="S7" s="33"/>
      <c r="T7" s="6"/>
    </row>
    <row r="8" spans="1:20" ht="15" customHeight="1">
      <c r="A8" s="32"/>
      <c r="C8" s="22"/>
      <c r="D8" s="33"/>
      <c r="E8" s="33"/>
      <c r="F8" s="33"/>
      <c r="G8" s="33"/>
      <c r="T8" s="6"/>
    </row>
    <row r="9" spans="1:20" ht="15" customHeight="1">
      <c r="A9" s="32"/>
      <c r="C9" s="22"/>
      <c r="D9" s="33"/>
      <c r="E9" s="33"/>
      <c r="F9" s="33"/>
      <c r="G9" s="33"/>
      <c r="T9" s="6"/>
    </row>
    <row r="10" spans="1:20" ht="15" customHeight="1">
      <c r="A10" s="32"/>
      <c r="T10" s="6"/>
    </row>
    <row r="11" spans="1:20" ht="15" customHeight="1">
      <c r="A11" s="32"/>
      <c r="R11" s="33"/>
      <c r="S11" s="33"/>
      <c r="T11" s="6"/>
    </row>
    <row r="12" spans="1:20" ht="15" customHeight="1">
      <c r="A12" s="32"/>
      <c r="R12" s="33"/>
      <c r="S12" s="33"/>
      <c r="T12" s="6"/>
    </row>
    <row r="13" spans="1:20" ht="15" customHeight="1">
      <c r="A13" s="32"/>
      <c r="R13" s="33"/>
      <c r="S13" s="33"/>
      <c r="T13" s="6"/>
    </row>
    <row r="14" spans="1:20" ht="15" customHeight="1">
      <c r="A14" s="32"/>
      <c r="R14" s="33"/>
      <c r="S14" s="33"/>
      <c r="T14" s="6"/>
    </row>
    <row r="15" spans="1:20" ht="15" customHeight="1">
      <c r="A15" s="32"/>
      <c r="M15" s="33"/>
      <c r="N15" s="33"/>
      <c r="O15" s="33"/>
      <c r="P15" s="33"/>
      <c r="Q15" s="33"/>
      <c r="R15" s="33"/>
      <c r="S15" s="33"/>
      <c r="T15" s="6"/>
    </row>
    <row r="16" spans="1:20" ht="15" customHeight="1">
      <c r="A16" s="32"/>
      <c r="M16" s="33"/>
      <c r="N16" s="33"/>
      <c r="O16" s="33"/>
      <c r="P16" s="33"/>
      <c r="Q16" s="33"/>
      <c r="R16" s="33"/>
      <c r="S16" s="33"/>
      <c r="T16" s="6"/>
    </row>
    <row r="17" spans="1:20" ht="15" customHeight="1">
      <c r="A17" s="32"/>
      <c r="M17" s="33"/>
      <c r="N17" s="33"/>
      <c r="O17" s="33"/>
      <c r="P17" s="33"/>
      <c r="Q17" s="33"/>
      <c r="R17" s="33"/>
      <c r="S17" s="33"/>
      <c r="T17" s="6"/>
    </row>
    <row r="18" spans="1:20" ht="15" customHeight="1">
      <c r="A18" s="32"/>
      <c r="C18" s="22"/>
      <c r="D18" s="33"/>
      <c r="E18" s="33"/>
      <c r="F18" s="33"/>
      <c r="G18" s="33"/>
      <c r="M18" s="33"/>
      <c r="N18" s="33"/>
      <c r="O18" s="33"/>
      <c r="P18" s="33"/>
      <c r="Q18" s="33"/>
      <c r="R18" s="33"/>
      <c r="S18" s="33"/>
      <c r="T18" s="6"/>
    </row>
    <row r="19" spans="1:20" ht="15" customHeight="1" thickBot="1">
      <c r="A19" s="32"/>
      <c r="B19" s="83" t="s">
        <v>123</v>
      </c>
      <c r="C19" s="35"/>
      <c r="D19" s="35"/>
      <c r="E19" s="26">
        <v>2019</v>
      </c>
      <c r="F19" s="26">
        <v>2020</v>
      </c>
      <c r="G19" s="26">
        <v>2021</v>
      </c>
      <c r="H19" s="26">
        <v>2022</v>
      </c>
      <c r="I19" s="26">
        <v>2023</v>
      </c>
      <c r="M19" s="33"/>
      <c r="N19" s="33"/>
      <c r="O19" s="33"/>
      <c r="P19" s="33"/>
      <c r="Q19" s="33"/>
      <c r="R19" s="33"/>
      <c r="S19" s="33"/>
      <c r="T19" s="6"/>
    </row>
    <row r="20" spans="1:20" ht="15" customHeight="1">
      <c r="A20" s="32"/>
      <c r="B20" s="122" t="s">
        <v>120</v>
      </c>
      <c r="C20" s="123"/>
      <c r="D20" s="123"/>
      <c r="E20" s="134">
        <v>71.738</v>
      </c>
      <c r="F20" s="134">
        <v>73.266999999999996</v>
      </c>
      <c r="G20" s="134">
        <v>91.376999999999995</v>
      </c>
      <c r="H20" s="134">
        <v>117.637</v>
      </c>
      <c r="I20" s="134">
        <v>160.44999999999999</v>
      </c>
      <c r="M20" s="133"/>
      <c r="N20" s="33"/>
      <c r="O20" s="33"/>
      <c r="P20" s="33"/>
      <c r="Q20" s="33"/>
      <c r="R20" s="33"/>
      <c r="S20" s="33"/>
      <c r="T20" s="6"/>
    </row>
    <row r="21" spans="1:20" ht="15" customHeight="1">
      <c r="A21" s="32"/>
      <c r="B21" s="43" t="s">
        <v>121</v>
      </c>
      <c r="C21" s="43"/>
      <c r="D21" s="43"/>
      <c r="E21" s="136">
        <v>10.02</v>
      </c>
      <c r="F21" s="136">
        <v>18.579000000000001</v>
      </c>
      <c r="G21" s="136">
        <v>18.565000000000001</v>
      </c>
      <c r="H21" s="136">
        <v>32.375</v>
      </c>
      <c r="I21" s="136">
        <v>50.322000000000003</v>
      </c>
      <c r="M21" s="33"/>
      <c r="N21" s="33"/>
      <c r="O21" s="33"/>
      <c r="P21" s="33"/>
      <c r="Q21" s="33"/>
      <c r="R21" s="33"/>
      <c r="S21" s="33"/>
      <c r="T21" s="6"/>
    </row>
    <row r="22" spans="1:20" ht="15" customHeight="1" thickBot="1">
      <c r="A22" s="32"/>
      <c r="B22" s="94" t="s">
        <v>122</v>
      </c>
      <c r="C22" s="94"/>
      <c r="D22" s="94"/>
      <c r="E22" s="135">
        <v>6.6379999999999999</v>
      </c>
      <c r="F22" s="135">
        <v>12.718</v>
      </c>
      <c r="G22" s="135">
        <v>13.358000000000001</v>
      </c>
      <c r="H22" s="135">
        <v>21.57</v>
      </c>
      <c r="I22" s="135">
        <v>34.078000000000003</v>
      </c>
      <c r="M22" s="33"/>
      <c r="N22" s="33"/>
      <c r="O22" s="33"/>
      <c r="P22" s="33"/>
      <c r="Q22" s="33"/>
      <c r="R22" s="33"/>
      <c r="S22" s="33"/>
      <c r="T22" s="6"/>
    </row>
    <row r="23" spans="1:20" ht="15" customHeight="1">
      <c r="A23" s="32"/>
      <c r="M23" s="33"/>
      <c r="N23" s="33"/>
      <c r="O23" s="33"/>
      <c r="P23" s="33"/>
      <c r="Q23" s="33"/>
      <c r="R23" s="33"/>
      <c r="S23" s="33"/>
      <c r="T23" s="6"/>
    </row>
    <row r="24" spans="1:20" ht="15" customHeight="1">
      <c r="A24" s="32"/>
      <c r="M24" s="33"/>
      <c r="N24" s="33"/>
      <c r="O24" s="33"/>
      <c r="P24" s="33"/>
      <c r="Q24" s="33"/>
      <c r="R24" s="33"/>
      <c r="S24" s="33"/>
      <c r="T24" s="6"/>
    </row>
    <row r="25" spans="1:20" ht="15" customHeight="1" thickBot="1">
      <c r="A25" s="24" t="s">
        <v>113</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6"/>
  <sheetViews>
    <sheetView showGridLines="0" topLeftCell="A4" zoomScale="90" zoomScaleNormal="90" workbookViewId="0">
      <selection activeCell="H21" sqref="H21"/>
    </sheetView>
  </sheetViews>
  <sheetFormatPr defaultColWidth="0" defaultRowHeight="0"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120"/>
      <c r="B2" s="121"/>
      <c r="C2" s="121"/>
      <c r="D2" s="121"/>
      <c r="E2" s="121"/>
      <c r="F2" s="121"/>
      <c r="G2" s="121"/>
      <c r="H2" s="121"/>
      <c r="I2" s="121"/>
      <c r="J2" s="121"/>
      <c r="K2" s="121"/>
      <c r="L2" s="121"/>
      <c r="M2" s="121"/>
      <c r="N2" s="121"/>
      <c r="O2" s="121"/>
      <c r="P2" s="121"/>
      <c r="Q2" s="121"/>
      <c r="R2" s="121"/>
      <c r="S2" s="121"/>
      <c r="T2" s="6"/>
    </row>
    <row r="3" spans="1:20" ht="15" customHeight="1">
      <c r="A3" s="120"/>
      <c r="B3" s="121"/>
      <c r="C3" s="121"/>
      <c r="D3" s="121"/>
      <c r="E3" s="121"/>
      <c r="F3" s="121"/>
      <c r="G3" s="121"/>
      <c r="H3" s="121"/>
      <c r="I3" s="121"/>
      <c r="J3" s="121"/>
      <c r="K3" s="121"/>
      <c r="L3" s="121"/>
      <c r="M3" s="121"/>
      <c r="N3" s="121"/>
      <c r="O3" s="121"/>
      <c r="P3" s="121"/>
      <c r="Q3" s="121"/>
      <c r="R3" s="121"/>
      <c r="S3" s="121"/>
      <c r="T3" s="6"/>
    </row>
    <row r="4" spans="1:20" ht="15" customHeight="1">
      <c r="A4" s="120"/>
      <c r="B4" s="121"/>
      <c r="C4" s="121"/>
      <c r="D4" s="121"/>
      <c r="E4" s="121"/>
      <c r="F4" s="121"/>
      <c r="G4" s="121"/>
      <c r="H4" s="121"/>
      <c r="I4" s="121"/>
      <c r="J4" s="121"/>
      <c r="K4" s="121"/>
      <c r="L4" s="121"/>
      <c r="M4" s="121"/>
      <c r="N4" s="121"/>
      <c r="O4" s="121"/>
      <c r="P4" s="121"/>
      <c r="Q4" s="121"/>
      <c r="R4" s="121"/>
      <c r="S4" s="121"/>
      <c r="T4" s="6"/>
    </row>
    <row r="5" spans="1:20" ht="15" customHeight="1">
      <c r="A5" s="120"/>
      <c r="D5" s="121"/>
      <c r="E5" s="121"/>
      <c r="F5" s="121"/>
      <c r="G5" s="121"/>
      <c r="H5" s="121"/>
      <c r="I5" s="121"/>
      <c r="J5" s="121"/>
      <c r="K5" s="121"/>
      <c r="L5" s="121"/>
      <c r="M5" s="121"/>
      <c r="N5" s="121"/>
      <c r="O5" s="121"/>
      <c r="P5" s="121"/>
      <c r="Q5" s="121"/>
      <c r="R5" s="121"/>
      <c r="S5" s="121"/>
      <c r="T5" s="6"/>
    </row>
    <row r="6" spans="1:20" ht="15" customHeight="1" thickBot="1">
      <c r="A6" s="120"/>
      <c r="B6" s="87"/>
      <c r="C6" s="87"/>
      <c r="D6" s="87"/>
      <c r="E6" s="87"/>
      <c r="F6" s="87"/>
      <c r="G6" s="89"/>
      <c r="H6" s="90">
        <v>2019</v>
      </c>
      <c r="I6" s="90">
        <v>2020</v>
      </c>
      <c r="J6" s="90">
        <v>2021</v>
      </c>
      <c r="K6" s="90">
        <v>2022</v>
      </c>
      <c r="L6" s="90">
        <v>2023</v>
      </c>
      <c r="M6" s="121"/>
      <c r="N6" s="121"/>
      <c r="O6" s="121"/>
      <c r="P6" s="121"/>
      <c r="Q6" s="121"/>
      <c r="R6" s="121"/>
      <c r="S6" s="121"/>
      <c r="T6" s="6"/>
    </row>
    <row r="7" spans="1:20" ht="15" customHeight="1">
      <c r="A7" s="120"/>
      <c r="B7" s="45" t="s">
        <v>90</v>
      </c>
      <c r="C7" s="55"/>
      <c r="D7" s="55"/>
      <c r="E7" s="55"/>
      <c r="F7" s="55"/>
      <c r="G7" s="45"/>
      <c r="H7" s="138">
        <v>265.298</v>
      </c>
      <c r="I7" s="138">
        <v>97.052000000000007</v>
      </c>
      <c r="J7" s="138">
        <v>124.386</v>
      </c>
      <c r="K7" s="138">
        <v>207.89500000000001</v>
      </c>
      <c r="L7" s="138">
        <v>235.477</v>
      </c>
      <c r="M7" s="121"/>
      <c r="N7" s="121"/>
      <c r="O7" s="121"/>
      <c r="P7" s="121"/>
      <c r="Q7" s="121"/>
      <c r="R7" s="121"/>
      <c r="S7" s="121"/>
      <c r="T7" s="6"/>
    </row>
    <row r="8" spans="1:20" ht="15" customHeight="1">
      <c r="A8" s="62"/>
      <c r="B8" s="50" t="s">
        <v>91</v>
      </c>
      <c r="C8" s="50"/>
      <c r="D8" s="50"/>
      <c r="E8" s="50"/>
      <c r="F8" s="50"/>
      <c r="G8" s="50"/>
      <c r="H8" s="151">
        <v>0.34</v>
      </c>
      <c r="I8" s="151">
        <v>0.34</v>
      </c>
      <c r="J8" s="151">
        <v>0.34</v>
      </c>
      <c r="K8" s="151">
        <v>0.34</v>
      </c>
      <c r="L8" s="151">
        <v>0.34</v>
      </c>
      <c r="M8" s="44"/>
      <c r="T8" s="6"/>
    </row>
    <row r="9" spans="1:20" ht="15" customHeight="1">
      <c r="A9" s="62"/>
      <c r="B9" s="152" t="s">
        <v>92</v>
      </c>
      <c r="C9" s="50"/>
      <c r="D9" s="50"/>
      <c r="E9" s="50"/>
      <c r="F9" s="50"/>
      <c r="G9" s="50"/>
      <c r="H9" s="138">
        <f t="shared" ref="H9:K9" si="0">H7*-H8</f>
        <v>-90.20132000000001</v>
      </c>
      <c r="I9" s="138">
        <f t="shared" si="0"/>
        <v>-32.997680000000003</v>
      </c>
      <c r="J9" s="138">
        <f t="shared" si="0"/>
        <v>-42.291240000000002</v>
      </c>
      <c r="K9" s="138">
        <f t="shared" si="0"/>
        <v>-70.684300000000007</v>
      </c>
      <c r="L9" s="138">
        <f>L7*-L8</f>
        <v>-80.062180000000012</v>
      </c>
      <c r="M9" s="44"/>
      <c r="T9" s="6"/>
    </row>
    <row r="10" spans="1:20" ht="15" customHeight="1">
      <c r="A10" s="62"/>
      <c r="B10" s="152" t="s">
        <v>96</v>
      </c>
      <c r="C10" s="50"/>
      <c r="D10" s="50"/>
      <c r="E10" s="50"/>
      <c r="F10" s="50"/>
      <c r="G10" s="50"/>
      <c r="H10" s="138">
        <f>SUM(H9,H18:H22)</f>
        <v>-71.32632000000001</v>
      </c>
      <c r="I10" s="138">
        <f>SUM(I9,I18:I22)</f>
        <v>-23.542680000000001</v>
      </c>
      <c r="J10" s="138">
        <f>SUM(J9,J18:J22)</f>
        <v>-16.601239999999997</v>
      </c>
      <c r="K10" s="138">
        <f>SUM(K9,K18:K22)</f>
        <v>-48.231300000000012</v>
      </c>
      <c r="L10" s="138">
        <f>SUM(L9,L18:L22)</f>
        <v>-53.565180000000019</v>
      </c>
      <c r="M10" s="44"/>
      <c r="T10" s="6"/>
    </row>
    <row r="11" spans="1:20" ht="15" customHeight="1" thickBot="1">
      <c r="A11" s="62"/>
      <c r="B11" s="146" t="s">
        <v>97</v>
      </c>
      <c r="C11" s="147"/>
      <c r="D11" s="147"/>
      <c r="E11" s="147"/>
      <c r="F11" s="147"/>
      <c r="G11" s="148"/>
      <c r="H11" s="149">
        <f>H10/H7</f>
        <v>-0.26885359105609546</v>
      </c>
      <c r="I11" s="149">
        <f>I10/I7</f>
        <v>-0.24257799942298972</v>
      </c>
      <c r="J11" s="149">
        <f>J10/J7</f>
        <v>-0.1334655025485183</v>
      </c>
      <c r="K11" s="149">
        <f>K10/K7</f>
        <v>-0.23199836455903225</v>
      </c>
      <c r="L11" s="149">
        <f>L10/L7</f>
        <v>-0.22747520989311065</v>
      </c>
      <c r="M11" s="150"/>
      <c r="R11" s="121"/>
      <c r="S11" s="121"/>
      <c r="T11" s="6"/>
    </row>
    <row r="12" spans="1:20" ht="15" customHeight="1" thickBot="1">
      <c r="A12" s="62"/>
      <c r="B12" s="140"/>
      <c r="C12" s="140"/>
      <c r="D12" s="140"/>
      <c r="E12" s="140"/>
      <c r="F12" s="140"/>
      <c r="G12" s="140"/>
      <c r="H12" s="140"/>
      <c r="I12" s="140"/>
      <c r="J12" s="174"/>
      <c r="K12" s="174"/>
      <c r="L12" s="174"/>
      <c r="M12" s="44"/>
      <c r="R12" s="121"/>
      <c r="S12" s="121"/>
      <c r="T12" s="6"/>
    </row>
    <row r="13" spans="1:20" ht="15" customHeight="1">
      <c r="A13" s="62"/>
      <c r="B13" s="141" t="s">
        <v>124</v>
      </c>
      <c r="C13" s="142"/>
      <c r="D13" s="142"/>
      <c r="E13" s="142"/>
      <c r="F13" s="142"/>
      <c r="G13" s="141"/>
      <c r="H13" s="143">
        <f>-H8-H11</f>
        <v>-7.114640894390456E-2</v>
      </c>
      <c r="I13" s="143">
        <f>-I8-I11</f>
        <v>-9.7422000577010309E-2</v>
      </c>
      <c r="J13" s="143">
        <f>-J8-J11</f>
        <v>-0.20653449745148172</v>
      </c>
      <c r="K13" s="143">
        <f>-K8-K11</f>
        <v>-0.10800163544096777</v>
      </c>
      <c r="L13" s="143">
        <f>-L8-L11</f>
        <v>-0.11252479010688937</v>
      </c>
      <c r="M13" s="44"/>
      <c r="R13" s="121"/>
      <c r="S13" s="121"/>
      <c r="T13" s="6"/>
    </row>
    <row r="14" spans="1:20" ht="15" customHeight="1">
      <c r="A14" s="62"/>
      <c r="B14" s="49" t="s">
        <v>93</v>
      </c>
      <c r="C14" s="47"/>
      <c r="D14" s="47"/>
      <c r="E14" s="47"/>
      <c r="F14" s="47"/>
      <c r="G14" s="47"/>
      <c r="H14" s="82">
        <f>-H18/H7</f>
        <v>-3.8258863617516904E-3</v>
      </c>
      <c r="I14" s="82">
        <f t="shared" ref="I14:L14" si="1">-I18/I7</f>
        <v>-2.1988212504636687E-2</v>
      </c>
      <c r="J14" s="82">
        <f t="shared" si="1"/>
        <v>-2.5268116990658111E-2</v>
      </c>
      <c r="K14" s="82">
        <f t="shared" si="1"/>
        <v>-1.7292383174198515E-2</v>
      </c>
      <c r="L14" s="82">
        <f t="shared" si="1"/>
        <v>-2.347150677136196E-2</v>
      </c>
      <c r="M14" s="44"/>
      <c r="R14" s="121"/>
      <c r="S14" s="121"/>
      <c r="T14" s="6"/>
    </row>
    <row r="15" spans="1:20" ht="15" customHeight="1">
      <c r="A15" s="62"/>
      <c r="B15" s="49" t="s">
        <v>98</v>
      </c>
      <c r="C15" s="47"/>
      <c r="D15" s="47"/>
      <c r="E15" s="47"/>
      <c r="F15" s="47"/>
      <c r="G15" s="47"/>
      <c r="H15" s="82">
        <f>-H19/H7</f>
        <v>-2.4692986754517563E-2</v>
      </c>
      <c r="I15" s="82">
        <f>-I19/I7</f>
        <v>-5.6526398219511186E-2</v>
      </c>
      <c r="J15" s="82">
        <f>-J19/J7</f>
        <v>-4.685414757287798E-2</v>
      </c>
      <c r="K15" s="82">
        <f>-K19/K7</f>
        <v>-3.8572356237523746E-2</v>
      </c>
      <c r="L15" s="82">
        <f>-L19/L7</f>
        <v>-4.1248189844443402E-2</v>
      </c>
      <c r="M15" s="35"/>
      <c r="N15" s="121"/>
      <c r="O15" s="121"/>
      <c r="P15" s="121"/>
      <c r="Q15" s="121"/>
      <c r="R15" s="121"/>
      <c r="S15" s="121"/>
      <c r="T15" s="6"/>
    </row>
    <row r="16" spans="1:20" ht="15" customHeight="1">
      <c r="A16" s="62"/>
      <c r="B16" s="49" t="s">
        <v>95</v>
      </c>
      <c r="C16" s="47"/>
      <c r="D16" s="47"/>
      <c r="E16" s="47"/>
      <c r="F16" s="47"/>
      <c r="G16" s="47"/>
      <c r="H16" s="82">
        <f>-H20/H7</f>
        <v>-3.3185323673755554E-2</v>
      </c>
      <c r="I16" s="82">
        <f t="shared" ref="I16:L16" si="2">-I20/I7</f>
        <v>-1.9649260190413385E-2</v>
      </c>
      <c r="J16" s="82">
        <f t="shared" si="2"/>
        <v>-3.5405913848825431E-2</v>
      </c>
      <c r="K16" s="82">
        <f t="shared" si="2"/>
        <v>-2.9971860795112916E-2</v>
      </c>
      <c r="L16" s="82">
        <f t="shared" si="2"/>
        <v>-4.0938180798974003E-2</v>
      </c>
      <c r="M16" s="35"/>
      <c r="N16" s="121"/>
      <c r="O16" s="121"/>
      <c r="P16" s="121"/>
      <c r="Q16" s="121"/>
      <c r="R16" s="121"/>
      <c r="S16" s="121"/>
      <c r="T16" s="6"/>
    </row>
    <row r="17" spans="1:20" ht="15" customHeight="1" thickBot="1">
      <c r="A17" s="62"/>
      <c r="B17" s="144" t="s">
        <v>78</v>
      </c>
      <c r="C17" s="89"/>
      <c r="D17" s="89"/>
      <c r="E17" s="89"/>
      <c r="F17" s="89"/>
      <c r="G17" s="89"/>
      <c r="H17" s="145">
        <f>+H13-H14-H15-H16</f>
        <v>-9.4422121538797615E-3</v>
      </c>
      <c r="I17" s="145">
        <f t="shared" ref="I17:L17" si="3">+I13-I14-I15-I16</f>
        <v>7.4187033755094764E-4</v>
      </c>
      <c r="J17" s="145">
        <f t="shared" si="3"/>
        <v>-9.9006319039120189E-2</v>
      </c>
      <c r="K17" s="145">
        <f t="shared" si="3"/>
        <v>-2.2165035234132602E-2</v>
      </c>
      <c r="L17" s="145">
        <f t="shared" si="3"/>
        <v>-6.866912692110004E-3</v>
      </c>
      <c r="M17" s="35"/>
      <c r="N17" s="121"/>
      <c r="O17" s="121"/>
      <c r="P17" s="121"/>
      <c r="Q17" s="121"/>
      <c r="R17" s="121"/>
      <c r="S17" s="121"/>
      <c r="T17" s="6"/>
    </row>
    <row r="18" spans="1:20" ht="15" customHeight="1">
      <c r="A18" s="62"/>
      <c r="B18" s="139" t="s">
        <v>93</v>
      </c>
      <c r="C18" s="139"/>
      <c r="D18" s="139"/>
      <c r="E18" s="139"/>
      <c r="F18" s="139"/>
      <c r="G18" s="139"/>
      <c r="H18" s="139">
        <v>1.0149999999999999</v>
      </c>
      <c r="I18" s="139">
        <v>2.1339999999999999</v>
      </c>
      <c r="J18" s="139">
        <v>3.1429999999999998</v>
      </c>
      <c r="K18" s="139">
        <v>3.5950000000000002</v>
      </c>
      <c r="L18" s="139">
        <v>5.5270000000000001</v>
      </c>
      <c r="N18" s="121"/>
      <c r="O18" s="121"/>
      <c r="P18" s="121"/>
      <c r="Q18" s="121"/>
      <c r="R18" s="121"/>
      <c r="S18" s="121"/>
      <c r="T18" s="6"/>
    </row>
    <row r="19" spans="1:20" ht="15" customHeight="1">
      <c r="A19" s="62"/>
      <c r="B19" s="139" t="s">
        <v>94</v>
      </c>
      <c r="C19" s="139"/>
      <c r="D19" s="139"/>
      <c r="E19" s="139"/>
      <c r="F19" s="139"/>
      <c r="G19" s="139"/>
      <c r="H19" s="139">
        <v>6.5510000000000002</v>
      </c>
      <c r="I19" s="139">
        <v>5.4859999999999998</v>
      </c>
      <c r="J19" s="139">
        <v>5.8280000000000003</v>
      </c>
      <c r="K19" s="139">
        <v>8.0190000000000001</v>
      </c>
      <c r="L19" s="139">
        <v>9.7129999999999992</v>
      </c>
      <c r="M19" s="35"/>
      <c r="N19" s="121"/>
      <c r="O19" s="121"/>
      <c r="P19" s="121"/>
      <c r="Q19" s="121"/>
      <c r="R19" s="121"/>
      <c r="S19" s="121"/>
      <c r="T19" s="6"/>
    </row>
    <row r="20" spans="1:20" ht="15" customHeight="1">
      <c r="A20" s="62"/>
      <c r="B20" s="139" t="s">
        <v>98</v>
      </c>
      <c r="C20" s="139"/>
      <c r="D20" s="139"/>
      <c r="E20" s="139"/>
      <c r="F20" s="139"/>
      <c r="G20" s="139"/>
      <c r="H20" s="139">
        <v>8.8040000000000003</v>
      </c>
      <c r="I20" s="139">
        <v>1.907</v>
      </c>
      <c r="J20" s="139">
        <v>4.4039999999999999</v>
      </c>
      <c r="K20" s="139">
        <v>6.2309999999999999</v>
      </c>
      <c r="L20" s="139">
        <v>9.64</v>
      </c>
      <c r="M20" s="35"/>
      <c r="N20" s="121"/>
      <c r="O20" s="121"/>
      <c r="P20" s="121"/>
      <c r="Q20" s="121"/>
      <c r="R20" s="121"/>
      <c r="S20" s="121"/>
      <c r="T20" s="6"/>
    </row>
    <row r="21" spans="1:20" ht="15" customHeight="1">
      <c r="A21" s="62"/>
      <c r="B21" s="139" t="s">
        <v>95</v>
      </c>
      <c r="C21" s="139"/>
      <c r="D21" s="139"/>
      <c r="E21" s="139"/>
      <c r="F21" s="139"/>
      <c r="G21" s="139"/>
      <c r="H21" s="139">
        <v>0</v>
      </c>
      <c r="I21" s="139">
        <v>0</v>
      </c>
      <c r="J21" s="139">
        <v>12.919</v>
      </c>
      <c r="K21" s="139">
        <v>0</v>
      </c>
      <c r="L21" s="139">
        <v>0</v>
      </c>
      <c r="M21" s="35"/>
      <c r="N21" s="121"/>
      <c r="O21" s="121"/>
      <c r="P21" s="121"/>
      <c r="Q21" s="121"/>
      <c r="R21" s="121"/>
      <c r="S21" s="121"/>
      <c r="T21" s="6"/>
    </row>
    <row r="22" spans="1:20" ht="15" customHeight="1">
      <c r="A22" s="62"/>
      <c r="B22" s="139" t="s">
        <v>78</v>
      </c>
      <c r="C22" s="139"/>
      <c r="D22" s="139"/>
      <c r="E22" s="139"/>
      <c r="F22" s="139"/>
      <c r="G22" s="139"/>
      <c r="H22" s="139">
        <v>2.5049999999999999</v>
      </c>
      <c r="I22" s="139">
        <v>-7.1999999999999995E-2</v>
      </c>
      <c r="J22" s="139">
        <v>-0.60399999999999998</v>
      </c>
      <c r="K22" s="139">
        <v>4.6079999999999997</v>
      </c>
      <c r="L22" s="139">
        <v>1.617</v>
      </c>
      <c r="M22" s="35"/>
      <c r="N22" s="121"/>
      <c r="O22" s="121"/>
      <c r="P22" s="121"/>
      <c r="Q22" s="121"/>
      <c r="R22" s="121"/>
      <c r="S22" s="121"/>
      <c r="T22" s="6"/>
    </row>
    <row r="23" spans="1:20" ht="15" customHeight="1">
      <c r="A23" s="62"/>
      <c r="B23" s="137"/>
      <c r="C23" s="137"/>
      <c r="D23" s="137"/>
      <c r="E23" s="137"/>
      <c r="F23" s="137"/>
      <c r="G23" s="137"/>
      <c r="H23" s="137"/>
      <c r="I23" s="137"/>
      <c r="J23" s="137"/>
      <c r="K23" s="137"/>
      <c r="L23" s="137"/>
      <c r="M23" s="35"/>
      <c r="N23" s="121"/>
      <c r="O23" s="121"/>
      <c r="P23" s="121"/>
      <c r="Q23" s="121"/>
      <c r="R23" s="121"/>
      <c r="S23" s="121"/>
      <c r="T23" s="6"/>
    </row>
    <row r="24" spans="1:20" ht="15" customHeight="1">
      <c r="A24" s="62"/>
      <c r="B24" s="121"/>
      <c r="C24" s="121"/>
      <c r="D24" s="121"/>
      <c r="E24" s="121"/>
      <c r="F24" s="121"/>
      <c r="G24" s="121"/>
      <c r="H24" s="121"/>
      <c r="I24" s="121"/>
      <c r="J24" s="131"/>
      <c r="K24" s="131"/>
      <c r="L24" s="131"/>
      <c r="N24" s="121"/>
      <c r="O24" s="121"/>
      <c r="P24" s="121"/>
      <c r="Q24" s="121"/>
      <c r="R24" s="121"/>
      <c r="S24" s="121"/>
      <c r="T24" s="6"/>
    </row>
    <row r="25" spans="1:20" ht="15" customHeight="1" thickBot="1">
      <c r="A25" s="24" t="s">
        <v>114</v>
      </c>
      <c r="B25" s="64"/>
      <c r="C25" s="8"/>
      <c r="D25" s="8"/>
      <c r="E25" s="8"/>
      <c r="F25" s="8"/>
      <c r="G25" s="8"/>
      <c r="H25" s="8"/>
      <c r="I25" s="8"/>
      <c r="J25" s="8"/>
      <c r="K25" s="8"/>
      <c r="L25" s="8"/>
      <c r="M25" s="8"/>
      <c r="N25" s="8"/>
      <c r="O25" s="8"/>
      <c r="P25" s="8"/>
      <c r="Q25" s="8"/>
      <c r="R25" s="8"/>
      <c r="S25" s="8"/>
      <c r="T25" s="9"/>
    </row>
    <row r="26" spans="1:20" ht="0" hidden="1" customHeight="1"/>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topLeftCell="A3" zoomScale="90" zoomScaleNormal="90" workbookViewId="0">
      <selection activeCell="R8" sqref="R8"/>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0"/>
      <c r="B2" s="41"/>
      <c r="C2" s="41"/>
      <c r="D2" s="41"/>
      <c r="E2" s="41"/>
      <c r="F2" s="41"/>
      <c r="G2" s="41"/>
      <c r="H2" s="41"/>
      <c r="I2" s="41"/>
      <c r="J2" s="41"/>
      <c r="K2" s="41"/>
      <c r="L2" s="41"/>
      <c r="M2" s="41"/>
      <c r="N2" s="41"/>
      <c r="O2" s="41"/>
      <c r="P2" s="41"/>
      <c r="Q2" s="41"/>
      <c r="R2" s="41"/>
      <c r="S2" s="41"/>
      <c r="T2" s="6"/>
    </row>
    <row r="3" spans="1:20" ht="15" customHeight="1">
      <c r="A3" s="40"/>
      <c r="B3" s="41"/>
      <c r="C3" s="41"/>
      <c r="D3" s="41"/>
      <c r="E3" s="41"/>
      <c r="F3" s="41"/>
      <c r="G3" s="41"/>
      <c r="H3" s="41"/>
      <c r="I3" s="41"/>
      <c r="J3" s="41"/>
      <c r="K3" s="41"/>
      <c r="L3" s="41"/>
      <c r="M3" s="41"/>
      <c r="N3" s="41"/>
      <c r="O3" s="41"/>
      <c r="P3" s="41"/>
      <c r="Q3" s="41"/>
      <c r="R3" s="41"/>
      <c r="S3" s="41"/>
      <c r="T3" s="6"/>
    </row>
    <row r="4" spans="1:20" ht="15" customHeight="1">
      <c r="A4" s="40"/>
      <c r="B4" s="41"/>
      <c r="C4" s="41"/>
      <c r="D4" s="41"/>
      <c r="E4" s="41"/>
      <c r="F4" s="41"/>
      <c r="G4" s="41"/>
      <c r="H4" s="41"/>
      <c r="I4" s="41"/>
      <c r="J4" s="41"/>
      <c r="K4" s="41"/>
      <c r="L4" s="41"/>
      <c r="M4" s="41"/>
      <c r="N4" s="41"/>
      <c r="O4" s="41"/>
      <c r="P4" s="41"/>
      <c r="Q4" s="41"/>
      <c r="R4" s="41"/>
      <c r="S4" s="41"/>
      <c r="T4" s="6"/>
    </row>
    <row r="5" spans="1:20" ht="15" customHeight="1">
      <c r="A5" s="40"/>
      <c r="D5" s="41"/>
      <c r="E5" s="41"/>
      <c r="F5" s="41"/>
      <c r="G5" s="41"/>
      <c r="H5" s="41"/>
      <c r="I5" s="41"/>
      <c r="J5" s="41"/>
      <c r="K5" s="41"/>
      <c r="L5" s="41"/>
      <c r="M5" s="41"/>
      <c r="N5" s="41"/>
      <c r="O5" s="41"/>
      <c r="P5" s="41"/>
      <c r="Q5" s="41"/>
      <c r="R5" s="41"/>
      <c r="S5" s="41"/>
      <c r="T5" s="6"/>
    </row>
    <row r="6" spans="1:20" ht="15" customHeight="1">
      <c r="A6" s="40"/>
      <c r="C6" s="12"/>
      <c r="D6" s="41"/>
      <c r="E6" s="41"/>
      <c r="F6" s="41"/>
      <c r="G6" s="41"/>
      <c r="H6" s="41"/>
      <c r="I6" s="41"/>
      <c r="J6" s="41"/>
      <c r="K6" s="41"/>
      <c r="L6" s="41"/>
      <c r="M6" s="41"/>
      <c r="N6" s="41"/>
      <c r="O6" s="41"/>
      <c r="P6" s="41"/>
      <c r="Q6" s="41"/>
      <c r="R6" s="41"/>
      <c r="S6" s="41"/>
      <c r="T6" s="6"/>
    </row>
    <row r="7" spans="1:20" ht="15" customHeight="1" thickBot="1">
      <c r="A7" s="40"/>
      <c r="C7" s="12"/>
      <c r="D7" s="41"/>
      <c r="E7" s="41"/>
      <c r="F7" s="41"/>
      <c r="G7" s="41"/>
      <c r="H7" s="41"/>
      <c r="I7" s="41"/>
      <c r="J7" s="41"/>
      <c r="K7" s="41"/>
      <c r="L7" s="41"/>
      <c r="M7" s="41"/>
      <c r="N7" s="41"/>
      <c r="O7" s="159" t="s">
        <v>125</v>
      </c>
      <c r="P7" s="90"/>
      <c r="Q7" s="90"/>
      <c r="R7" s="90">
        <v>2024</v>
      </c>
      <c r="S7" s="90">
        <v>2025</v>
      </c>
      <c r="T7" s="158" t="s">
        <v>135</v>
      </c>
    </row>
    <row r="8" spans="1:20" ht="15" customHeight="1" thickBot="1">
      <c r="A8" s="40"/>
      <c r="C8" s="22"/>
      <c r="D8" s="41"/>
      <c r="E8" s="41"/>
      <c r="F8" s="41"/>
      <c r="G8" s="41"/>
      <c r="O8" s="160" t="s">
        <v>134</v>
      </c>
      <c r="P8" s="140"/>
      <c r="Q8" s="140"/>
      <c r="R8" s="161">
        <v>10</v>
      </c>
      <c r="S8" s="161">
        <v>26.6</v>
      </c>
      <c r="T8" s="162">
        <v>62.3</v>
      </c>
    </row>
    <row r="9" spans="1:20" ht="15" customHeight="1">
      <c r="A9" s="40"/>
      <c r="C9" s="22"/>
      <c r="D9" s="41"/>
      <c r="E9" s="41"/>
      <c r="F9" s="41"/>
      <c r="G9" s="41"/>
      <c r="T9" s="6"/>
    </row>
    <row r="10" spans="1:20" ht="15" customHeight="1" thickBot="1">
      <c r="A10" s="40"/>
      <c r="B10" s="88" t="s">
        <v>50</v>
      </c>
      <c r="C10" s="87"/>
      <c r="D10" s="87"/>
      <c r="E10" s="87"/>
      <c r="F10" s="87"/>
      <c r="G10" s="89"/>
      <c r="H10" s="90">
        <v>2019</v>
      </c>
      <c r="I10" s="90">
        <v>2020</v>
      </c>
      <c r="J10" s="90">
        <v>2021</v>
      </c>
      <c r="K10" s="90">
        <v>2022</v>
      </c>
      <c r="L10" s="90">
        <v>2023</v>
      </c>
      <c r="T10" s="6"/>
    </row>
    <row r="11" spans="1:20" ht="15" customHeight="1">
      <c r="A11" s="40"/>
      <c r="B11" s="58" t="s">
        <v>55</v>
      </c>
      <c r="C11" s="58"/>
      <c r="D11" s="58"/>
      <c r="E11" s="58"/>
      <c r="F11" s="58"/>
      <c r="G11" s="58"/>
      <c r="H11" s="156">
        <v>224.86099999999999</v>
      </c>
      <c r="I11" s="156">
        <v>180.87</v>
      </c>
      <c r="J11" s="156">
        <v>254.83099999999999</v>
      </c>
      <c r="K11" s="156">
        <v>264.64699999999999</v>
      </c>
      <c r="L11" s="156">
        <v>295.88499999999999</v>
      </c>
      <c r="R11" s="41"/>
      <c r="S11" s="41"/>
      <c r="T11" s="6"/>
    </row>
    <row r="12" spans="1:20" ht="15" customHeight="1" thickBot="1">
      <c r="A12" s="40"/>
      <c r="B12" s="92" t="s">
        <v>56</v>
      </c>
      <c r="C12" s="92"/>
      <c r="D12" s="92"/>
      <c r="E12" s="92"/>
      <c r="F12" s="92"/>
      <c r="G12" s="92"/>
      <c r="H12" s="102">
        <f>+H11/('Res Consolidados'!H7/360)</f>
        <v>48.962366265515954</v>
      </c>
      <c r="I12" s="102">
        <f>+I11/('Res Consolidados'!I7/360)</f>
        <v>52.058754560635485</v>
      </c>
      <c r="J12" s="157">
        <f>+J11/('Res Consolidados'!J7/360)</f>
        <v>73.143207724220417</v>
      </c>
      <c r="K12" s="102">
        <f>+K11/('Res Consolidados'!K7/360)</f>
        <v>56.311839084487744</v>
      </c>
      <c r="L12" s="102">
        <f>+L11/('Res Consolidados'!L7/360)</f>
        <v>54.030879327840843</v>
      </c>
      <c r="R12" s="41"/>
      <c r="S12" s="41"/>
      <c r="T12" s="6"/>
    </row>
    <row r="13" spans="1:20" ht="15" customHeight="1">
      <c r="A13" s="40"/>
      <c r="R13" s="41"/>
      <c r="S13" s="41"/>
      <c r="T13" s="6"/>
    </row>
    <row r="14" spans="1:20" ht="15" customHeight="1">
      <c r="A14" s="40"/>
      <c r="R14" s="41"/>
      <c r="S14" s="41"/>
      <c r="T14" s="6"/>
    </row>
    <row r="15" spans="1:20" ht="15" customHeight="1">
      <c r="A15" s="40"/>
      <c r="N15" s="41"/>
      <c r="O15" s="41"/>
      <c r="P15" s="41"/>
      <c r="Q15" s="41"/>
      <c r="R15" s="41"/>
      <c r="S15" s="41"/>
      <c r="T15" s="6"/>
    </row>
    <row r="16" spans="1:20" ht="15" customHeight="1">
      <c r="A16" s="40"/>
      <c r="N16" s="41"/>
      <c r="O16" s="41"/>
      <c r="P16" s="41"/>
      <c r="Q16" s="41"/>
      <c r="R16" s="41"/>
      <c r="S16" s="41"/>
      <c r="T16" s="6"/>
    </row>
    <row r="17" spans="1:20" ht="15" customHeight="1">
      <c r="A17" s="40"/>
      <c r="N17" s="41"/>
      <c r="O17" s="41"/>
      <c r="P17" s="41"/>
      <c r="Q17" s="41"/>
      <c r="R17" s="41"/>
      <c r="S17" s="41"/>
      <c r="T17" s="6"/>
    </row>
    <row r="18" spans="1:20" ht="15" customHeight="1">
      <c r="A18" s="40"/>
      <c r="H18" s="153" t="s">
        <v>68</v>
      </c>
      <c r="I18" s="153" t="s">
        <v>69</v>
      </c>
      <c r="J18" s="153" t="s">
        <v>70</v>
      </c>
      <c r="K18" s="153" t="s">
        <v>71</v>
      </c>
      <c r="L18" s="153" t="s">
        <v>136</v>
      </c>
      <c r="N18" s="41"/>
      <c r="O18" s="41"/>
      <c r="P18" s="41"/>
      <c r="Q18" s="41"/>
      <c r="R18" s="41"/>
      <c r="S18" s="41"/>
      <c r="T18" s="6"/>
    </row>
    <row r="19" spans="1:20" ht="15" customHeight="1" thickBot="1">
      <c r="A19" s="40"/>
      <c r="B19" s="88" t="s">
        <v>50</v>
      </c>
      <c r="C19" s="87"/>
      <c r="D19" s="87"/>
      <c r="E19" s="87"/>
      <c r="F19" s="87"/>
      <c r="G19" s="89"/>
      <c r="H19" s="90">
        <v>2019</v>
      </c>
      <c r="I19" s="90">
        <v>2020</v>
      </c>
      <c r="J19" s="90">
        <v>2021</v>
      </c>
      <c r="K19" s="90">
        <v>2022</v>
      </c>
      <c r="L19" s="90">
        <v>2023</v>
      </c>
      <c r="M19" s="41"/>
      <c r="N19" s="41"/>
      <c r="O19" s="41"/>
      <c r="P19" s="41"/>
      <c r="Q19" s="41"/>
      <c r="R19" s="41"/>
      <c r="S19" s="41"/>
      <c r="T19" s="6"/>
    </row>
    <row r="20" spans="1:20" ht="15" customHeight="1">
      <c r="A20" s="40"/>
      <c r="B20" s="93" t="s">
        <v>63</v>
      </c>
      <c r="C20" s="55"/>
      <c r="D20" s="55"/>
      <c r="E20" s="55"/>
      <c r="F20" s="55"/>
      <c r="G20" s="55"/>
      <c r="H20" s="154">
        <v>137.41800000000001</v>
      </c>
      <c r="I20" s="154">
        <v>193.81100000000001</v>
      </c>
      <c r="J20" s="154">
        <v>128.886</v>
      </c>
      <c r="K20" s="154">
        <v>101.74</v>
      </c>
      <c r="L20" s="154">
        <v>101.599</v>
      </c>
      <c r="M20" s="41"/>
      <c r="N20" s="41"/>
      <c r="O20" s="41"/>
      <c r="P20" s="41"/>
      <c r="Q20" s="41"/>
      <c r="R20" s="41"/>
      <c r="S20" s="41"/>
      <c r="T20" s="6"/>
    </row>
    <row r="21" spans="1:20" ht="15" customHeight="1">
      <c r="A21" s="40"/>
      <c r="B21" s="43" t="s">
        <v>64</v>
      </c>
      <c r="C21" s="43"/>
      <c r="D21" s="43"/>
      <c r="E21" s="43"/>
      <c r="F21" s="43"/>
      <c r="G21" s="43"/>
      <c r="H21" s="155">
        <v>67.331999999999994</v>
      </c>
      <c r="I21" s="155">
        <v>260.387</v>
      </c>
      <c r="J21" s="155">
        <v>147.12799999999999</v>
      </c>
      <c r="K21" s="155">
        <v>190.29900000000001</v>
      </c>
      <c r="L21" s="155">
        <v>232.53899999999999</v>
      </c>
      <c r="M21" s="41"/>
      <c r="N21" s="41"/>
      <c r="O21" s="41"/>
      <c r="P21" s="41"/>
      <c r="Q21" s="41"/>
      <c r="R21" s="41"/>
      <c r="S21" s="41"/>
      <c r="T21" s="6"/>
    </row>
    <row r="22" spans="1:20" ht="15" customHeight="1">
      <c r="A22" s="40"/>
      <c r="B22" s="43" t="s">
        <v>65</v>
      </c>
      <c r="C22" s="43"/>
      <c r="D22" s="43"/>
      <c r="E22" s="43"/>
      <c r="F22" s="43"/>
      <c r="G22" s="43"/>
      <c r="H22" s="155">
        <f>H20-H21</f>
        <v>70.086000000000013</v>
      </c>
      <c r="I22" s="155">
        <f t="shared" ref="I22:L22" si="0">I20-I21</f>
        <v>-66.575999999999993</v>
      </c>
      <c r="J22" s="155">
        <f t="shared" si="0"/>
        <v>-18.24199999999999</v>
      </c>
      <c r="K22" s="155">
        <f t="shared" si="0"/>
        <v>-88.559000000000012</v>
      </c>
      <c r="L22" s="155">
        <f t="shared" si="0"/>
        <v>-130.94</v>
      </c>
      <c r="M22" s="41"/>
      <c r="N22" s="41"/>
      <c r="O22" s="41"/>
      <c r="P22" s="41"/>
      <c r="Q22" s="41"/>
      <c r="R22" s="41"/>
      <c r="S22" s="41"/>
      <c r="T22" s="6"/>
    </row>
    <row r="23" spans="1:20" ht="15" customHeight="1">
      <c r="A23" s="40"/>
      <c r="B23" s="43" t="s">
        <v>66</v>
      </c>
      <c r="C23" s="43"/>
      <c r="D23" s="43"/>
      <c r="E23" s="43"/>
      <c r="F23" s="43"/>
      <c r="G23" s="43"/>
      <c r="H23" s="155">
        <f>'Res Consolidados'!H19</f>
        <v>250.08312985000015</v>
      </c>
      <c r="I23" s="155">
        <f>'Res Consolidados'!I19</f>
        <v>162.51887835999977</v>
      </c>
      <c r="J23" s="155">
        <f>'Res Consolidados'!J19</f>
        <v>161.86746311999997</v>
      </c>
      <c r="K23" s="155">
        <f>'Res Consolidados'!K19</f>
        <v>244.89196191204712</v>
      </c>
      <c r="L23" s="155">
        <f>'Res Consolidados'!L19</f>
        <v>265.04687479000029</v>
      </c>
      <c r="M23" s="41"/>
      <c r="N23" s="41"/>
      <c r="O23" s="41"/>
      <c r="P23" s="41"/>
      <c r="Q23" s="41"/>
      <c r="R23" s="41"/>
      <c r="S23" s="41"/>
      <c r="T23" s="6"/>
    </row>
    <row r="24" spans="1:20" ht="15" customHeight="1" thickBot="1">
      <c r="A24" s="40"/>
      <c r="B24" s="94" t="s">
        <v>67</v>
      </c>
      <c r="C24" s="94"/>
      <c r="D24" s="94"/>
      <c r="E24" s="94"/>
      <c r="F24" s="94"/>
      <c r="G24" s="94"/>
      <c r="H24" s="95">
        <f>IF(H22/H23&lt;0,"N/A",H22/H23)</f>
        <v>0.28025081116842065</v>
      </c>
      <c r="I24" s="95" t="str">
        <f t="shared" ref="I24:L24" si="1">IF(I22/I23&lt;0,"N/A",I22/I23)</f>
        <v>N/A</v>
      </c>
      <c r="J24" s="95" t="str">
        <f t="shared" si="1"/>
        <v>N/A</v>
      </c>
      <c r="K24" s="95" t="str">
        <f t="shared" si="1"/>
        <v>N/A</v>
      </c>
      <c r="L24" s="95" t="str">
        <f t="shared" si="1"/>
        <v>N/A</v>
      </c>
      <c r="M24" s="41"/>
      <c r="N24" s="41"/>
      <c r="O24" s="41"/>
      <c r="P24" s="41"/>
      <c r="Q24" s="41"/>
      <c r="R24" s="41"/>
      <c r="S24" s="41"/>
      <c r="T24" s="6"/>
    </row>
    <row r="25" spans="1:20" ht="15" customHeight="1" thickBot="1">
      <c r="A25" s="24" t="s">
        <v>115</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topLeftCell="A4" zoomScale="90" zoomScaleNormal="90" workbookViewId="0">
      <selection activeCell="L13" sqref="L13"/>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0"/>
      <c r="B2" s="41"/>
      <c r="C2" s="41"/>
      <c r="D2" s="41"/>
      <c r="E2" s="41"/>
      <c r="F2" s="41"/>
      <c r="G2" s="41"/>
      <c r="H2" s="41"/>
      <c r="I2" s="41"/>
      <c r="J2" s="41"/>
      <c r="K2" s="41"/>
      <c r="L2" s="41"/>
      <c r="M2" s="41"/>
      <c r="N2" s="41"/>
      <c r="O2" s="41"/>
      <c r="P2" s="41"/>
      <c r="Q2" s="41"/>
      <c r="R2" s="41"/>
      <c r="S2" s="41"/>
      <c r="T2" s="6"/>
    </row>
    <row r="3" spans="1:20" ht="15" customHeight="1">
      <c r="A3" s="40"/>
      <c r="B3" s="41"/>
      <c r="C3" s="41"/>
      <c r="D3" s="41"/>
      <c r="E3" s="41"/>
      <c r="F3" s="41"/>
      <c r="G3" s="41"/>
      <c r="H3" s="41"/>
      <c r="I3" s="41"/>
      <c r="J3" s="41"/>
      <c r="K3" s="41"/>
      <c r="L3" s="41"/>
      <c r="M3" s="41"/>
      <c r="N3" s="41"/>
      <c r="O3" s="41"/>
      <c r="P3" s="41"/>
      <c r="Q3" s="41"/>
      <c r="R3" s="41"/>
      <c r="S3" s="41"/>
      <c r="T3" s="6"/>
    </row>
    <row r="4" spans="1:20" ht="15" customHeight="1">
      <c r="A4" s="40"/>
      <c r="B4" s="41"/>
      <c r="C4" s="41"/>
      <c r="D4" s="41"/>
      <c r="E4" s="41"/>
      <c r="F4" s="41"/>
      <c r="G4" s="41"/>
      <c r="H4" s="41"/>
      <c r="I4" s="41"/>
      <c r="J4" s="41"/>
      <c r="K4" s="41"/>
      <c r="L4" s="41"/>
      <c r="M4" s="41"/>
      <c r="N4" s="41"/>
      <c r="O4" s="41"/>
      <c r="P4" s="41"/>
      <c r="Q4" s="41"/>
      <c r="R4" s="41"/>
      <c r="S4" s="41"/>
      <c r="T4" s="6"/>
    </row>
    <row r="5" spans="1:20" ht="15" customHeight="1">
      <c r="A5" s="40"/>
      <c r="D5" s="41"/>
      <c r="E5" s="41"/>
      <c r="F5" s="41"/>
      <c r="G5" s="41"/>
      <c r="H5" s="41"/>
      <c r="I5" s="41"/>
      <c r="J5" s="41"/>
      <c r="K5" s="41"/>
      <c r="L5" s="41"/>
      <c r="M5" s="41"/>
      <c r="N5" s="41"/>
      <c r="O5" s="41"/>
      <c r="P5" s="41"/>
      <c r="Q5" s="41"/>
      <c r="R5" s="41"/>
      <c r="S5" s="41"/>
      <c r="T5" s="6"/>
    </row>
    <row r="6" spans="1:20" ht="15" customHeight="1">
      <c r="A6" s="40"/>
      <c r="M6" s="41"/>
      <c r="N6" s="41"/>
      <c r="O6" s="41"/>
      <c r="P6" s="41"/>
      <c r="Q6" s="41"/>
      <c r="R6" s="41"/>
      <c r="S6" s="41"/>
      <c r="T6" s="6"/>
    </row>
    <row r="7" spans="1:20" ht="15" customHeight="1" thickBot="1">
      <c r="A7" s="40"/>
      <c r="B7" s="88" t="s">
        <v>50</v>
      </c>
      <c r="C7" s="87"/>
      <c r="D7" s="87"/>
      <c r="E7" s="87"/>
      <c r="F7" s="87"/>
      <c r="G7" s="89"/>
      <c r="H7" s="90">
        <v>2019</v>
      </c>
      <c r="I7" s="90">
        <v>2020</v>
      </c>
      <c r="J7" s="90">
        <v>2021</v>
      </c>
      <c r="K7" s="90">
        <v>2022</v>
      </c>
      <c r="L7" s="90">
        <v>2023</v>
      </c>
      <c r="M7" s="41"/>
      <c r="N7" s="41"/>
      <c r="O7" s="41"/>
      <c r="P7" s="41"/>
      <c r="Q7" s="41"/>
      <c r="R7" s="41"/>
      <c r="S7" s="41"/>
      <c r="T7" s="6"/>
    </row>
    <row r="8" spans="1:20" ht="15" customHeight="1">
      <c r="A8" s="62"/>
      <c r="B8" s="43" t="s">
        <v>73</v>
      </c>
      <c r="C8" s="107"/>
      <c r="D8" s="107"/>
      <c r="E8" s="107"/>
      <c r="F8" s="107"/>
      <c r="G8" s="107"/>
      <c r="H8" s="91">
        <v>10.387635719999999</v>
      </c>
      <c r="I8" s="91">
        <v>9.0359999999999996</v>
      </c>
      <c r="J8" s="91">
        <v>10.087</v>
      </c>
      <c r="K8" s="77">
        <v>11.89612262</v>
      </c>
      <c r="L8" s="77">
        <v>13.866576569999998</v>
      </c>
      <c r="M8" s="44"/>
      <c r="T8" s="6"/>
    </row>
    <row r="9" spans="1:20" ht="15" customHeight="1">
      <c r="A9" s="62"/>
      <c r="B9" s="43" t="s">
        <v>74</v>
      </c>
      <c r="C9" s="43"/>
      <c r="D9" s="43"/>
      <c r="E9" s="43"/>
      <c r="F9" s="43"/>
      <c r="G9" s="43"/>
      <c r="H9" s="77">
        <v>5.3548787599999992</v>
      </c>
      <c r="I9" s="77">
        <v>1.093</v>
      </c>
      <c r="J9" s="77">
        <v>13.233000000000001</v>
      </c>
      <c r="K9" s="77">
        <v>23.802945319999989</v>
      </c>
      <c r="L9" s="77">
        <v>9.7302694400000007</v>
      </c>
      <c r="M9" s="44"/>
      <c r="T9" s="6"/>
    </row>
    <row r="10" spans="1:20" ht="15" customHeight="1">
      <c r="A10" s="62"/>
      <c r="B10" s="43" t="s">
        <v>75</v>
      </c>
      <c r="C10" s="43"/>
      <c r="D10" s="43"/>
      <c r="E10" s="43"/>
      <c r="F10" s="43"/>
      <c r="G10" s="43"/>
      <c r="H10" s="77">
        <v>5.2601788699999998</v>
      </c>
      <c r="I10" s="77">
        <v>5.2560000000000002</v>
      </c>
      <c r="J10" s="77">
        <v>6.282</v>
      </c>
      <c r="K10" s="77">
        <v>9.2788277800000021</v>
      </c>
      <c r="L10" s="77">
        <v>9.5550143599999995</v>
      </c>
      <c r="M10" s="44"/>
      <c r="T10" s="6"/>
    </row>
    <row r="11" spans="1:20" ht="15" customHeight="1">
      <c r="A11" s="62"/>
      <c r="B11" s="43" t="s">
        <v>78</v>
      </c>
      <c r="C11" s="43"/>
      <c r="D11" s="43"/>
      <c r="E11" s="43"/>
      <c r="F11" s="43"/>
      <c r="G11" s="43"/>
      <c r="H11" s="167">
        <v>15.00697576</v>
      </c>
      <c r="I11" s="167">
        <v>4.3860000000000001</v>
      </c>
      <c r="J11" s="167">
        <v>0</v>
      </c>
      <c r="K11" s="77">
        <v>0</v>
      </c>
      <c r="L11" s="77">
        <v>0</v>
      </c>
      <c r="M11" s="44"/>
      <c r="R11" s="41"/>
      <c r="S11" s="41"/>
      <c r="T11" s="6"/>
    </row>
    <row r="12" spans="1:20" ht="15" customHeight="1">
      <c r="A12" s="62"/>
      <c r="B12" s="108" t="s">
        <v>76</v>
      </c>
      <c r="C12" s="108"/>
      <c r="D12" s="108"/>
      <c r="E12" s="108"/>
      <c r="F12" s="108"/>
      <c r="G12" s="108"/>
      <c r="H12" s="109">
        <f>SUM(H8:H11)</f>
        <v>36.009669109999997</v>
      </c>
      <c r="I12" s="109">
        <f t="shared" ref="I12:K12" si="0">SUM(I8:I11)</f>
        <v>19.771000000000001</v>
      </c>
      <c r="J12" s="109">
        <f t="shared" si="0"/>
        <v>29.602</v>
      </c>
      <c r="K12" s="109">
        <f t="shared" si="0"/>
        <v>44.977895719999992</v>
      </c>
      <c r="L12" s="109">
        <f>SUM(L8:L11)</f>
        <v>33.151860370000001</v>
      </c>
      <c r="M12" s="44"/>
      <c r="R12" s="41"/>
      <c r="S12" s="41"/>
      <c r="T12" s="6"/>
    </row>
    <row r="13" spans="1:20" ht="15" customHeight="1" thickBot="1">
      <c r="A13" s="62"/>
      <c r="B13" s="94" t="s">
        <v>77</v>
      </c>
      <c r="C13" s="92"/>
      <c r="D13" s="92"/>
      <c r="E13" s="92"/>
      <c r="F13" s="92"/>
      <c r="G13" s="92"/>
      <c r="H13" s="105">
        <f>H12/'Res Consolidados'!H7</f>
        <v>2.1780351813192444E-2</v>
      </c>
      <c r="I13" s="105">
        <f>I12/'Res Consolidados'!I7</f>
        <v>1.580714258273782E-2</v>
      </c>
      <c r="J13" s="105">
        <f>J12/'Res Consolidados'!J7</f>
        <v>2.3601537610027961E-2</v>
      </c>
      <c r="K13" s="105">
        <f>K12/'Res Consolidados'!K7</f>
        <v>2.6584553366722774E-2</v>
      </c>
      <c r="L13" s="105">
        <f>L12/'Res Consolidados'!L7</f>
        <v>1.6816069373282217E-2</v>
      </c>
      <c r="M13" s="44"/>
      <c r="R13" s="41"/>
      <c r="S13" s="41"/>
      <c r="T13" s="6"/>
    </row>
    <row r="14" spans="1:20" ht="15" customHeight="1">
      <c r="A14" s="62"/>
      <c r="M14" s="44"/>
      <c r="R14" s="41"/>
      <c r="S14" s="41"/>
      <c r="T14" s="6"/>
    </row>
    <row r="15" spans="1:20" ht="15" customHeight="1">
      <c r="A15" s="62"/>
      <c r="M15" s="35"/>
      <c r="N15" s="41"/>
      <c r="O15" s="41"/>
      <c r="P15" s="41"/>
      <c r="Q15" s="41"/>
      <c r="R15" s="41"/>
      <c r="S15" s="41"/>
      <c r="T15" s="6"/>
    </row>
    <row r="16" spans="1:20" ht="15" customHeight="1">
      <c r="A16" s="62"/>
      <c r="B16" s="106"/>
      <c r="C16" s="106"/>
      <c r="D16" s="106"/>
      <c r="E16" s="106"/>
      <c r="F16" s="106"/>
      <c r="G16" s="106"/>
      <c r="H16" s="106"/>
      <c r="I16" s="106"/>
      <c r="J16" s="106"/>
      <c r="M16" s="35"/>
      <c r="N16" s="41"/>
      <c r="O16" s="41"/>
      <c r="P16" s="41"/>
      <c r="Q16" s="41"/>
      <c r="R16" s="41"/>
      <c r="S16" s="41"/>
      <c r="T16" s="6"/>
    </row>
    <row r="17" spans="1:20" ht="15" customHeight="1">
      <c r="A17" s="62"/>
      <c r="M17" s="35"/>
      <c r="N17" s="41"/>
      <c r="O17" s="41"/>
      <c r="P17" s="41"/>
      <c r="Q17" s="41"/>
      <c r="R17" s="41"/>
      <c r="S17" s="41"/>
      <c r="T17" s="6"/>
    </row>
    <row r="18" spans="1:20" ht="15" customHeight="1">
      <c r="A18" s="62"/>
      <c r="M18" s="35"/>
      <c r="N18" s="41"/>
      <c r="O18" s="41"/>
      <c r="P18" s="41"/>
      <c r="Q18" s="41"/>
      <c r="R18" s="41"/>
      <c r="S18" s="41"/>
      <c r="T18" s="6"/>
    </row>
    <row r="19" spans="1:20" ht="15" customHeight="1">
      <c r="A19" s="62"/>
      <c r="M19" s="35"/>
      <c r="N19" s="41"/>
      <c r="O19" s="41"/>
      <c r="P19" s="41"/>
      <c r="Q19" s="41"/>
      <c r="R19" s="41"/>
      <c r="S19" s="41"/>
      <c r="T19" s="6"/>
    </row>
    <row r="20" spans="1:20" ht="15" customHeight="1">
      <c r="A20" s="62"/>
      <c r="M20" s="35"/>
      <c r="N20" s="41"/>
      <c r="O20" s="41"/>
      <c r="P20" s="41"/>
      <c r="Q20" s="41"/>
      <c r="R20" s="41"/>
      <c r="S20" s="41"/>
      <c r="T20" s="6"/>
    </row>
    <row r="21" spans="1:20" ht="15" customHeight="1">
      <c r="A21" s="62"/>
      <c r="M21" s="35"/>
      <c r="N21" s="41"/>
      <c r="O21" s="41"/>
      <c r="P21" s="41"/>
      <c r="Q21" s="41"/>
      <c r="R21" s="41"/>
      <c r="S21" s="41"/>
      <c r="T21" s="6"/>
    </row>
    <row r="22" spans="1:20" ht="15" customHeight="1">
      <c r="A22" s="62"/>
      <c r="M22" s="35"/>
      <c r="N22" s="41"/>
      <c r="O22" s="41"/>
      <c r="P22" s="41"/>
      <c r="Q22" s="41"/>
      <c r="R22" s="41"/>
      <c r="S22" s="41"/>
      <c r="T22" s="6"/>
    </row>
    <row r="23" spans="1:20" ht="15" customHeight="1">
      <c r="A23" s="62"/>
      <c r="M23" s="35"/>
      <c r="N23" s="41"/>
      <c r="O23" s="41"/>
      <c r="P23" s="41"/>
      <c r="Q23" s="41"/>
      <c r="R23" s="41"/>
      <c r="S23" s="41"/>
      <c r="T23" s="6"/>
    </row>
    <row r="24" spans="1:20" ht="15" customHeight="1">
      <c r="A24" s="62"/>
      <c r="B24" s="41"/>
      <c r="C24" s="41"/>
      <c r="D24" s="41"/>
      <c r="E24" s="41"/>
      <c r="F24" s="41"/>
      <c r="G24" s="41"/>
      <c r="H24" s="41"/>
      <c r="I24" s="41"/>
      <c r="J24" s="41"/>
      <c r="K24" s="41"/>
      <c r="L24" s="41"/>
      <c r="N24" s="41"/>
      <c r="O24" s="41"/>
      <c r="P24" s="41"/>
      <c r="Q24" s="41"/>
      <c r="R24" s="41"/>
      <c r="S24" s="41"/>
      <c r="T24" s="6"/>
    </row>
    <row r="25" spans="1:20" ht="15" customHeight="1" thickBot="1">
      <c r="A25" s="24" t="s">
        <v>116</v>
      </c>
      <c r="B25" s="64"/>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H15" sqref="H15"/>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0"/>
      <c r="B2" s="41"/>
      <c r="C2" s="41"/>
      <c r="D2" s="41"/>
      <c r="E2" s="41"/>
      <c r="F2" s="41"/>
      <c r="G2" s="41"/>
      <c r="H2" s="41"/>
      <c r="I2" s="41"/>
      <c r="J2" s="41"/>
      <c r="K2" s="41"/>
      <c r="L2" s="41"/>
      <c r="M2" s="41"/>
      <c r="N2" s="41"/>
      <c r="O2" s="41"/>
      <c r="P2" s="41"/>
      <c r="Q2" s="41"/>
      <c r="R2" s="41"/>
      <c r="S2" s="41"/>
      <c r="T2" s="6"/>
    </row>
    <row r="3" spans="1:20" ht="15" customHeight="1">
      <c r="A3" s="40"/>
      <c r="B3" s="41"/>
      <c r="C3" s="41"/>
      <c r="D3" s="41"/>
      <c r="E3" s="41"/>
      <c r="F3" s="41"/>
      <c r="G3" s="41"/>
      <c r="H3" s="41"/>
      <c r="I3" s="41"/>
      <c r="J3" s="41"/>
      <c r="K3" s="41"/>
      <c r="L3" s="41"/>
      <c r="M3" s="41"/>
      <c r="N3" s="41"/>
      <c r="O3" s="41"/>
      <c r="P3" s="41"/>
      <c r="Q3" s="41"/>
      <c r="R3" s="41"/>
      <c r="S3" s="41"/>
      <c r="T3" s="6"/>
    </row>
    <row r="4" spans="1:20" ht="15" customHeight="1">
      <c r="A4" s="40"/>
      <c r="B4" s="41"/>
      <c r="C4" s="41"/>
      <c r="D4" s="41"/>
      <c r="E4" s="41"/>
      <c r="F4" s="41"/>
      <c r="G4" s="41"/>
      <c r="H4" s="41"/>
      <c r="I4" s="41"/>
      <c r="J4" s="41"/>
      <c r="K4" s="41"/>
      <c r="L4" s="41"/>
      <c r="M4" s="41"/>
      <c r="N4" s="41"/>
      <c r="O4" s="41"/>
      <c r="P4" s="41"/>
      <c r="Q4" s="41"/>
      <c r="R4" s="41"/>
      <c r="S4" s="41"/>
      <c r="T4" s="6"/>
    </row>
    <row r="5" spans="1:20" ht="15" customHeight="1">
      <c r="A5" s="40"/>
      <c r="D5" s="41"/>
      <c r="E5" s="41"/>
      <c r="F5" s="41"/>
      <c r="G5" s="41"/>
      <c r="H5" s="41"/>
      <c r="I5" s="41"/>
      <c r="J5" s="41"/>
      <c r="K5" s="41"/>
      <c r="L5" s="41"/>
      <c r="M5" s="41"/>
      <c r="N5" s="41"/>
      <c r="O5" s="41"/>
      <c r="P5" s="41"/>
      <c r="Q5" s="41"/>
      <c r="R5" s="41"/>
      <c r="S5" s="41"/>
      <c r="T5" s="6"/>
    </row>
    <row r="6" spans="1:20" ht="15" customHeight="1">
      <c r="A6" s="40"/>
      <c r="C6" s="12"/>
      <c r="D6" s="41"/>
      <c r="E6" s="41"/>
      <c r="F6" s="41"/>
      <c r="G6" s="41"/>
      <c r="H6" s="41"/>
      <c r="I6" s="41"/>
      <c r="J6" s="41"/>
      <c r="K6" s="41"/>
      <c r="L6" s="41"/>
      <c r="M6" s="41"/>
      <c r="N6" s="41"/>
      <c r="O6" s="41"/>
      <c r="P6" s="41"/>
      <c r="Q6" s="41"/>
      <c r="R6" s="41"/>
      <c r="S6" s="41"/>
      <c r="T6" s="6"/>
    </row>
    <row r="7" spans="1:20" ht="15" customHeight="1">
      <c r="A7" s="40"/>
      <c r="C7" s="12"/>
      <c r="D7" s="41"/>
      <c r="E7" s="41"/>
      <c r="F7" s="41"/>
      <c r="G7" s="41"/>
      <c r="H7" s="41"/>
      <c r="I7" s="41"/>
      <c r="J7" s="41"/>
      <c r="K7" s="41"/>
      <c r="L7" s="41"/>
      <c r="M7" s="41"/>
      <c r="N7" s="41"/>
      <c r="O7" s="41"/>
      <c r="P7" s="41"/>
      <c r="Q7" s="41"/>
      <c r="R7" s="41"/>
      <c r="S7" s="41"/>
      <c r="T7" s="6"/>
    </row>
    <row r="8" spans="1:20" ht="15" customHeight="1">
      <c r="A8" s="40"/>
      <c r="C8" s="22"/>
      <c r="D8" s="41"/>
      <c r="E8" s="41"/>
      <c r="F8" s="41"/>
      <c r="G8" s="41"/>
      <c r="T8" s="6"/>
    </row>
    <row r="9" spans="1:20" ht="15" customHeight="1">
      <c r="A9" s="40"/>
      <c r="C9" s="22"/>
      <c r="D9" s="41"/>
      <c r="E9" s="41"/>
      <c r="F9" s="41"/>
      <c r="G9" s="41"/>
      <c r="T9" s="6"/>
    </row>
    <row r="10" spans="1:20" ht="15" customHeight="1">
      <c r="A10" s="40"/>
      <c r="C10" s="22"/>
      <c r="D10" s="41"/>
      <c r="E10" s="41"/>
      <c r="F10" s="41"/>
      <c r="G10" s="41"/>
      <c r="T10" s="6"/>
    </row>
    <row r="11" spans="1:20" ht="15" customHeight="1" thickBot="1">
      <c r="A11" s="40"/>
      <c r="B11" s="80" t="s">
        <v>50</v>
      </c>
      <c r="C11" s="35"/>
      <c r="D11" s="35"/>
      <c r="E11" s="35"/>
      <c r="F11" s="35"/>
      <c r="H11" s="26">
        <v>2019</v>
      </c>
      <c r="I11" s="26">
        <v>2020</v>
      </c>
      <c r="J11" s="26">
        <v>2021</v>
      </c>
      <c r="K11" s="26">
        <v>2022</v>
      </c>
      <c r="L11" s="26">
        <v>2023</v>
      </c>
      <c r="R11" s="41"/>
      <c r="S11" s="41"/>
      <c r="T11" s="6"/>
    </row>
    <row r="12" spans="1:20" ht="15" customHeight="1">
      <c r="A12" s="40"/>
      <c r="B12" s="79" t="s">
        <v>47</v>
      </c>
      <c r="C12" s="42"/>
      <c r="D12" s="42"/>
      <c r="E12" s="42"/>
      <c r="F12" s="42"/>
      <c r="G12" s="42"/>
      <c r="H12" s="163">
        <f>'Res Consolidados'!H22</f>
        <v>213.82875376172245</v>
      </c>
      <c r="I12" s="163">
        <f>'Res Consolidados'!I22</f>
        <v>124.54354342999976</v>
      </c>
      <c r="J12" s="163">
        <f>'Res Consolidados'!J22</f>
        <v>126.41991727999996</v>
      </c>
      <c r="K12" s="163">
        <f>'Res Consolidados'!K22</f>
        <v>205.92552580204719</v>
      </c>
      <c r="L12" s="163">
        <f>'Res Consolidados'!L22</f>
        <v>222.47313173000026</v>
      </c>
      <c r="R12" s="41"/>
      <c r="S12" s="41"/>
      <c r="T12" s="6"/>
    </row>
    <row r="13" spans="1:20" ht="15" customHeight="1">
      <c r="A13" s="40"/>
      <c r="B13" s="43" t="s">
        <v>79</v>
      </c>
      <c r="C13" s="43"/>
      <c r="D13" s="43"/>
      <c r="E13" s="43"/>
      <c r="F13" s="43"/>
      <c r="G13" s="43"/>
      <c r="H13" s="155">
        <f>-CAPEX!H$12</f>
        <v>-36.009669109999997</v>
      </c>
      <c r="I13" s="155">
        <f>-CAPEX!I$12</f>
        <v>-19.771000000000001</v>
      </c>
      <c r="J13" s="155">
        <f>-CAPEX!J$12</f>
        <v>-29.602</v>
      </c>
      <c r="K13" s="155">
        <f>-CAPEX!K$12</f>
        <v>-44.977895719999992</v>
      </c>
      <c r="L13" s="155">
        <f>-CAPEX!L$12</f>
        <v>-33.151860370000001</v>
      </c>
      <c r="R13" s="41"/>
      <c r="S13" s="41"/>
      <c r="T13" s="6"/>
    </row>
    <row r="14" spans="1:20" ht="15" customHeight="1">
      <c r="A14" s="40"/>
      <c r="B14" s="43" t="s">
        <v>80</v>
      </c>
      <c r="C14" s="43"/>
      <c r="D14" s="43"/>
      <c r="E14" s="43"/>
      <c r="F14" s="43"/>
      <c r="G14" s="43"/>
      <c r="H14" s="155">
        <v>-71.326496820000003</v>
      </c>
      <c r="I14" s="155">
        <v>-23.542797680000003</v>
      </c>
      <c r="J14" s="155">
        <v>-16.600832650000001</v>
      </c>
      <c r="K14" s="155">
        <v>-48.230630179999999</v>
      </c>
      <c r="L14" s="155">
        <v>-53.564369419999998</v>
      </c>
      <c r="R14" s="41"/>
      <c r="S14" s="41"/>
      <c r="T14" s="6"/>
    </row>
    <row r="15" spans="1:20" ht="15" customHeight="1">
      <c r="A15" s="40"/>
      <c r="B15" s="43" t="s">
        <v>81</v>
      </c>
      <c r="C15" s="43"/>
      <c r="D15" s="43"/>
      <c r="E15" s="43"/>
      <c r="F15" s="43"/>
      <c r="G15" s="43"/>
      <c r="H15" s="155">
        <v>-36</v>
      </c>
      <c r="I15" s="155">
        <f>-'Balanço Patrimonial'!I11+'Balanço Patrimonial'!H11</f>
        <v>43.990999999999985</v>
      </c>
      <c r="J15" s="155">
        <f>-'Balanço Patrimonial'!J11+'Balanço Patrimonial'!I11</f>
        <v>-73.960999999999984</v>
      </c>
      <c r="K15" s="155">
        <f>-'Balanço Patrimonial'!K11+'Balanço Patrimonial'!J11</f>
        <v>-9.8160000000000025</v>
      </c>
      <c r="L15" s="155">
        <f>-'Balanço Patrimonial'!L11+'Balanço Patrimonial'!K11</f>
        <v>-31.238</v>
      </c>
      <c r="M15" s="41"/>
      <c r="N15" s="41"/>
      <c r="O15" s="41"/>
      <c r="P15" s="41"/>
      <c r="Q15" s="41"/>
      <c r="R15" s="41"/>
      <c r="S15" s="41"/>
      <c r="T15" s="6"/>
    </row>
    <row r="16" spans="1:20" ht="15" customHeight="1" thickBot="1">
      <c r="A16" s="40"/>
      <c r="B16" s="76" t="s">
        <v>82</v>
      </c>
      <c r="C16" s="76"/>
      <c r="D16" s="76"/>
      <c r="E16" s="76"/>
      <c r="F16" s="76"/>
      <c r="G16" s="76"/>
      <c r="H16" s="164">
        <f>SUM(H12:H15)</f>
        <v>70.492587831722446</v>
      </c>
      <c r="I16" s="164">
        <f t="shared" ref="I16:L16" si="0">SUM(I12:I15)</f>
        <v>125.22074574999974</v>
      </c>
      <c r="J16" s="164">
        <f t="shared" si="0"/>
        <v>6.2560846299999753</v>
      </c>
      <c r="K16" s="164">
        <f t="shared" si="0"/>
        <v>102.9009999020472</v>
      </c>
      <c r="L16" s="164">
        <f t="shared" si="0"/>
        <v>104.51890194000026</v>
      </c>
      <c r="M16" s="41"/>
      <c r="N16" s="41"/>
      <c r="O16" s="41"/>
      <c r="P16" s="41"/>
      <c r="Q16" s="41"/>
      <c r="R16" s="41"/>
      <c r="S16" s="41"/>
      <c r="T16" s="6"/>
    </row>
    <row r="17" spans="1:20" ht="15" customHeight="1">
      <c r="A17" s="40"/>
      <c r="M17" s="41"/>
      <c r="N17" s="41"/>
      <c r="O17" s="41"/>
      <c r="P17" s="41"/>
      <c r="Q17" s="41"/>
      <c r="R17" s="41"/>
      <c r="S17" s="41"/>
      <c r="T17" s="6"/>
    </row>
    <row r="18" spans="1:20" ht="15" customHeight="1">
      <c r="A18" s="40"/>
      <c r="M18" s="41"/>
      <c r="N18" s="41"/>
      <c r="O18" s="41"/>
      <c r="P18" s="41"/>
      <c r="Q18" s="41"/>
      <c r="R18" s="41"/>
      <c r="S18" s="41"/>
      <c r="T18" s="6"/>
    </row>
    <row r="19" spans="1:20" ht="15" customHeight="1">
      <c r="A19" s="40"/>
      <c r="M19" s="41"/>
      <c r="N19" s="41"/>
      <c r="O19" s="41"/>
      <c r="P19" s="41"/>
      <c r="Q19" s="41"/>
      <c r="R19" s="41"/>
      <c r="S19" s="41"/>
      <c r="T19" s="6"/>
    </row>
    <row r="20" spans="1:20" ht="15" customHeight="1">
      <c r="A20" s="40"/>
      <c r="M20" s="41"/>
      <c r="N20" s="41"/>
      <c r="O20" s="41"/>
      <c r="P20" s="41"/>
      <c r="Q20" s="41"/>
      <c r="R20" s="41"/>
      <c r="S20" s="41"/>
      <c r="T20" s="6"/>
    </row>
    <row r="21" spans="1:20" ht="15" customHeight="1">
      <c r="A21" s="40"/>
      <c r="M21" s="41"/>
      <c r="N21" s="41"/>
      <c r="O21" s="41"/>
      <c r="P21" s="41"/>
      <c r="Q21" s="41"/>
      <c r="R21" s="41"/>
      <c r="S21" s="41"/>
      <c r="T21" s="6"/>
    </row>
    <row r="22" spans="1:20" ht="15" customHeight="1">
      <c r="A22" s="40"/>
      <c r="M22" s="41"/>
      <c r="N22" s="41"/>
      <c r="O22" s="41"/>
      <c r="P22" s="41"/>
      <c r="Q22" s="41"/>
      <c r="R22" s="41"/>
      <c r="S22" s="41"/>
      <c r="T22" s="6"/>
    </row>
    <row r="23" spans="1:20" ht="15" customHeight="1">
      <c r="A23" s="40"/>
      <c r="B23" s="41"/>
      <c r="C23" s="41"/>
      <c r="D23" s="41"/>
      <c r="E23" s="41"/>
      <c r="F23" s="41"/>
      <c r="G23" s="41"/>
      <c r="H23" s="41"/>
      <c r="I23" s="41"/>
      <c r="J23" s="41"/>
      <c r="K23" s="41"/>
      <c r="L23" s="41"/>
      <c r="M23" s="41"/>
      <c r="N23" s="41"/>
      <c r="O23" s="41"/>
      <c r="P23" s="41"/>
      <c r="Q23" s="41"/>
      <c r="R23" s="41"/>
      <c r="S23" s="41"/>
      <c r="T23" s="6"/>
    </row>
    <row r="24" spans="1:20" ht="15" customHeight="1">
      <c r="A24" s="40"/>
      <c r="B24" s="41"/>
      <c r="C24" s="41"/>
      <c r="D24" s="41"/>
      <c r="E24" s="41"/>
      <c r="F24" s="41"/>
      <c r="G24" s="41"/>
      <c r="H24" s="41"/>
      <c r="I24" s="41"/>
      <c r="J24" s="41"/>
      <c r="K24" s="41"/>
      <c r="L24" s="41"/>
      <c r="M24" s="41"/>
      <c r="N24" s="41"/>
      <c r="O24" s="41"/>
      <c r="P24" s="41"/>
      <c r="Q24" s="41"/>
      <c r="R24" s="41"/>
      <c r="S24" s="41"/>
      <c r="T24" s="6"/>
    </row>
    <row r="25" spans="1:20" ht="15" customHeight="1" thickBot="1">
      <c r="A25" s="24" t="s">
        <v>117</v>
      </c>
      <c r="B25" s="8"/>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B7" sqref="B7"/>
    </sheetView>
  </sheetViews>
  <sheetFormatPr defaultColWidth="0" defaultRowHeight="0" customHeight="1" zeroHeight="1"/>
  <cols>
    <col min="1" max="5" width="9.1796875" customWidth="1"/>
    <col min="6" max="6" width="10.1796875" customWidth="1"/>
    <col min="7" max="7" width="12.81640625" customWidth="1"/>
    <col min="8" max="8" width="12.26953125" customWidth="1"/>
    <col min="9" max="9" width="9.1796875" customWidth="1"/>
    <col min="10" max="10" width="10.7265625" customWidth="1"/>
    <col min="1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0"/>
      <c r="B2" s="41"/>
      <c r="C2" s="41"/>
      <c r="D2" s="41"/>
      <c r="E2" s="41"/>
      <c r="F2" s="41"/>
      <c r="G2" s="41"/>
      <c r="H2" s="41"/>
      <c r="I2" s="41"/>
      <c r="J2" s="41"/>
      <c r="K2" s="41"/>
      <c r="L2" s="41"/>
      <c r="M2" s="41"/>
      <c r="N2" s="41"/>
      <c r="O2" s="41"/>
      <c r="P2" s="41"/>
      <c r="Q2" s="41"/>
      <c r="R2" s="41"/>
      <c r="S2" s="41"/>
      <c r="T2" s="6"/>
    </row>
    <row r="3" spans="1:20" ht="15" customHeight="1">
      <c r="A3" s="40"/>
      <c r="B3" s="41"/>
      <c r="C3" s="41"/>
      <c r="D3" s="41"/>
      <c r="E3" s="41"/>
      <c r="F3" s="41"/>
      <c r="G3" s="41"/>
      <c r="H3" s="41"/>
      <c r="I3" s="41"/>
      <c r="J3" s="41"/>
      <c r="K3" s="41"/>
      <c r="L3" s="41"/>
      <c r="M3" s="41"/>
      <c r="N3" s="41"/>
      <c r="O3" s="41"/>
      <c r="P3" s="41"/>
      <c r="Q3" s="41"/>
      <c r="R3" s="41"/>
      <c r="S3" s="41"/>
      <c r="T3" s="6"/>
    </row>
    <row r="4" spans="1:20" ht="15" customHeight="1">
      <c r="A4" s="40"/>
      <c r="B4" s="41"/>
      <c r="C4" s="41"/>
      <c r="D4" s="41"/>
      <c r="E4" s="41"/>
      <c r="F4" s="41"/>
      <c r="G4" s="41"/>
      <c r="H4" s="41"/>
      <c r="I4" s="41"/>
      <c r="J4" s="41"/>
      <c r="K4" s="41"/>
      <c r="L4" s="41"/>
      <c r="M4" s="41"/>
      <c r="N4" s="41"/>
      <c r="O4" s="41"/>
      <c r="P4" s="41"/>
      <c r="Q4" s="41"/>
      <c r="R4" s="41"/>
      <c r="S4" s="41"/>
      <c r="T4" s="6"/>
    </row>
    <row r="5" spans="1:20" ht="15" customHeight="1">
      <c r="A5" s="40"/>
      <c r="D5" s="41"/>
      <c r="E5" s="41"/>
      <c r="F5" s="41"/>
      <c r="G5" s="41"/>
      <c r="H5" s="41"/>
      <c r="I5" s="41"/>
      <c r="J5" s="41"/>
      <c r="K5" s="41"/>
      <c r="L5" s="41"/>
      <c r="M5" s="41"/>
      <c r="N5" s="41"/>
      <c r="O5" s="41"/>
      <c r="P5" s="41"/>
      <c r="Q5" s="41"/>
      <c r="R5" s="41"/>
      <c r="S5" s="41"/>
      <c r="T5" s="6"/>
    </row>
    <row r="6" spans="1:20" ht="29" customHeight="1" thickBot="1">
      <c r="A6" s="40"/>
      <c r="B6" s="87"/>
      <c r="C6" s="113" t="s">
        <v>83</v>
      </c>
      <c r="D6" s="113" t="s">
        <v>87</v>
      </c>
      <c r="E6" s="113" t="s">
        <v>84</v>
      </c>
      <c r="F6" s="113" t="s">
        <v>85</v>
      </c>
      <c r="G6" s="113" t="s">
        <v>126</v>
      </c>
      <c r="H6" s="113" t="s">
        <v>86</v>
      </c>
      <c r="I6" s="113" t="s">
        <v>127</v>
      </c>
      <c r="M6" s="41"/>
      <c r="N6" s="41"/>
      <c r="O6" s="41"/>
      <c r="P6" s="41"/>
      <c r="Q6" s="41"/>
      <c r="R6" s="41"/>
      <c r="S6" s="41"/>
      <c r="T6" s="6"/>
    </row>
    <row r="7" spans="1:20" ht="15" customHeight="1">
      <c r="A7" s="40"/>
      <c r="B7" s="45">
        <v>2023</v>
      </c>
      <c r="C7" s="127">
        <f>+F7/66002.915</f>
        <v>1.8281938420447037</v>
      </c>
      <c r="D7" s="128">
        <v>0.75</v>
      </c>
      <c r="E7" s="128">
        <v>0.25</v>
      </c>
      <c r="F7" s="129">
        <v>120666.12276</v>
      </c>
      <c r="G7" s="128">
        <f>+[1]Dividendos!$M$6</f>
        <v>0.82059518303396994</v>
      </c>
      <c r="H7" s="130">
        <f>+[1]Dividendos!$L$6</f>
        <v>7.463775370321013E-2</v>
      </c>
      <c r="I7" s="128">
        <v>0.7</v>
      </c>
      <c r="M7" s="41"/>
      <c r="N7" s="41"/>
      <c r="O7" s="41"/>
      <c r="P7" s="41"/>
      <c r="Q7" s="41"/>
      <c r="R7" s="41"/>
      <c r="S7" s="41"/>
      <c r="T7" s="6"/>
    </row>
    <row r="8" spans="1:20" ht="15" customHeight="1">
      <c r="A8" s="62"/>
      <c r="B8" s="45">
        <v>2022</v>
      </c>
      <c r="C8" s="110">
        <v>1.38</v>
      </c>
      <c r="D8" s="82">
        <v>0.75</v>
      </c>
      <c r="E8" s="82">
        <v>0.25</v>
      </c>
      <c r="F8" s="111">
        <v>91186</v>
      </c>
      <c r="G8" s="82">
        <v>0.7</v>
      </c>
      <c r="H8" s="112">
        <v>8.2900000000000001E-2</v>
      </c>
      <c r="I8" s="82">
        <v>0.6</v>
      </c>
      <c r="M8" s="44"/>
      <c r="T8" s="6"/>
    </row>
    <row r="9" spans="1:20" ht="15" customHeight="1">
      <c r="A9" s="62"/>
      <c r="B9" s="45">
        <v>2021</v>
      </c>
      <c r="C9" s="110">
        <v>0.93</v>
      </c>
      <c r="D9" s="82">
        <v>0.75</v>
      </c>
      <c r="E9" s="82">
        <v>0.25</v>
      </c>
      <c r="F9" s="111">
        <v>61613</v>
      </c>
      <c r="G9" s="82">
        <v>0.71</v>
      </c>
      <c r="H9" s="112">
        <v>5.8000000000000003E-2</v>
      </c>
      <c r="I9" s="82">
        <v>0.6</v>
      </c>
      <c r="M9" s="44"/>
      <c r="T9" s="6"/>
    </row>
    <row r="10" spans="1:20" ht="15" customHeight="1">
      <c r="A10" s="62"/>
      <c r="B10" s="45">
        <v>2020</v>
      </c>
      <c r="C10" s="110">
        <v>0.53</v>
      </c>
      <c r="D10" s="82">
        <v>0.75</v>
      </c>
      <c r="E10" s="82">
        <v>0.25</v>
      </c>
      <c r="F10" s="111">
        <v>34972</v>
      </c>
      <c r="G10" s="82">
        <v>0.63</v>
      </c>
      <c r="H10" s="112">
        <v>2.3900000000000001E-2</v>
      </c>
      <c r="I10" s="168">
        <v>0.5</v>
      </c>
      <c r="M10" s="44"/>
      <c r="T10" s="6"/>
    </row>
    <row r="11" spans="1:20" ht="15" customHeight="1" thickBot="1">
      <c r="A11" s="62"/>
      <c r="B11" s="76" t="s">
        <v>130</v>
      </c>
      <c r="C11" s="171">
        <v>1.1399999999999999</v>
      </c>
      <c r="D11" s="173">
        <v>0.75</v>
      </c>
      <c r="E11" s="173">
        <v>0.25</v>
      </c>
      <c r="F11" s="172">
        <v>75264</v>
      </c>
      <c r="G11" s="173">
        <v>0.43</v>
      </c>
      <c r="H11" s="175">
        <v>3.7100000000000001E-2</v>
      </c>
      <c r="I11" s="176">
        <v>0.39</v>
      </c>
      <c r="J11" s="170"/>
      <c r="K11" s="170"/>
      <c r="L11" s="170"/>
      <c r="M11" s="44"/>
      <c r="R11" s="41"/>
      <c r="S11" s="41"/>
      <c r="T11" s="6"/>
    </row>
    <row r="12" spans="1:20" ht="15" customHeight="1">
      <c r="A12" s="62"/>
      <c r="B12" s="165" t="s">
        <v>128</v>
      </c>
      <c r="M12" s="44"/>
      <c r="R12" s="41"/>
      <c r="S12" s="41"/>
      <c r="T12" s="6"/>
    </row>
    <row r="13" spans="1:20" ht="15" customHeight="1">
      <c r="A13" s="62"/>
      <c r="B13" s="165" t="s">
        <v>129</v>
      </c>
      <c r="M13" s="44"/>
      <c r="R13" s="41"/>
      <c r="S13" s="41"/>
      <c r="T13" s="6"/>
    </row>
    <row r="14" spans="1:20" ht="15" customHeight="1">
      <c r="A14" s="62"/>
      <c r="B14" s="165" t="s">
        <v>137</v>
      </c>
      <c r="M14" s="44"/>
      <c r="R14" s="41"/>
      <c r="S14" s="41"/>
      <c r="T14" s="6"/>
    </row>
    <row r="15" spans="1:20" ht="15" customHeight="1">
      <c r="A15" s="62"/>
      <c r="N15" s="41"/>
      <c r="O15" s="41"/>
      <c r="P15" s="41"/>
      <c r="Q15" s="41"/>
      <c r="R15" s="41"/>
      <c r="S15" s="41"/>
      <c r="T15" s="6"/>
    </row>
    <row r="16" spans="1:20" ht="15" customHeight="1">
      <c r="A16" s="62"/>
      <c r="M16" s="35"/>
      <c r="N16" s="41"/>
      <c r="O16" s="41"/>
      <c r="P16" s="41"/>
      <c r="Q16" s="41"/>
      <c r="R16" s="41"/>
      <c r="S16" s="41"/>
      <c r="T16" s="6"/>
    </row>
    <row r="17" spans="1:20" ht="15" customHeight="1">
      <c r="A17" s="62"/>
      <c r="M17" s="35"/>
      <c r="N17" s="41"/>
      <c r="O17" s="41"/>
      <c r="P17" s="41"/>
      <c r="Q17" s="41"/>
      <c r="R17" s="41"/>
      <c r="S17" s="41"/>
      <c r="T17" s="6"/>
    </row>
    <row r="18" spans="1:20" ht="15" customHeight="1">
      <c r="A18" s="62"/>
      <c r="M18" s="35"/>
      <c r="N18" s="41"/>
      <c r="O18" s="41"/>
      <c r="P18" s="41"/>
      <c r="Q18" s="41"/>
      <c r="R18" s="41"/>
      <c r="S18" s="41"/>
      <c r="T18" s="6"/>
    </row>
    <row r="19" spans="1:20" ht="15" customHeight="1">
      <c r="A19" s="62"/>
      <c r="M19" s="35"/>
      <c r="N19" s="41"/>
      <c r="O19" s="41"/>
      <c r="P19" s="41"/>
      <c r="Q19" s="41"/>
      <c r="R19" s="41"/>
      <c r="S19" s="41"/>
      <c r="T19" s="6"/>
    </row>
    <row r="20" spans="1:20" ht="15" customHeight="1">
      <c r="A20" s="62"/>
      <c r="M20" s="35"/>
      <c r="N20" s="41"/>
      <c r="O20" s="41"/>
      <c r="P20" s="41"/>
      <c r="Q20" s="41"/>
      <c r="R20" s="41"/>
      <c r="S20" s="41"/>
      <c r="T20" s="6"/>
    </row>
    <row r="21" spans="1:20" ht="15" customHeight="1">
      <c r="A21" s="62"/>
      <c r="M21" s="35"/>
      <c r="N21" s="41"/>
      <c r="O21" s="41"/>
      <c r="P21" s="41"/>
      <c r="Q21" s="41"/>
      <c r="R21" s="41"/>
      <c r="S21" s="41"/>
      <c r="T21" s="6"/>
    </row>
    <row r="22" spans="1:20" ht="15" customHeight="1">
      <c r="A22" s="62"/>
      <c r="M22" s="35"/>
      <c r="N22" s="41"/>
      <c r="O22" s="41"/>
      <c r="P22" s="41"/>
      <c r="Q22" s="41"/>
      <c r="R22" s="41"/>
      <c r="S22" s="41"/>
      <c r="T22" s="6"/>
    </row>
    <row r="23" spans="1:20" ht="15" customHeight="1">
      <c r="A23" s="62"/>
      <c r="B23" s="70"/>
      <c r="C23" s="44"/>
      <c r="D23" s="44"/>
      <c r="E23" s="44"/>
      <c r="F23" s="44"/>
      <c r="G23" s="67"/>
      <c r="H23" s="54"/>
      <c r="I23" s="54"/>
      <c r="J23" s="54"/>
      <c r="K23" s="54"/>
      <c r="L23" s="54"/>
      <c r="M23" s="35"/>
      <c r="N23" s="41"/>
      <c r="O23" s="41"/>
      <c r="P23" s="41"/>
      <c r="Q23" s="41"/>
      <c r="R23" s="41"/>
      <c r="S23" s="41"/>
      <c r="T23" s="6"/>
    </row>
    <row r="24" spans="1:20" ht="15" customHeight="1">
      <c r="A24" s="62"/>
      <c r="B24" s="41"/>
      <c r="C24" s="41"/>
      <c r="D24" s="41"/>
      <c r="E24" s="41"/>
      <c r="F24" s="41"/>
      <c r="G24" s="41"/>
      <c r="H24" s="41"/>
      <c r="I24" s="41"/>
      <c r="J24" s="41"/>
      <c r="K24" s="41"/>
      <c r="L24" s="41"/>
      <c r="N24" s="41"/>
      <c r="O24" s="41"/>
      <c r="P24" s="41"/>
      <c r="Q24" s="41"/>
      <c r="R24" s="41"/>
      <c r="S24" s="41"/>
      <c r="T24" s="6"/>
    </row>
    <row r="25" spans="1:20" ht="15" customHeight="1" thickBot="1">
      <c r="A25" s="24" t="s">
        <v>118</v>
      </c>
      <c r="B25" s="64"/>
      <c r="C25" s="8"/>
      <c r="D25" s="8"/>
      <c r="E25" s="8"/>
      <c r="F25" s="8"/>
      <c r="G25" s="8"/>
      <c r="H25" s="8"/>
      <c r="I25" s="8"/>
      <c r="J25" s="8"/>
      <c r="K25" s="8"/>
      <c r="L25" s="8"/>
      <c r="M25" s="8"/>
      <c r="N25" s="8"/>
      <c r="O25" s="8"/>
      <c r="P25" s="8"/>
      <c r="Q25" s="8"/>
      <c r="R25" s="8"/>
      <c r="S25" s="8"/>
      <c r="T25" s="9"/>
    </row>
  </sheetData>
  <pageMargins left="0.51181102362204722" right="0.51181102362204722" top="0.78740157480314965" bottom="0.78740157480314965" header="0.31496062992125984" footer="0.31496062992125984"/>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0" customHeight="1" zeroHeight="1"/>
  <cols>
    <col min="1" max="6" width="9.1796875" customWidth="1"/>
    <col min="7" max="7" width="12.81640625" customWidth="1"/>
    <col min="8" max="8" width="12.26953125" customWidth="1"/>
    <col min="9" max="9" width="9.1796875" customWidth="1"/>
    <col min="10" max="10" width="10.7265625" customWidth="1"/>
    <col min="11" max="20" width="9.1796875" customWidth="1"/>
    <col min="21" max="16383" width="9.1796875" hidden="1"/>
    <col min="16384" max="16384" width="0.54296875" customWidth="1"/>
  </cols>
  <sheetData>
    <row r="1" spans="1:20" ht="15" customHeight="1" thickTop="1">
      <c r="I1" s="2"/>
      <c r="J1" s="2"/>
      <c r="K1" s="2"/>
      <c r="L1" s="2"/>
      <c r="M1" s="2"/>
      <c r="N1" s="2"/>
      <c r="O1" s="2"/>
      <c r="P1" s="2"/>
      <c r="Q1" s="2"/>
      <c r="R1" s="2"/>
      <c r="S1" s="2"/>
      <c r="T1" s="3"/>
    </row>
    <row r="2" spans="1:20" ht="15" customHeight="1">
      <c r="I2" s="81"/>
      <c r="J2" s="81"/>
      <c r="K2" s="81"/>
      <c r="L2" s="81"/>
      <c r="M2" s="81"/>
      <c r="N2" s="81"/>
      <c r="O2" s="81"/>
      <c r="P2" s="81"/>
      <c r="Q2" s="81"/>
      <c r="R2" s="81"/>
      <c r="S2" s="81"/>
      <c r="T2" s="6"/>
    </row>
    <row r="3" spans="1:20" ht="15" customHeight="1">
      <c r="I3" s="81"/>
      <c r="J3" s="81"/>
      <c r="K3" s="81"/>
      <c r="L3" s="81"/>
      <c r="M3" s="81"/>
      <c r="N3" s="81"/>
      <c r="O3" s="81"/>
      <c r="P3" s="81"/>
      <c r="Q3" s="81"/>
      <c r="R3" s="81"/>
      <c r="S3" s="81"/>
      <c r="T3" s="6"/>
    </row>
    <row r="4" spans="1:20" ht="15" customHeight="1">
      <c r="I4" s="81"/>
      <c r="J4" s="81"/>
      <c r="K4" s="81"/>
      <c r="L4" s="81"/>
      <c r="M4" s="81"/>
      <c r="N4" s="81"/>
      <c r="O4" s="81"/>
      <c r="P4" s="81"/>
      <c r="Q4" s="81"/>
      <c r="R4" s="81"/>
      <c r="S4" s="81"/>
      <c r="T4" s="6"/>
    </row>
    <row r="5" spans="1:20" ht="15" customHeight="1">
      <c r="I5" s="81"/>
      <c r="J5" s="81"/>
      <c r="K5" s="81"/>
      <c r="L5" s="81"/>
      <c r="M5" s="81"/>
      <c r="N5" s="81"/>
      <c r="O5" s="81"/>
      <c r="P5" s="81"/>
      <c r="Q5" s="81"/>
      <c r="R5" s="81"/>
      <c r="S5" s="81"/>
      <c r="T5" s="6"/>
    </row>
    <row r="6" spans="1:20" ht="15" customHeight="1">
      <c r="N6" s="81"/>
      <c r="O6" s="81"/>
      <c r="P6" s="81"/>
      <c r="Q6" s="81"/>
      <c r="R6" s="81"/>
      <c r="S6" s="81"/>
      <c r="T6" s="6"/>
    </row>
    <row r="7" spans="1:20" ht="15" customHeight="1">
      <c r="N7" s="81"/>
      <c r="O7" s="81"/>
      <c r="P7" s="81"/>
      <c r="Q7" s="81"/>
      <c r="R7" s="81"/>
      <c r="S7" s="81"/>
      <c r="T7" s="6"/>
    </row>
    <row r="8" spans="1:20" ht="15" customHeight="1">
      <c r="T8" s="6"/>
    </row>
    <row r="9" spans="1:20" ht="15" customHeight="1">
      <c r="A9" s="62"/>
      <c r="T9" s="6"/>
    </row>
    <row r="10" spans="1:20" ht="15" customHeight="1">
      <c r="A10" s="62"/>
      <c r="T10" s="6"/>
    </row>
    <row r="11" spans="1:20" ht="15" customHeight="1">
      <c r="A11" s="62"/>
      <c r="R11" s="81"/>
      <c r="S11" s="81"/>
      <c r="T11" s="6"/>
    </row>
    <row r="12" spans="1:20" ht="15" customHeight="1">
      <c r="A12" s="62"/>
      <c r="R12" s="81"/>
      <c r="S12" s="81"/>
      <c r="T12" s="6"/>
    </row>
    <row r="13" spans="1:20" ht="15" customHeight="1">
      <c r="A13" s="62"/>
      <c r="R13" s="81"/>
      <c r="S13" s="81"/>
      <c r="T13" s="6"/>
    </row>
    <row r="14" spans="1:20" ht="15" customHeight="1">
      <c r="A14" s="62"/>
      <c r="R14" s="81"/>
      <c r="S14" s="81"/>
      <c r="T14" s="6"/>
    </row>
    <row r="15" spans="1:20" ht="15" customHeight="1">
      <c r="A15" s="62"/>
      <c r="N15" s="81"/>
      <c r="O15" s="81"/>
      <c r="P15" s="81"/>
      <c r="Q15" s="81"/>
      <c r="R15" s="81"/>
      <c r="S15" s="81"/>
      <c r="T15" s="6"/>
    </row>
    <row r="16" spans="1:20" ht="15" customHeight="1">
      <c r="A16" s="62"/>
      <c r="N16" s="81"/>
      <c r="O16" s="81"/>
      <c r="P16" s="81"/>
      <c r="Q16" s="81"/>
      <c r="R16" s="81"/>
      <c r="S16" s="81"/>
      <c r="T16" s="6"/>
    </row>
    <row r="17" spans="1:20" ht="15" customHeight="1">
      <c r="A17" s="62"/>
      <c r="N17" s="81"/>
      <c r="O17" s="81"/>
      <c r="P17" s="81"/>
      <c r="Q17" s="81"/>
      <c r="R17" s="81"/>
      <c r="S17" s="81"/>
      <c r="T17" s="6"/>
    </row>
    <row r="18" spans="1:20" ht="15" customHeight="1">
      <c r="A18" s="62"/>
      <c r="N18" s="81"/>
      <c r="O18" s="81"/>
      <c r="P18" s="81"/>
      <c r="Q18" s="81"/>
      <c r="R18" s="81"/>
      <c r="S18" s="81"/>
      <c r="T18" s="6"/>
    </row>
    <row r="19" spans="1:20" ht="15" customHeight="1">
      <c r="A19" s="62"/>
      <c r="N19" s="81"/>
      <c r="O19" s="81"/>
      <c r="P19" s="81"/>
      <c r="Q19" s="81"/>
      <c r="R19" s="81"/>
      <c r="S19" s="81"/>
      <c r="T19" s="6"/>
    </row>
    <row r="20" spans="1:20" ht="15" customHeight="1">
      <c r="A20" s="62"/>
      <c r="N20" s="81"/>
      <c r="O20" s="81"/>
      <c r="P20" s="81"/>
      <c r="Q20" s="81"/>
      <c r="R20" s="81"/>
      <c r="S20" s="81"/>
      <c r="T20" s="6"/>
    </row>
    <row r="21" spans="1:20" ht="15" customHeight="1">
      <c r="A21" s="62"/>
      <c r="N21" s="81"/>
      <c r="O21" s="81"/>
      <c r="P21" s="81"/>
      <c r="Q21" s="81"/>
      <c r="R21" s="81"/>
      <c r="S21" s="81"/>
      <c r="T21" s="6"/>
    </row>
    <row r="22" spans="1:20" ht="15" customHeight="1">
      <c r="A22" s="62"/>
      <c r="M22" s="35"/>
      <c r="N22" s="81"/>
      <c r="O22" s="81"/>
      <c r="P22" s="81"/>
      <c r="Q22" s="81"/>
      <c r="R22" s="81"/>
      <c r="S22" s="81"/>
      <c r="T22" s="6"/>
    </row>
    <row r="23" spans="1:20" ht="15" customHeight="1">
      <c r="A23" s="62"/>
      <c r="B23" s="70"/>
      <c r="C23" s="44"/>
      <c r="D23" s="44"/>
      <c r="E23" s="44"/>
      <c r="F23" s="44"/>
      <c r="G23" s="67"/>
      <c r="H23" s="54"/>
      <c r="I23" s="54"/>
      <c r="J23" s="54"/>
      <c r="K23" s="54"/>
      <c r="L23" s="54"/>
      <c r="M23" s="35"/>
      <c r="N23" s="81"/>
      <c r="O23" s="81"/>
      <c r="P23" s="81"/>
      <c r="Q23" s="81"/>
      <c r="R23" s="81"/>
      <c r="S23" s="81"/>
      <c r="T23" s="6"/>
    </row>
    <row r="24" spans="1:20" ht="15" customHeight="1">
      <c r="A24" s="62"/>
      <c r="B24" s="81"/>
      <c r="C24" s="81"/>
      <c r="D24" s="81"/>
      <c r="E24" s="81"/>
      <c r="F24" s="81"/>
      <c r="G24" s="81"/>
      <c r="H24" s="81"/>
      <c r="I24" s="81"/>
      <c r="J24" s="81"/>
      <c r="K24" s="81"/>
      <c r="L24" s="81"/>
      <c r="N24" s="81"/>
      <c r="O24" s="81"/>
      <c r="P24" s="81"/>
      <c r="Q24" s="81"/>
      <c r="R24" s="81"/>
      <c r="S24" s="81"/>
      <c r="T24" s="6"/>
    </row>
    <row r="25" spans="1:20" ht="15" customHeight="1" thickBot="1">
      <c r="A25" s="24"/>
      <c r="B25" s="64"/>
      <c r="C25" s="8"/>
      <c r="D25" s="8"/>
      <c r="E25" s="8"/>
      <c r="F25" s="8"/>
      <c r="G25" s="8"/>
      <c r="H25" s="8"/>
      <c r="I25" s="8"/>
      <c r="J25" s="8"/>
      <c r="K25" s="8"/>
      <c r="L25" s="8"/>
      <c r="M25" s="8"/>
      <c r="N25" s="8"/>
      <c r="O25" s="8"/>
      <c r="P25" s="8"/>
      <c r="Q25" s="8"/>
      <c r="R25" s="8"/>
      <c r="S25" s="8"/>
      <c r="T25" s="9" t="s">
        <v>119</v>
      </c>
    </row>
  </sheetData>
  <pageMargins left="0.51181102362204722" right="0.51181102362204722" top="0.78740157480314965" bottom="0.78740157480314965" header="0.31496062992125984" footer="0.31496062992125984"/>
  <pageSetup paperSize="9"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sisl xmlns:xsd="http://www.w3.org/2001/XMLSchema" xmlns:xsi="http://www.w3.org/2001/XMLSchema-instance" xmlns="http://www.boldonjames.com/2008/01/sie/internal/label" sislVersion="0" policy="48e0a426-e65c-4014-aea4-d04bb802e535" origin="userSelected"/>
</file>

<file path=customXml/itemProps1.xml><?xml version="1.0" encoding="utf-8"?>
<ds:datastoreItem xmlns:ds="http://schemas.openxmlformats.org/officeDocument/2006/customXml" ds:itemID="{7952D701-B5C1-44FF-92A8-7841B05D425A}">
  <ds:schemaRefs>
    <ds:schemaRef ds:uri="http://www.w3.org/2001/XMLSchema"/>
    <ds:schemaRef ds:uri="http://www.boldonjames.com/2008/01/sie/internal/label"/>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22</vt:i4>
      </vt:variant>
    </vt:vector>
  </HeadingPairs>
  <TitlesOfParts>
    <vt:vector size="22" baseType="lpstr">
      <vt:lpstr>Capa</vt:lpstr>
      <vt:lpstr>Disclaimer</vt:lpstr>
      <vt:lpstr>Sumário</vt:lpstr>
      <vt:lpstr>Sobre a Tegma</vt:lpstr>
      <vt:lpstr>Res Auto</vt:lpstr>
      <vt:lpstr>Vol. veículos transportados</vt:lpstr>
      <vt:lpstr>Distância média</vt:lpstr>
      <vt:lpstr>Ticket médio</vt:lpstr>
      <vt:lpstr>Custos e despesas - DLV</vt:lpstr>
      <vt:lpstr>Resumo financeiro - DLV</vt:lpstr>
      <vt:lpstr>Res Log. Int.</vt:lpstr>
      <vt:lpstr>Custos e Despesas - DLI</vt:lpstr>
      <vt:lpstr>Resumo financeiro - DLI</vt:lpstr>
      <vt:lpstr>Res Consolidados</vt:lpstr>
      <vt:lpstr>Resultado financeiro</vt:lpstr>
      <vt:lpstr>Equivalência patrimonial</vt:lpstr>
      <vt:lpstr>IR e CSLL</vt:lpstr>
      <vt:lpstr>Balanço Patrimonial</vt:lpstr>
      <vt:lpstr>CAPEX</vt:lpstr>
      <vt:lpstr>Free cash flow to firm</vt:lpstr>
      <vt:lpstr>Dividendos e JSCP</vt:lpstr>
      <vt:lpstr>Contatos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Ian Nunes Costa e Costa</dc:creator>
  <cp:keywords>b-class-0</cp:keywords>
  <cp:lastModifiedBy>Felipe Augusto Fogaca da Silva</cp:lastModifiedBy>
  <cp:lastPrinted>2023-01-09T20:16:48Z</cp:lastPrinted>
  <dcterms:created xsi:type="dcterms:W3CDTF">2023-01-09T18:12:05Z</dcterms:created>
  <dcterms:modified xsi:type="dcterms:W3CDTF">2024-03-19T15:10:13Z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docIndexRef">
    <vt:lpwstr>9350456f-ecf6-46e4-aaa6-5626eb22a630</vt:lpwstr>
  </property>
  <property fmtid="{D5CDD505-2E9C-101B-9397-08002B2CF9AE}" pid="3" name="bjDocumentSecurityLabel">
    <vt:lpwstr>Documento Não Classificado</vt:lpwstr>
  </property>
  <property fmtid="{D5CDD505-2E9C-101B-9397-08002B2CF9AE}" pid="4" name="bjSaver">
    <vt:lpwstr>nWkPXJCnkPVii/vL807qEvmv5sG3plNV</vt:lpwstr>
  </property>
  <property fmtid="{D5CDD505-2E9C-101B-9397-08002B2CF9AE}" pid="5" name="bjClsUserRVM">
    <vt:lpwstr>[]</vt:lpwstr>
  </property>
</Properties>
</file>