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13_ncr:1_{69E9C45E-EA49-4EDF-BB8E-7630ABA6EECE}" xr6:coauthVersionLast="47" xr6:coauthVersionMax="47" xr10:uidLastSave="{00000000-0000-0000-0000-000000000000}"/>
  <bookViews>
    <workbookView xWindow="13380" yWindow="-4620" windowWidth="29040" windowHeight="15720" tabRatio="766" xr2:uid="{00000000-000D-0000-FFFF-FFFF00000000}"/>
  </bookViews>
  <sheets>
    <sheet name="Menu" sheetId="1" r:id="rId1"/>
    <sheet name="Home" sheetId="30" state="hidden" r:id="rId2"/>
    <sheet name="Corp_Indicators" sheetId="24" r:id="rId3"/>
    <sheet name="Corp_Stores" sheetId="22" r:id="rId4"/>
    <sheet name="Corp_SI" sheetId="16" r:id="rId5"/>
    <sheet name="Corp_BS" sheetId="17" r:id="rId6"/>
    <sheet name="Corp_CFS" sheetId="31" r:id="rId7"/>
    <sheet name="BR_Indicators" sheetId="28" r:id="rId8"/>
    <sheet name="BR_IS" sheetId="7" r:id="rId9"/>
    <sheet name="BR_BS" sheetId="19" r:id="rId10"/>
    <sheet name="AR_Indicadores" sheetId="29" r:id="rId11"/>
    <sheet name="AR_IS" sheetId="15" r:id="rId12"/>
    <sheet name="AR_BS" sheetId="20" r:id="rId13"/>
  </sheets>
  <definedNames>
    <definedName name="ID" localSheetId="12" hidden="1">"3edb7fd1-d2a0-4a9f-8421-498c23420e70"</definedName>
    <definedName name="ID" localSheetId="10" hidden="1">"e112ae68-4449-4eec-a60d-03ee251253f2"</definedName>
    <definedName name="ID" localSheetId="11" hidden="1">"0952d32b-aa6c-4edd-bdc7-2d63f300bfe7"</definedName>
    <definedName name="ID" localSheetId="9" hidden="1">"75af1129-d9fd-46b5-9805-7048769b6192"</definedName>
    <definedName name="ID" localSheetId="7" hidden="1">"42ab163b-fbde-49f7-ac7c-ace3b8cd9822"</definedName>
    <definedName name="ID" localSheetId="8" hidden="1">"6bda8f62-9725-49ff-9be3-ea3be4e03cb8"</definedName>
    <definedName name="ID" localSheetId="5" hidden="1">"b41fc2a9-08f6-4570-a58c-f44d22533966"</definedName>
    <definedName name="ID" localSheetId="6" hidden="1">"ff3dd8d3-577c-4283-b23b-feead600e129"</definedName>
    <definedName name="ID" localSheetId="2" hidden="1">"6d4bc538-0765-4884-8a97-4fd145effb1b"</definedName>
    <definedName name="ID" localSheetId="4" hidden="1">"a278f6b9-5605-45bb-8282-c983340a93a0"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AR_BS!$A:$A,AR_BS!$4:$4</definedName>
    <definedName name="_xlnm.Print_Titles" localSheetId="10">AR_Indicadores!$A:$A,AR_Indicadores!$4:$4</definedName>
    <definedName name="_xlnm.Print_Titles" localSheetId="11">AR_IS!$A:$A,AR_IS!$4:$4</definedName>
    <definedName name="_xlnm.Print_Titles" localSheetId="9">BR_BS!$A:$A,BR_BS!$4:$4</definedName>
    <definedName name="_xlnm.Print_Titles" localSheetId="7">BR_Indicators!$A:$A,BR_Indicators!$4:$4</definedName>
    <definedName name="_xlnm.Print_Titles" localSheetId="8">BR_IS!$A:$A,BR_IS!$4:$4</definedName>
    <definedName name="_xlnm.Print_Titles" localSheetId="5">Corp_BS!$A:$A,Corp_BS!$4:$4</definedName>
    <definedName name="_xlnm.Print_Titles" localSheetId="6">Corp_CFS!$A:$A,Corp_CFS!$4:$4</definedName>
    <definedName name="_xlnm.Print_Titles" localSheetId="2">Corp_Indicators!$A:$A,Corp_Indicators!$4:$4</definedName>
    <definedName name="_xlnm.Print_Titles" localSheetId="4">Corp_SI!$A:$A,Corp_SI!$4:$4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9" l="1"/>
  <c r="X16" i="19"/>
  <c r="U22" i="20"/>
  <c r="U16" i="20"/>
  <c r="A1" i="31"/>
  <c r="W22" i="31" s="1"/>
  <c r="AB11" i="15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20" i="28"/>
  <c r="AB18" i="28"/>
  <c r="AB10" i="28"/>
  <c r="AB7" i="28"/>
  <c r="X52" i="31"/>
  <c r="X37" i="31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32" i="24"/>
  <c r="AB26" i="24"/>
  <c r="AB19" i="24"/>
  <c r="AB10" i="24"/>
  <c r="O22" i="31" l="1"/>
  <c r="P22" i="31"/>
  <c r="M22" i="31"/>
  <c r="U22" i="31"/>
  <c r="R22" i="31"/>
  <c r="K22" i="31"/>
  <c r="S22" i="31"/>
  <c r="N22" i="31"/>
  <c r="Q22" i="31"/>
  <c r="L22" i="31"/>
  <c r="T22" i="31"/>
  <c r="X22" i="31"/>
  <c r="X39" i="31" s="1"/>
  <c r="X49" i="31" s="1"/>
  <c r="AB32" i="17"/>
  <c r="AB73" i="17"/>
  <c r="V22" i="31"/>
  <c r="X20" i="31" l="1"/>
  <c r="X33" i="31" s="1"/>
  <c r="X51" i="31" s="1"/>
  <c r="AA13" i="28"/>
  <c r="T22" i="20" l="1"/>
  <c r="T16" i="20"/>
  <c r="Z21" i="15"/>
  <c r="AA11" i="15"/>
  <c r="AA9" i="15" s="1"/>
  <c r="AA16" i="15" s="1"/>
  <c r="AA18" i="15" s="1"/>
  <c r="AA20" i="15" s="1"/>
  <c r="AA21" i="15" s="1"/>
  <c r="AA13" i="29"/>
  <c r="AA10" i="29"/>
  <c r="W22" i="19"/>
  <c r="W16" i="19"/>
  <c r="AA17" i="7"/>
  <c r="AA19" i="7"/>
  <c r="AA16" i="7"/>
  <c r="AA15" i="7"/>
  <c r="AA13" i="7"/>
  <c r="AA11" i="7" s="1"/>
  <c r="AA9" i="7" s="1"/>
  <c r="AA18" i="28"/>
  <c r="AA14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52" i="31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37" i="31"/>
  <c r="W10" i="31"/>
  <c r="W20" i="31"/>
  <c r="AA10" i="24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71" i="17"/>
  <c r="AA60" i="17"/>
  <c r="AA48" i="17"/>
  <c r="AA30" i="17"/>
  <c r="AA16" i="17"/>
  <c r="Z21" i="7"/>
  <c r="W33" i="31" l="1"/>
  <c r="W51" i="31" s="1"/>
  <c r="AA18" i="7"/>
  <c r="AA20" i="7" s="1"/>
  <c r="AA21" i="7" s="1"/>
  <c r="AA73" i="17"/>
  <c r="AA32" i="17"/>
  <c r="S6" i="22"/>
  <c r="S17" i="22" s="1"/>
  <c r="S22" i="20"/>
  <c r="Z16" i="15"/>
  <c r="Z18" i="15" s="1"/>
  <c r="Z20" i="15" s="1"/>
  <c r="Z11" i="15"/>
  <c r="Z10" i="15"/>
  <c r="Z10" i="29"/>
  <c r="V22" i="19"/>
  <c r="V16" i="19"/>
  <c r="S16" i="20" l="1"/>
  <c r="Z11" i="7" l="1"/>
  <c r="Z9" i="7"/>
  <c r="Z16" i="7" s="1"/>
  <c r="Z18" i="7" s="1"/>
  <c r="Z20" i="7" s="1"/>
  <c r="Z18" i="28"/>
  <c r="Z20" i="28"/>
  <c r="Z14" i="28"/>
  <c r="V49" i="31"/>
  <c r="V37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Z11" i="24"/>
  <c r="Z10" i="24" s="1"/>
  <c r="Q13" i="22"/>
  <c r="Q6" i="22"/>
  <c r="Q7" i="22"/>
  <c r="Q10" i="22"/>
  <c r="Q14" i="22"/>
  <c r="Y14" i="15"/>
  <c r="Y13" i="29"/>
  <c r="Y11" i="7"/>
  <c r="Y24" i="28"/>
  <c r="Y18" i="28" s="1"/>
  <c r="R22" i="20"/>
  <c r="Y11" i="15"/>
  <c r="Y10" i="29"/>
  <c r="Y14" i="28"/>
  <c r="U20" i="31"/>
  <c r="U10" i="31"/>
  <c r="U33" i="31" s="1"/>
  <c r="U49" i="31"/>
  <c r="T49" i="31"/>
  <c r="U37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37" i="31"/>
  <c r="S37" i="31"/>
  <c r="R37" i="31"/>
  <c r="P37" i="31"/>
  <c r="O37" i="31"/>
  <c r="N37" i="31"/>
  <c r="M37" i="31"/>
  <c r="L37" i="31"/>
  <c r="K37" i="31"/>
  <c r="J37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4" i="28"/>
  <c r="X16" i="17"/>
  <c r="X30" i="17"/>
  <c r="X48" i="17"/>
  <c r="X60" i="17"/>
  <c r="X71" i="17"/>
  <c r="X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W10" i="16"/>
  <c r="J33" i="31" l="1"/>
  <c r="J51" i="31" s="1"/>
  <c r="R33" i="31"/>
  <c r="R51" i="31" s="1"/>
  <c r="P33" i="31"/>
  <c r="V33" i="31"/>
  <c r="V51" i="31" s="1"/>
  <c r="M33" i="31"/>
  <c r="M51" i="31" s="1"/>
  <c r="Q17" i="22"/>
  <c r="Y73" i="17"/>
  <c r="U51" i="31"/>
  <c r="K33" i="31"/>
  <c r="K51" i="31" s="1"/>
  <c r="S33" i="31"/>
  <c r="S51" i="31" s="1"/>
  <c r="N33" i="31"/>
  <c r="N51" i="31" s="1"/>
  <c r="L33" i="31"/>
  <c r="L51" i="31" s="1"/>
  <c r="T33" i="31"/>
  <c r="T51" i="31" s="1"/>
  <c r="Q33" i="31"/>
  <c r="O33" i="3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P51" i="31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V10" i="29"/>
  <c r="R22" i="19"/>
  <c r="R16" i="19"/>
  <c r="V11" i="7"/>
  <c r="V9" i="7" s="1"/>
  <c r="V18" i="28"/>
  <c r="V14" i="28"/>
  <c r="N13" i="22"/>
  <c r="N10" i="22"/>
  <c r="N6" i="22" s="1"/>
  <c r="N17" i="22" s="1"/>
  <c r="V71" i="17"/>
  <c r="V60" i="17"/>
  <c r="V48" i="17"/>
  <c r="Y18" i="15" l="1"/>
  <c r="V73" i="17"/>
  <c r="V32" i="17"/>
  <c r="U18" i="28"/>
  <c r="Y20" i="15" l="1"/>
  <c r="N16" i="20"/>
  <c r="U10" i="29"/>
  <c r="E71" i="17"/>
  <c r="E56" i="17"/>
  <c r="E60" i="17" s="1"/>
  <c r="E44" i="17"/>
  <c r="E48" i="17" s="1"/>
  <c r="E30" i="17"/>
  <c r="E16" i="17"/>
  <c r="Y21" i="15" l="1"/>
  <c r="Q37" i="31"/>
  <c r="Q51" i="31" s="1"/>
  <c r="E32" i="17"/>
  <c r="E73" i="17"/>
  <c r="D3" i="30" l="1"/>
  <c r="Z9" i="15"/>
</calcChain>
</file>

<file path=xl/sharedStrings.xml><?xml version="1.0" encoding="utf-8"?>
<sst xmlns="http://schemas.openxmlformats.org/spreadsheetml/2006/main" count="495" uniqueCount="227">
  <si>
    <t>Historical Series</t>
  </si>
  <si>
    <t>Pro forma de aquisições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</si>
  <si>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</si>
  <si>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</si>
  <si>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</si>
  <si>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</si>
  <si>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</si>
  <si>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</si>
  <si>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</si>
  <si>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</si>
  <si>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</si>
  <si>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</si>
  <si>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</si>
  <si>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</si>
  <si>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</si>
  <si>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</si>
  <si>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</si>
  <si>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</si>
  <si>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</si>
  <si>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</si>
  <si>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</si>
  <si>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</si>
  <si>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</si>
  <si>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</si>
  <si>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Take Rate</t>
  </si>
  <si>
    <t>Despesas Operacionais</t>
  </si>
  <si>
    <t>CVC</t>
  </si>
  <si>
    <t>Experimento</t>
  </si>
  <si>
    <t>Argentina</t>
  </si>
  <si>
    <t>Almundo</t>
  </si>
  <si>
    <t>Total CVC Corp</t>
  </si>
  <si>
    <t/>
  </si>
  <si>
    <t>1S20</t>
  </si>
  <si>
    <t>9M20</t>
  </si>
  <si>
    <t>1S21</t>
  </si>
  <si>
    <t>9M21</t>
  </si>
  <si>
    <t>-</t>
  </si>
  <si>
    <t>B2C</t>
  </si>
  <si>
    <t>B2B</t>
  </si>
  <si>
    <t xml:space="preserve"> - </t>
  </si>
  <si>
    <t>3T24</t>
  </si>
  <si>
    <t>4T24</t>
  </si>
  <si>
    <t>1T25</t>
  </si>
  <si>
    <t>2T25</t>
  </si>
  <si>
    <t>¹</t>
  </si>
  <si>
    <t>3T25</t>
  </si>
  <si>
    <t>Main indicators | Brazil</t>
  </si>
  <si>
    <t>R$ million</t>
  </si>
  <si>
    <t>Gross Bookings</t>
  </si>
  <si>
    <t>Consumed Bookings</t>
  </si>
  <si>
    <t xml:space="preserve">Operating Expenses </t>
  </si>
  <si>
    <t>General and administrative expenses</t>
  </si>
  <si>
    <t>Sales expenses</t>
  </si>
  <si>
    <t>Other operating expenses</t>
  </si>
  <si>
    <t>Non-Recurring Items</t>
  </si>
  <si>
    <t>Discounted receivables</t>
  </si>
  <si>
    <t>Financial Results</t>
  </si>
  <si>
    <t>Financial Expenses</t>
  </si>
  <si>
    <t>Financial charges</t>
  </si>
  <si>
    <t>Interest on acquisitions</t>
  </si>
  <si>
    <t>Taxes on banking transactions</t>
  </si>
  <si>
    <t xml:space="preserve">Interest on Advance of Receivables </t>
  </si>
  <si>
    <t>Interest on Agreements (IFRS 16)</t>
  </si>
  <si>
    <t>Other expenses</t>
  </si>
  <si>
    <t>Financial Revenues</t>
  </si>
  <si>
    <t>Yield from interest earning bank deposits</t>
  </si>
  <si>
    <t>Interest from receivables</t>
  </si>
  <si>
    <t>Interest from judicial deposits</t>
  </si>
  <si>
    <t>Other revenues</t>
  </si>
  <si>
    <t>Exchange rate. net</t>
  </si>
  <si>
    <t>Financial Result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</si>
  <si>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</si>
  <si>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</si>
  <si>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</si>
  <si>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</si>
  <si>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</si>
  <si>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</si>
  <si>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</si>
  <si>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</si>
  <si>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</si>
  <si>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</si>
  <si>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</si>
  <si>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Number of Stores | CVC Corp</t>
  </si>
  <si>
    <t>Brazil</t>
  </si>
  <si>
    <t>Own stores</t>
  </si>
  <si>
    <t xml:space="preserve">Franchises </t>
  </si>
  <si>
    <t>Statement of Income | CVC Corp</t>
  </si>
  <si>
    <t>Net Revenue</t>
  </si>
  <si>
    <t>Operating Income/Expenses</t>
  </si>
  <si>
    <t>Depreciation and amortization</t>
  </si>
  <si>
    <t>Equity in investments</t>
  </si>
  <si>
    <t>Other operating income</t>
  </si>
  <si>
    <t>Income (loss) before financial result</t>
  </si>
  <si>
    <t>Financial income/expenses</t>
  </si>
  <si>
    <t>Income (loss) before taxes and social contribution</t>
  </si>
  <si>
    <t>Tax and Social Contribution</t>
  </si>
  <si>
    <t>Net Income (Loss)</t>
  </si>
  <si>
    <t>Attributable to controlling shareholders</t>
  </si>
  <si>
    <t>Attributable to non controlling shareholders</t>
  </si>
  <si>
    <t>Balance Sheet | CVC Corp</t>
  </si>
  <si>
    <t>ASSET</t>
  </si>
  <si>
    <t>Current Assets</t>
  </si>
  <si>
    <t>Cash &amp; Cash Equivalents</t>
  </si>
  <si>
    <t>Financial Investments</t>
  </si>
  <si>
    <t>Derivative Instruments</t>
  </si>
  <si>
    <t>Accounts Receivable</t>
  </si>
  <si>
    <t>Advances  to Suppliers</t>
  </si>
  <si>
    <t>Prepaid Expenses</t>
  </si>
  <si>
    <t>Recoverable Taxes</t>
  </si>
  <si>
    <t>Other Accounts Receivable</t>
  </si>
  <si>
    <t>Total Current Assets</t>
  </si>
  <si>
    <t>Non-Current Assets</t>
  </si>
  <si>
    <t>Accounts receivable from customers</t>
  </si>
  <si>
    <t>Invested accounts receivable - Related Party</t>
  </si>
  <si>
    <t>Deferred Taxes</t>
  </si>
  <si>
    <t>Judicial Deposit</t>
  </si>
  <si>
    <t xml:space="preserve">Other </t>
  </si>
  <si>
    <t>Investments</t>
  </si>
  <si>
    <t>Fixed Assets</t>
  </si>
  <si>
    <t>Intangible Assets</t>
  </si>
  <si>
    <t>Right of Use Assets</t>
  </si>
  <si>
    <t>Total Non-Current Assets</t>
  </si>
  <si>
    <t>Total Assets</t>
  </si>
  <si>
    <t>LIABILITIES AND SHAREHOLDER´S EQUITY</t>
  </si>
  <si>
    <t>Current Liabilities</t>
  </si>
  <si>
    <t>Loans and financings</t>
  </si>
  <si>
    <t>Debentures</t>
  </si>
  <si>
    <t>Financial Instruments</t>
  </si>
  <si>
    <t>Suppliers</t>
  </si>
  <si>
    <t>Advanced of travel agreements</t>
  </si>
  <si>
    <t>Salaries &amp; Social Charges</t>
  </si>
  <si>
    <t>Taxes and social contribution current</t>
  </si>
  <si>
    <t>Taxes Payable and Contribution</t>
  </si>
  <si>
    <t>Accounts Payable - Acquisition of Subsidiary and Investee</t>
  </si>
  <si>
    <t>Lease liabilities</t>
  </si>
  <si>
    <t>Other</t>
  </si>
  <si>
    <t>Total Current Liabilities</t>
  </si>
  <si>
    <t>Non-Current Liabilities</t>
  </si>
  <si>
    <t>Deferred Tax Liabilities</t>
  </si>
  <si>
    <t>Payable Tax Liabilities</t>
  </si>
  <si>
    <t>Provision for Legal Claims</t>
  </si>
  <si>
    <t>Liabilities of leasing</t>
  </si>
  <si>
    <t>Total Non-Current Liabilities</t>
  </si>
  <si>
    <t>Shareholders' Equity</t>
  </si>
  <si>
    <t>Capital Stock</t>
  </si>
  <si>
    <t>Capital Reserve</t>
  </si>
  <si>
    <t>Goodwill on Capital Transaction</t>
  </si>
  <si>
    <t>Profit reserve</t>
  </si>
  <si>
    <t>Other Comprehensive Income (loss)</t>
  </si>
  <si>
    <t>Treasury shares</t>
  </si>
  <si>
    <t>Retained earnings</t>
  </si>
  <si>
    <t>Non-controlling interests</t>
  </si>
  <si>
    <t>Total Shareholders' Equity</t>
  </si>
  <si>
    <t>TotalLiabilities and Shareholders' Equity</t>
  </si>
  <si>
    <t>Dividends</t>
  </si>
  <si>
    <t>Cash Flow - Indirect Method | CVC Corp</t>
  </si>
  <si>
    <t>Management View</t>
  </si>
  <si>
    <t>Choose the scenarios</t>
  </si>
  <si>
    <t>(Income/ loss) before income tax and social contribution</t>
  </si>
  <si>
    <t>Adjustments to reconcile income (loss) for the period with cash from operating activities</t>
  </si>
  <si>
    <t>Impairment loss of accounts receivable</t>
  </si>
  <si>
    <t>Interest and inflation adjustments and exchange-rate changes</t>
  </si>
  <si>
    <t>Provisions (reversal) for lawsuits and proceedings</t>
  </si>
  <si>
    <t>Changes in fair value of the call option</t>
  </si>
  <si>
    <t>Impairment of Submarino Viagens</t>
  </si>
  <si>
    <t>Write-off of property, plant and equipment, intangible assets and lease contracts</t>
  </si>
  <si>
    <t>Other provisions</t>
  </si>
  <si>
    <t>Decrease (increase) in assets and liabilities</t>
  </si>
  <si>
    <t>Trade accounts receivable</t>
  </si>
  <si>
    <t>Advances to suppliers</t>
  </si>
  <si>
    <t>Advanced travel agreements of tour packages</t>
  </si>
  <si>
    <t>Changes in taxes recoverable/payable</t>
  </si>
  <si>
    <t>Settlement of financial instruments</t>
  </si>
  <si>
    <t>Salaries and social charges</t>
  </si>
  <si>
    <t>Income tax and social contribution paid</t>
  </si>
  <si>
    <t>Lawsuits and proceedings</t>
  </si>
  <si>
    <t>Changes in other assets</t>
  </si>
  <si>
    <t>Changes in other liabilities</t>
  </si>
  <si>
    <t>Net cash Flow from operating activities</t>
  </si>
  <si>
    <t>Property, plant and equipment</t>
  </si>
  <si>
    <t>Intangible assets</t>
  </si>
  <si>
    <t xml:space="preserve">Acquisitions of subsidiaries and investees </t>
  </si>
  <si>
    <t>Net cash invested in investment activities (Capex)</t>
  </si>
  <si>
    <t>Raising of debentures and loans</t>
  </si>
  <si>
    <t>Settlement of debentures and loans</t>
  </si>
  <si>
    <t xml:space="preserve">Capital increase </t>
  </si>
  <si>
    <t>Interest paid</t>
  </si>
  <si>
    <t>Settlement of derivative instruments</t>
  </si>
  <si>
    <t>Dividends paid</t>
  </si>
  <si>
    <t>Acquisition of own shares</t>
  </si>
  <si>
    <t>Exercise of options with the sale of treasury shares</t>
  </si>
  <si>
    <t>Acquisition of subsidiaries</t>
  </si>
  <si>
    <t>Payment of lease - IFRS16</t>
  </si>
  <si>
    <t>Net cash (invested in) from financing activities</t>
  </si>
  <si>
    <t>Exchange-rate change and cash and cash equivalents</t>
  </si>
  <si>
    <t>Increase (decrease) in cash and cash equivalents, net</t>
  </si>
  <si>
    <t>Cash and cash equivalents at the beginning of the period</t>
  </si>
  <si>
    <t>Cash and cash equivalents at the end of the period</t>
  </si>
  <si>
    <t>Advance of receivables (net)</t>
  </si>
  <si>
    <t>Pax (in thousand)</t>
  </si>
  <si>
    <t>Average ticket (in R$)</t>
  </si>
  <si>
    <t>Allowance for doubtful accounts</t>
  </si>
  <si>
    <t>Marketing expenses</t>
  </si>
  <si>
    <t>Credit Card Fee</t>
  </si>
  <si>
    <t>Other Operating Income/Expenses</t>
  </si>
  <si>
    <t>2Q22</t>
  </si>
  <si>
    <t>3Q22</t>
  </si>
  <si>
    <t>4Q22</t>
  </si>
  <si>
    <t>Statement of Income | Brazil</t>
  </si>
  <si>
    <t>Asset and Liabilities by segment | Brazil</t>
  </si>
  <si>
    <t>ASSETS</t>
  </si>
  <si>
    <t>Goodwill</t>
  </si>
  <si>
    <t>Fixed asset</t>
  </si>
  <si>
    <t>Intangible asset</t>
  </si>
  <si>
    <t>Expenses paid in advance</t>
  </si>
  <si>
    <t>Right to use lease</t>
  </si>
  <si>
    <t>Other assets by segment</t>
  </si>
  <si>
    <t>LIABILITIES</t>
  </si>
  <si>
    <t>Contracts to be shipped early</t>
  </si>
  <si>
    <t>Other liabilities per segment</t>
  </si>
  <si>
    <t>Main indicators | Argentina</t>
  </si>
  <si>
    <t>Statement of Income | Argentina</t>
  </si>
  <si>
    <t>Asset and Liabilities by segment | Argentina</t>
  </si>
  <si>
    <t>Other liabilities by segment</t>
  </si>
  <si>
    <t>Historical Spreadsheet</t>
  </si>
  <si>
    <t>2022 - 2024</t>
  </si>
  <si>
    <t>Unaudited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</si>
</sst>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1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14">
      <alignment horizontal="left" vertical="center"/>
    </xf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8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174" fontId="31" fillId="6" borderId="10" xfId="4" applyNumberFormat="1" applyFont="1" applyFill="1" applyBorder="1" applyAlignment="1">
      <alignment horizontal="right" vertical="center"/>
    </xf>
    <xf numFmtId="171" fontId="33" fillId="0" borderId="11" xfId="4" applyNumberFormat="1" applyFont="1" applyFill="1" applyBorder="1" applyAlignment="1">
      <alignment horizontal="right" vertical="center"/>
    </xf>
    <xf numFmtId="171" fontId="33" fillId="0" borderId="6" xfId="4" applyNumberFormat="1" applyFont="1" applyFill="1" applyBorder="1" applyAlignment="1">
      <alignment horizontal="right" vertical="center"/>
    </xf>
    <xf numFmtId="167" fontId="31" fillId="6" borderId="10" xfId="4" applyNumberFormat="1" applyFont="1" applyFill="1" applyBorder="1" applyAlignment="1">
      <alignment horizontal="right" vertical="center"/>
    </xf>
    <xf numFmtId="173" fontId="33" fillId="0" borderId="11" xfId="3" applyNumberFormat="1" applyFont="1" applyFill="1" applyBorder="1" applyAlignment="1">
      <alignment horizontal="right" vertical="center"/>
    </xf>
    <xf numFmtId="173" fontId="33" fillId="0" borderId="6" xfId="3" applyNumberFormat="1" applyFont="1" applyFill="1" applyBorder="1" applyAlignment="1">
      <alignment horizontal="right" vertical="center"/>
    </xf>
    <xf numFmtId="174" fontId="31" fillId="10" borderId="10" xfId="4" applyNumberFormat="1" applyFont="1" applyFill="1" applyBorder="1" applyAlignment="1">
      <alignment horizontal="right" vertical="center"/>
    </xf>
    <xf numFmtId="173" fontId="31" fillId="10" borderId="10" xfId="3" applyNumberFormat="1" applyFont="1" applyFill="1" applyBorder="1" applyAlignment="1">
      <alignment horizontal="right" vertical="center"/>
    </xf>
    <xf numFmtId="168" fontId="31" fillId="0" borderId="1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9" xfId="0" applyFont="1" applyBorder="1" applyAlignment="1">
      <alignment horizontal="left" vertical="center" indent="2"/>
    </xf>
    <xf numFmtId="168" fontId="31" fillId="10" borderId="10" xfId="4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74" fontId="31" fillId="4" borderId="10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0" xfId="4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3" fontId="31" fillId="0" borderId="10" xfId="3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2"/>
    </xf>
    <xf numFmtId="0" fontId="32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71" fontId="31" fillId="0" borderId="10" xfId="4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3"/>
    </xf>
    <xf numFmtId="0" fontId="17" fillId="0" borderId="11" xfId="0" applyFont="1" applyBorder="1" applyAlignment="1">
      <alignment horizontal="left" vertical="center" indent="6"/>
    </xf>
    <xf numFmtId="0" fontId="5" fillId="0" borderId="10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1" xfId="0" applyFont="1" applyFill="1" applyBorder="1" applyAlignment="1">
      <alignment horizontal="left" vertical="center"/>
    </xf>
    <xf numFmtId="168" fontId="31" fillId="10" borderId="13" xfId="4" applyNumberFormat="1" applyFont="1" applyFill="1" applyBorder="1" applyAlignment="1">
      <alignment horizontal="right" vertical="center"/>
    </xf>
    <xf numFmtId="168" fontId="31" fillId="10" borderId="11" xfId="4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indent="2"/>
    </xf>
    <xf numFmtId="168" fontId="31" fillId="5" borderId="9" xfId="4" applyNumberFormat="1" applyFont="1" applyFill="1" applyBorder="1" applyAlignment="1">
      <alignment horizontal="right" vertical="center"/>
    </xf>
    <xf numFmtId="168" fontId="34" fillId="0" borderId="10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0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4" fillId="0" borderId="0" xfId="0" applyFont="1" applyAlignment="1">
      <alignment vertical="center"/>
    </xf>
    <xf numFmtId="164" fontId="36" fillId="7" borderId="0" xfId="1" applyNumberFormat="1" applyFont="1" applyFill="1"/>
    <xf numFmtId="169" fontId="35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0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8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3" fillId="0" borderId="11" xfId="4" applyNumberFormat="1" applyFont="1" applyFill="1" applyBorder="1" applyAlignment="1">
      <alignment horizontal="right" vertical="center"/>
    </xf>
    <xf numFmtId="9" fontId="8" fillId="10" borderId="11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BS!A1"/><Relationship Id="rId13" Type="http://schemas.openxmlformats.org/officeDocument/2006/relationships/hyperlink" Target="#Corp_Stores!A1"/><Relationship Id="rId3" Type="http://schemas.openxmlformats.org/officeDocument/2006/relationships/hyperlink" Target="#Corp_Indicators!A1"/><Relationship Id="rId7" Type="http://schemas.openxmlformats.org/officeDocument/2006/relationships/hyperlink" Target="#BR_BS!A1"/><Relationship Id="rId12" Type="http://schemas.openxmlformats.org/officeDocument/2006/relationships/hyperlink" Target="#Corp_CF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S!A1"/><Relationship Id="rId11" Type="http://schemas.openxmlformats.org/officeDocument/2006/relationships/hyperlink" Target="#AR_IS!A1"/><Relationship Id="rId5" Type="http://schemas.openxmlformats.org/officeDocument/2006/relationships/hyperlink" Target="#AR_Indicadores!A1"/><Relationship Id="rId10" Type="http://schemas.openxmlformats.org/officeDocument/2006/relationships/hyperlink" Target="#BR_IS!A1"/><Relationship Id="rId4" Type="http://schemas.openxmlformats.org/officeDocument/2006/relationships/hyperlink" Target="#BR_Indicators!A1"/><Relationship Id="rId9" Type="http://schemas.openxmlformats.org/officeDocument/2006/relationships/hyperlink" Target="#Corp_SI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20270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62103"/>
          <a:ext cx="1220270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&amp; Lieabilities per segment</a:t>
          </a:r>
        </a:p>
      </xdr:txBody>
    </xdr:sp>
    <xdr:clientData/>
  </xdr:oneCellAnchor>
  <xdr:oneCellAnchor>
    <xdr:from>
      <xdr:col>0</xdr:col>
      <xdr:colOff>116416</xdr:colOff>
      <xdr:row>11</xdr:row>
      <xdr:rowOff>62670</xdr:rowOff>
    </xdr:from>
    <xdr:ext cx="1461939" cy="279948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548695"/>
          <a:ext cx="1461939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Income Statements</a:t>
          </a: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933525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2998662"/>
          <a:ext cx="933525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Statements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46331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33101"/>
          <a:ext cx="1346331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17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0</xdr:rowOff>
    </xdr:from>
    <xdr:to>
      <xdr:col>0</xdr:col>
      <xdr:colOff>732700</xdr:colOff>
      <xdr:row>36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770894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224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">
        <v>225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 t="s">
        <v>226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86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4" width="12" style="12" customWidth="1"/>
    <col min="25" max="16384" width="9" style="12"/>
  </cols>
  <sheetData>
    <row r="1" spans="1:24" ht="17.25">
      <c r="A1" s="192"/>
      <c r="B1" s="171"/>
      <c r="C1" s="171"/>
      <c r="D1" s="171"/>
      <c r="N1" s="152"/>
      <c r="O1" s="152"/>
      <c r="P1" s="152"/>
    </row>
    <row r="2" spans="1:24" ht="17.25">
      <c r="A2" s="192"/>
      <c r="B2" s="171"/>
      <c r="C2" s="171"/>
      <c r="D2" s="171"/>
    </row>
    <row r="3" spans="1:24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6.5" customHeight="1">
      <c r="A4" s="29" t="s">
        <v>209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</row>
    <row r="5" spans="1:24" ht="16.5" customHeight="1">
      <c r="A5" s="25" t="s">
        <v>47</v>
      </c>
      <c r="B5" s="26"/>
      <c r="C5" s="26"/>
      <c r="D5" s="26"/>
      <c r="E5" s="12"/>
      <c r="F5" s="12"/>
      <c r="G5" s="12"/>
      <c r="J5" s="12"/>
      <c r="K5" s="12"/>
    </row>
    <row r="6" spans="1:24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24" s="13" customFormat="1">
      <c r="A7" s="37" t="s">
        <v>210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s="13" customFormat="1">
      <c r="A8" s="177" t="s">
        <v>211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</row>
    <row r="9" spans="1:24" s="13" customFormat="1">
      <c r="A9" s="177" t="s">
        <v>212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</row>
    <row r="10" spans="1:24" s="13" customFormat="1">
      <c r="A10" s="177" t="s">
        <v>213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</row>
    <row r="11" spans="1:24" s="13" customFormat="1">
      <c r="A11" s="177" t="s">
        <v>112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</row>
    <row r="12" spans="1:24" s="13" customFormat="1">
      <c r="A12" s="177" t="s">
        <v>169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</row>
    <row r="13" spans="1:24" s="13" customFormat="1">
      <c r="A13" s="177" t="s">
        <v>214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</row>
    <row r="14" spans="1:24" s="13" customFormat="1">
      <c r="A14" s="177" t="s">
        <v>215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</row>
    <row r="15" spans="1:24" s="13" customFormat="1">
      <c r="A15" s="177" t="s">
        <v>216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</row>
    <row r="16" spans="1:24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f t="shared" ref="X16" si="1">SUM(X8:X15)</f>
        <v>2387.0300000000007</v>
      </c>
    </row>
    <row r="17" spans="1:26">
      <c r="A17" s="41"/>
      <c r="E17" s="57"/>
      <c r="F17" s="57"/>
      <c r="G17" s="57"/>
      <c r="H17" s="57"/>
      <c r="I17" s="57"/>
      <c r="J17" s="57"/>
      <c r="K17" s="57"/>
      <c r="L17" s="5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Z17" s="13"/>
    </row>
    <row r="18" spans="1:26" s="13" customFormat="1">
      <c r="A18" s="37" t="s">
        <v>217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spans="1:26">
      <c r="A19" s="177" t="s">
        <v>128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  <c r="Z19" s="13"/>
    </row>
    <row r="20" spans="1:26">
      <c r="A20" s="177" t="s">
        <v>218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  <c r="Z20" s="13"/>
    </row>
    <row r="21" spans="1:26">
      <c r="A21" s="177" t="s">
        <v>219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  <c r="Z21" s="13"/>
    </row>
    <row r="22" spans="1:26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2">SUM(R19:R21)</f>
        <v>1829.1539999999998</v>
      </c>
      <c r="S22" s="55">
        <f t="shared" si="2"/>
        <v>2061.8319999999999</v>
      </c>
      <c r="T22" s="55">
        <f t="shared" si="2"/>
        <v>2053.8009999999999</v>
      </c>
      <c r="U22" s="55">
        <f t="shared" si="2"/>
        <v>1983.2180000000001</v>
      </c>
      <c r="V22" s="55">
        <f t="shared" si="2"/>
        <v>1984.8489999999999</v>
      </c>
      <c r="W22" s="55">
        <f t="shared" si="2"/>
        <v>2112.2069999999999</v>
      </c>
      <c r="X22" s="55">
        <f t="shared" ref="X22" si="3">SUM(X19:X21)</f>
        <v>2154.6469999999999</v>
      </c>
      <c r="Z22" s="13"/>
    </row>
    <row r="23" spans="1:26" s="13" customFormat="1">
      <c r="A23"/>
      <c r="B23"/>
      <c r="C23"/>
      <c r="D23"/>
      <c r="E23"/>
      <c r="F23"/>
      <c r="G23"/>
      <c r="H23"/>
      <c r="I23"/>
      <c r="J23"/>
      <c r="K23"/>
      <c r="Q23" s="168"/>
      <c r="R23" s="168"/>
      <c r="S23" s="168"/>
      <c r="T23" s="168"/>
      <c r="U23" s="168"/>
      <c r="V23" s="168"/>
      <c r="W23" s="168"/>
      <c r="X23" s="168"/>
    </row>
    <row r="24" spans="1:26">
      <c r="E24"/>
      <c r="F24"/>
      <c r="G24"/>
      <c r="J24"/>
      <c r="K24"/>
    </row>
    <row r="27" spans="1:26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</row>
    <row r="28" spans="1:26">
      <c r="E28"/>
      <c r="F28"/>
      <c r="G28"/>
      <c r="J28"/>
      <c r="K28"/>
      <c r="O28" s="51"/>
      <c r="P28" s="51"/>
    </row>
    <row r="29" spans="1:26">
      <c r="O29" s="51"/>
      <c r="P29" s="51"/>
    </row>
    <row r="30" spans="1:26">
      <c r="E30" s="36"/>
      <c r="F30" s="36"/>
      <c r="G30" s="36"/>
      <c r="H30" s="36"/>
      <c r="I30" s="36"/>
      <c r="J30" s="36"/>
      <c r="K30" s="36"/>
      <c r="O30" s="51"/>
      <c r="P30" s="51"/>
    </row>
    <row r="31" spans="1:26">
      <c r="E31" s="36"/>
      <c r="F31" s="36"/>
      <c r="G31" s="36"/>
      <c r="H31" s="36"/>
      <c r="I31" s="36"/>
      <c r="J31" s="36"/>
      <c r="K31" s="36"/>
      <c r="O31" s="51"/>
      <c r="P31" s="51"/>
    </row>
    <row r="32" spans="1:26">
      <c r="E32" s="36"/>
      <c r="F32" s="36"/>
      <c r="G32" s="36"/>
      <c r="H32" s="36"/>
      <c r="I32" s="36"/>
      <c r="J32" s="36"/>
      <c r="K32" s="36"/>
      <c r="O32" s="51"/>
      <c r="P32" s="51"/>
    </row>
    <row r="33" spans="5:16">
      <c r="E33" s="36"/>
      <c r="F33" s="36"/>
      <c r="G33" s="36"/>
      <c r="H33" s="36"/>
      <c r="I33" s="36"/>
      <c r="J33" s="36"/>
      <c r="K33" s="36"/>
      <c r="O33" s="51"/>
      <c r="P33" s="51"/>
    </row>
    <row r="34" spans="5:16">
      <c r="E34" s="36"/>
      <c r="F34" s="36"/>
      <c r="G34" s="36"/>
      <c r="H34" s="36"/>
      <c r="I34" s="36"/>
      <c r="J34" s="36"/>
      <c r="K34" s="36"/>
      <c r="O34" s="51"/>
      <c r="P34" s="51"/>
    </row>
    <row r="35" spans="5:16">
      <c r="E35" s="36"/>
      <c r="F35" s="36"/>
      <c r="G35" s="36"/>
      <c r="H35" s="36"/>
      <c r="I35" s="36"/>
      <c r="J35" s="36"/>
      <c r="K35" s="36"/>
      <c r="O35" s="51"/>
      <c r="P35" s="51"/>
    </row>
    <row r="36" spans="5:16">
      <c r="E36" s="36"/>
      <c r="F36" s="36"/>
      <c r="G36" s="36"/>
      <c r="H36" s="36"/>
      <c r="I36" s="36"/>
      <c r="J36" s="36"/>
      <c r="K36" s="36"/>
      <c r="O36" s="51"/>
      <c r="P36" s="51"/>
    </row>
    <row r="37" spans="5:16">
      <c r="E37" s="36"/>
      <c r="F37" s="36"/>
      <c r="G37" s="36"/>
      <c r="H37" s="36"/>
      <c r="I37" s="36"/>
      <c r="J37" s="36"/>
      <c r="K37" s="36"/>
      <c r="O37" s="51"/>
      <c r="P37" s="51"/>
    </row>
    <row r="38" spans="5:16">
      <c r="E38" s="36"/>
      <c r="F38" s="36"/>
      <c r="G38" s="36"/>
      <c r="H38" s="36"/>
      <c r="I38" s="36"/>
      <c r="J38" s="36"/>
      <c r="K38" s="36"/>
      <c r="O38" s="51"/>
      <c r="P38" s="51"/>
    </row>
    <row r="39" spans="5:16">
      <c r="E39" s="36"/>
      <c r="F39" s="36"/>
      <c r="G39" s="36"/>
      <c r="H39" s="36"/>
      <c r="I39" s="36"/>
      <c r="J39" s="36"/>
      <c r="K39" s="36"/>
      <c r="O39" s="51"/>
      <c r="P39" s="51"/>
    </row>
    <row r="40" spans="5:16">
      <c r="E40" s="36"/>
      <c r="F40" s="36"/>
      <c r="G40" s="36"/>
      <c r="H40" s="36"/>
      <c r="I40" s="36"/>
      <c r="J40" s="36"/>
      <c r="K40" s="36"/>
      <c r="O40" s="51"/>
      <c r="P40" s="51"/>
    </row>
    <row r="41" spans="5:16">
      <c r="E41" s="36"/>
      <c r="F41" s="36"/>
      <c r="G41" s="36"/>
      <c r="H41" s="36"/>
      <c r="I41" s="36"/>
      <c r="J41" s="36"/>
      <c r="K41" s="36"/>
      <c r="O41" s="51"/>
      <c r="P41" s="51"/>
    </row>
    <row r="42" spans="5:16">
      <c r="E42" s="36"/>
      <c r="F42" s="36"/>
      <c r="G42" s="36"/>
      <c r="H42" s="36"/>
      <c r="I42" s="36"/>
      <c r="J42" s="36"/>
      <c r="K42" s="36"/>
      <c r="O42" s="51"/>
      <c r="P42" s="51"/>
    </row>
    <row r="43" spans="5:16">
      <c r="E43" s="36"/>
      <c r="F43" s="36"/>
      <c r="G43" s="36"/>
      <c r="H43" s="36"/>
      <c r="I43" s="36"/>
      <c r="J43" s="36"/>
      <c r="K43" s="36"/>
      <c r="O43" s="51"/>
      <c r="P43" s="51"/>
    </row>
    <row r="44" spans="5:16">
      <c r="E44" s="36"/>
      <c r="F44" s="36"/>
      <c r="G44" s="36"/>
      <c r="H44" s="36"/>
      <c r="I44" s="36"/>
      <c r="J44" s="36"/>
      <c r="K44" s="36"/>
      <c r="O44" s="51"/>
      <c r="P44" s="51"/>
    </row>
    <row r="45" spans="5:16">
      <c r="E45" s="36"/>
      <c r="F45" s="36"/>
      <c r="G45" s="36"/>
      <c r="H45" s="36"/>
      <c r="I45" s="36"/>
      <c r="J45" s="36"/>
      <c r="K45" s="36"/>
      <c r="O45" s="51"/>
      <c r="P45" s="51"/>
    </row>
    <row r="46" spans="5:16">
      <c r="E46" s="36"/>
      <c r="F46" s="36"/>
      <c r="G46" s="36"/>
      <c r="H46" s="36"/>
      <c r="I46" s="36"/>
      <c r="J46" s="36"/>
      <c r="K46" s="36"/>
      <c r="O46" s="51"/>
      <c r="P46" s="51"/>
    </row>
    <row r="47" spans="5:16">
      <c r="E47" s="36"/>
      <c r="F47" s="36"/>
      <c r="G47" s="36"/>
      <c r="H47" s="36"/>
      <c r="I47" s="36"/>
      <c r="J47" s="36"/>
      <c r="K47" s="36"/>
      <c r="O47" s="51"/>
      <c r="P47" s="51"/>
    </row>
    <row r="48" spans="5:16">
      <c r="E48" s="36"/>
      <c r="F48" s="36"/>
      <c r="G48" s="36"/>
      <c r="H48" s="36"/>
      <c r="I48" s="36"/>
      <c r="J48" s="36"/>
      <c r="K48" s="36"/>
      <c r="O48" s="51"/>
      <c r="P48" s="51"/>
    </row>
    <row r="49" spans="5:16">
      <c r="E49" s="36"/>
      <c r="F49" s="36"/>
      <c r="G49" s="36"/>
      <c r="H49" s="36"/>
      <c r="I49" s="36"/>
      <c r="J49" s="36"/>
      <c r="K49" s="36"/>
      <c r="O49" s="51"/>
      <c r="P49" s="51"/>
    </row>
    <row r="50" spans="5:16">
      <c r="E50" s="36"/>
      <c r="F50" s="36"/>
      <c r="G50" s="36"/>
      <c r="H50" s="36"/>
      <c r="I50" s="36"/>
      <c r="J50" s="36"/>
      <c r="K50" s="36"/>
      <c r="O50" s="51"/>
      <c r="P50" s="51"/>
    </row>
    <row r="51" spans="5:16">
      <c r="E51" s="36"/>
      <c r="F51" s="36"/>
      <c r="G51" s="36"/>
      <c r="H51" s="36"/>
      <c r="I51" s="36"/>
      <c r="J51" s="36"/>
      <c r="K51" s="36"/>
      <c r="O51" s="51"/>
      <c r="P51" s="51"/>
    </row>
    <row r="52" spans="5:16">
      <c r="E52" s="36"/>
      <c r="F52" s="36"/>
      <c r="G52" s="36"/>
      <c r="H52" s="36"/>
      <c r="I52" s="36"/>
      <c r="J52" s="36"/>
      <c r="K52" s="36"/>
      <c r="O52" s="51"/>
      <c r="P52" s="51"/>
    </row>
    <row r="53" spans="5:16">
      <c r="E53" s="36"/>
      <c r="F53" s="36"/>
      <c r="G53" s="36"/>
      <c r="H53" s="36"/>
      <c r="I53" s="36"/>
      <c r="J53" s="36"/>
      <c r="K53" s="36"/>
      <c r="O53" s="51"/>
      <c r="P53" s="51"/>
    </row>
    <row r="54" spans="5:16">
      <c r="E54" s="36"/>
      <c r="F54" s="36"/>
      <c r="G54" s="36"/>
      <c r="H54" s="36"/>
      <c r="I54" s="36"/>
      <c r="J54" s="36"/>
      <c r="K54" s="36"/>
      <c r="O54" s="51"/>
      <c r="P54" s="51"/>
    </row>
    <row r="55" spans="5:16">
      <c r="E55" s="36"/>
      <c r="F55" s="36"/>
      <c r="G55" s="36"/>
      <c r="H55" s="36"/>
      <c r="I55" s="36"/>
      <c r="J55" s="36"/>
      <c r="K55" s="36"/>
    </row>
    <row r="56" spans="5:16">
      <c r="E56" s="36"/>
      <c r="F56" s="36"/>
      <c r="G56" s="36"/>
      <c r="H56" s="36"/>
      <c r="I56" s="36"/>
      <c r="J56" s="36"/>
      <c r="K56" s="36"/>
    </row>
    <row r="57" spans="5:16">
      <c r="E57" s="36"/>
      <c r="F57" s="36"/>
      <c r="G57" s="36"/>
      <c r="H57" s="36"/>
      <c r="I57" s="36"/>
      <c r="J57" s="36"/>
      <c r="K57" s="36"/>
    </row>
    <row r="58" spans="5:16">
      <c r="E58" s="36"/>
      <c r="F58" s="36"/>
      <c r="G58" s="36"/>
      <c r="H58" s="36"/>
      <c r="I58" s="36"/>
      <c r="J58" s="36"/>
      <c r="K58" s="36"/>
    </row>
    <row r="59" spans="5:16">
      <c r="E59" s="36"/>
      <c r="F59" s="36"/>
      <c r="G59" s="36"/>
      <c r="H59" s="36"/>
      <c r="I59" s="36"/>
      <c r="J59" s="36"/>
      <c r="K59" s="36"/>
    </row>
    <row r="60" spans="5:16">
      <c r="E60" s="36"/>
      <c r="F60" s="36"/>
      <c r="G60" s="36"/>
      <c r="H60" s="36"/>
      <c r="I60" s="36"/>
      <c r="J60" s="36"/>
      <c r="K60" s="36"/>
    </row>
    <row r="61" spans="5:16">
      <c r="E61" s="36"/>
      <c r="F61" s="36"/>
      <c r="G61" s="36"/>
      <c r="H61" s="36"/>
      <c r="I61" s="36"/>
      <c r="J61" s="36"/>
      <c r="K61" s="36"/>
    </row>
    <row r="62" spans="5:16">
      <c r="E62" s="36"/>
      <c r="F62" s="36"/>
      <c r="G62" s="36"/>
      <c r="H62" s="36"/>
      <c r="I62" s="36"/>
      <c r="J62" s="36"/>
      <c r="K62" s="36"/>
    </row>
    <row r="63" spans="5:16">
      <c r="E63" s="36"/>
      <c r="F63" s="36"/>
      <c r="G63" s="36"/>
      <c r="H63" s="36"/>
      <c r="I63" s="36"/>
      <c r="J63" s="36"/>
      <c r="K63" s="36"/>
    </row>
    <row r="64" spans="5:16">
      <c r="E64" s="36"/>
      <c r="F64" s="36"/>
      <c r="G64" s="36"/>
      <c r="H64" s="36"/>
      <c r="I64" s="36"/>
      <c r="J64" s="36"/>
      <c r="K64" s="36"/>
    </row>
    <row r="65" spans="5:11">
      <c r="E65" s="36"/>
      <c r="F65" s="36"/>
      <c r="G65" s="36"/>
      <c r="H65" s="36"/>
      <c r="I65" s="36"/>
      <c r="J65" s="36"/>
      <c r="K65" s="36"/>
    </row>
    <row r="66" spans="5:11">
      <c r="E66" s="36"/>
      <c r="F66" s="36"/>
      <c r="G66" s="36"/>
      <c r="H66" s="36"/>
      <c r="I66" s="36"/>
      <c r="J66" s="36"/>
      <c r="K66" s="36"/>
    </row>
    <row r="67" spans="5:11">
      <c r="E67" s="36"/>
      <c r="F67" s="36"/>
      <c r="G67" s="36"/>
      <c r="H67" s="36"/>
      <c r="I67" s="36"/>
      <c r="J67" s="36"/>
      <c r="K67" s="36"/>
    </row>
    <row r="68" spans="5:11">
      <c r="E68" s="36"/>
      <c r="F68" s="36"/>
      <c r="G68" s="36"/>
      <c r="H68" s="36"/>
      <c r="I68" s="36"/>
      <c r="J68" s="36"/>
      <c r="K68" s="36"/>
    </row>
    <row r="69" spans="5:11">
      <c r="E69" s="36"/>
      <c r="F69" s="36"/>
      <c r="G69" s="36"/>
      <c r="H69" s="36"/>
      <c r="I69" s="36"/>
      <c r="J69" s="36"/>
      <c r="K69" s="36"/>
    </row>
    <row r="70" spans="5:11">
      <c r="E70" s="36"/>
      <c r="F70" s="36"/>
      <c r="G70" s="36"/>
      <c r="H70" s="36"/>
      <c r="I70" s="36"/>
      <c r="J70" s="36"/>
      <c r="K70" s="36"/>
    </row>
    <row r="71" spans="5:11">
      <c r="E71" s="36"/>
      <c r="F71" s="36"/>
      <c r="G71" s="36"/>
      <c r="H71" s="36"/>
      <c r="I71" s="36"/>
      <c r="J71" s="36"/>
      <c r="K71" s="36"/>
    </row>
    <row r="72" spans="5:11">
      <c r="E72" s="36"/>
      <c r="F72" s="36"/>
      <c r="G72" s="36"/>
      <c r="H72" s="36"/>
      <c r="I72" s="36"/>
      <c r="J72" s="36"/>
      <c r="K72" s="36"/>
    </row>
    <row r="73" spans="5:11">
      <c r="E73" s="36"/>
      <c r="F73" s="36"/>
      <c r="G73" s="36"/>
      <c r="H73" s="36"/>
      <c r="I73" s="36"/>
      <c r="J73" s="36"/>
      <c r="K73" s="36"/>
    </row>
    <row r="74" spans="5:11">
      <c r="E74" s="36"/>
      <c r="F74" s="36"/>
      <c r="G74" s="36"/>
      <c r="H74" s="36"/>
      <c r="I74" s="36"/>
      <c r="J74" s="36"/>
      <c r="K74" s="36"/>
    </row>
    <row r="75" spans="5:11">
      <c r="E75" s="36"/>
      <c r="F75" s="36"/>
      <c r="G75" s="36"/>
      <c r="H75" s="36"/>
      <c r="I75" s="36"/>
      <c r="J75" s="36"/>
      <c r="K75" s="36"/>
    </row>
    <row r="76" spans="5:11">
      <c r="E76" s="36"/>
      <c r="F76" s="36"/>
      <c r="G76" s="36"/>
      <c r="H76" s="36"/>
      <c r="I76" s="36"/>
      <c r="J76" s="36"/>
      <c r="K76" s="36"/>
    </row>
    <row r="77" spans="5:11">
      <c r="E77" s="36"/>
      <c r="F77" s="36"/>
      <c r="G77" s="36"/>
      <c r="H77" s="36"/>
      <c r="I77" s="36"/>
      <c r="J77" s="36"/>
      <c r="K77" s="36"/>
    </row>
    <row r="78" spans="5:11">
      <c r="E78" s="36"/>
      <c r="F78" s="36"/>
      <c r="G78" s="36"/>
      <c r="H78" s="36"/>
      <c r="I78" s="36"/>
      <c r="J78" s="36"/>
      <c r="K78" s="36"/>
    </row>
    <row r="79" spans="5:11">
      <c r="E79" s="36"/>
      <c r="F79" s="36"/>
      <c r="G79" s="36"/>
      <c r="H79" s="36"/>
      <c r="I79" s="36"/>
      <c r="J79" s="36"/>
      <c r="K79" s="36"/>
    </row>
    <row r="80" spans="5:11">
      <c r="E80" s="36"/>
      <c r="F80" s="36"/>
      <c r="G80" s="36"/>
      <c r="H80" s="36"/>
      <c r="I80" s="36"/>
      <c r="J80" s="36"/>
      <c r="K80" s="36"/>
    </row>
    <row r="81" spans="5:11">
      <c r="E81" s="36"/>
      <c r="F81" s="36"/>
      <c r="G81" s="36"/>
      <c r="H81" s="36"/>
      <c r="I81" s="36"/>
      <c r="J81" s="36"/>
      <c r="K81" s="36"/>
    </row>
    <row r="82" spans="5:11">
      <c r="E82" s="36"/>
      <c r="F82" s="36"/>
      <c r="G82" s="36"/>
      <c r="H82" s="36"/>
      <c r="I82" s="36"/>
      <c r="J82" s="36"/>
      <c r="K82" s="36"/>
    </row>
    <row r="83" spans="5:11">
      <c r="E83" s="36"/>
      <c r="F83" s="36"/>
      <c r="G83" s="36"/>
      <c r="H83" s="36"/>
      <c r="I83" s="36"/>
      <c r="J83" s="36"/>
      <c r="K83" s="36"/>
    </row>
    <row r="84" spans="5:11">
      <c r="E84" s="36"/>
      <c r="F84" s="36"/>
      <c r="G84" s="36"/>
      <c r="H84" s="36"/>
      <c r="I84" s="36"/>
      <c r="J84" s="36"/>
      <c r="K84" s="36"/>
    </row>
    <row r="85" spans="5:11">
      <c r="E85" s="36"/>
      <c r="F85" s="36"/>
      <c r="G85" s="36"/>
      <c r="H85" s="36"/>
      <c r="I85" s="36"/>
      <c r="J85" s="36"/>
      <c r="K85" s="36"/>
    </row>
    <row r="86" spans="5:11">
      <c r="E86" s="36"/>
      <c r="F86" s="36"/>
      <c r="G86" s="36"/>
      <c r="H86" s="36"/>
      <c r="I86" s="36"/>
      <c r="J86" s="36"/>
      <c r="K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B21"/>
  <sheetViews>
    <sheetView showGridLines="0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220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18</v>
      </c>
      <c r="S4" s="34" t="s">
        <v>19</v>
      </c>
      <c r="T4" s="34" t="s">
        <v>20</v>
      </c>
      <c r="U4" s="34" t="s">
        <v>21</v>
      </c>
      <c r="V4" s="34" t="s">
        <v>22</v>
      </c>
      <c r="W4" s="34" t="s">
        <v>23</v>
      </c>
      <c r="X4" s="34" t="s">
        <v>40</v>
      </c>
      <c r="Y4" s="34" t="s">
        <v>41</v>
      </c>
      <c r="Z4" s="34" t="s">
        <v>42</v>
      </c>
      <c r="AA4" s="34" t="s">
        <v>43</v>
      </c>
      <c r="AB4" s="34" t="s">
        <v>45</v>
      </c>
    </row>
    <row r="5" spans="1:28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8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8" s="118" customFormat="1">
      <c r="A7" s="116" t="s">
        <v>48</v>
      </c>
      <c r="B7" s="159">
        <v>746.25855288918945</v>
      </c>
      <c r="C7" s="159">
        <v>795.8915903126483</v>
      </c>
      <c r="D7" s="159">
        <v>851.96956651242522</v>
      </c>
      <c r="E7" s="159">
        <v>1122.9935576523344</v>
      </c>
      <c r="F7" s="117">
        <v>545.6</v>
      </c>
      <c r="G7" s="117">
        <v>68.8</v>
      </c>
      <c r="H7" s="117">
        <v>168</v>
      </c>
      <c r="I7" s="117">
        <v>951.9</v>
      </c>
      <c r="J7" s="117">
        <v>125.3</v>
      </c>
      <c r="K7" s="117">
        <v>210.7</v>
      </c>
      <c r="L7" s="117">
        <v>360.9</v>
      </c>
      <c r="M7" s="117">
        <v>814.7</v>
      </c>
      <c r="N7" s="117">
        <v>643.5</v>
      </c>
      <c r="O7" s="117">
        <v>889.4</v>
      </c>
      <c r="P7" s="117">
        <v>1182.4000000000001</v>
      </c>
      <c r="Q7" s="117">
        <v>952.5</v>
      </c>
      <c r="R7" s="117">
        <v>1073.2</v>
      </c>
      <c r="S7" s="117">
        <v>1084.3738818815409</v>
      </c>
      <c r="T7" s="117">
        <v>1000.4565745070802</v>
      </c>
      <c r="U7" s="117">
        <v>1147.5241632453271</v>
      </c>
      <c r="V7" s="117">
        <v>530.58220731306972</v>
      </c>
      <c r="W7" s="117">
        <v>673.13437836529499</v>
      </c>
      <c r="X7" s="117">
        <v>775.97769059269399</v>
      </c>
      <c r="Y7" s="117">
        <v>943.24905117779304</v>
      </c>
      <c r="Z7" s="117">
        <v>1071.4226364314575</v>
      </c>
      <c r="AA7" s="117">
        <v>924.45202860962297</v>
      </c>
      <c r="AB7" s="117">
        <v>923.36397576777938</v>
      </c>
    </row>
    <row r="8" spans="1:28">
      <c r="A8" s="97" t="s">
        <v>49</v>
      </c>
      <c r="B8" s="115">
        <v>746.25855288918945</v>
      </c>
      <c r="C8" s="115">
        <v>795.8915903126483</v>
      </c>
      <c r="D8" s="115">
        <v>851.96956651242522</v>
      </c>
      <c r="E8" s="115">
        <v>1122.9935576523344</v>
      </c>
      <c r="F8" s="115">
        <v>607.4</v>
      </c>
      <c r="G8" s="115">
        <v>24.7</v>
      </c>
      <c r="H8" s="115">
        <v>84.5</v>
      </c>
      <c r="I8" s="115">
        <v>218.8</v>
      </c>
      <c r="J8" s="115">
        <v>125.3</v>
      </c>
      <c r="K8" s="115">
        <v>210.7</v>
      </c>
      <c r="L8" s="115">
        <v>360.9</v>
      </c>
      <c r="M8" s="115">
        <v>814.7</v>
      </c>
      <c r="N8" s="115">
        <v>643.5</v>
      </c>
      <c r="O8" s="115">
        <v>889.4</v>
      </c>
      <c r="P8" s="115">
        <v>1182.4000000000001</v>
      </c>
      <c r="Q8" s="115">
        <v>952.5</v>
      </c>
      <c r="R8" s="115">
        <v>1140.5999999999999</v>
      </c>
      <c r="S8" s="115">
        <v>1066.4962809628619</v>
      </c>
      <c r="T8" s="115">
        <v>979.12592056854407</v>
      </c>
      <c r="U8" s="115">
        <v>1064.959220771342</v>
      </c>
      <c r="V8" s="115">
        <v>694.24777482071397</v>
      </c>
      <c r="W8" s="115">
        <v>674.84949396726108</v>
      </c>
      <c r="X8" s="115">
        <v>765.58744591101993</v>
      </c>
      <c r="Y8" s="115">
        <v>877.80483212986007</v>
      </c>
      <c r="Z8" s="115">
        <v>1146.1572709746861</v>
      </c>
      <c r="AA8" s="115">
        <v>913.04454638660104</v>
      </c>
      <c r="AB8" s="115">
        <v>916.52937895334173</v>
      </c>
    </row>
    <row r="9" spans="1:28">
      <c r="A9" s="96" t="s">
        <v>24</v>
      </c>
      <c r="B9" s="122">
        <v>2.3435577297292176E-2</v>
      </c>
      <c r="C9" s="122">
        <v>3.4661755866980656E-2</v>
      </c>
      <c r="D9" s="122">
        <v>0</v>
      </c>
      <c r="E9" s="122">
        <v>7.2794733079515714E-2</v>
      </c>
      <c r="F9" s="122">
        <v>8.2000000000000003E-2</v>
      </c>
      <c r="G9" s="122">
        <v>-0.06</v>
      </c>
      <c r="H9" s="122">
        <v>0.06</v>
      </c>
      <c r="I9" s="122">
        <v>9.7000000000000003E-2</v>
      </c>
      <c r="J9" s="122">
        <v>0.13</v>
      </c>
      <c r="K9" s="122">
        <v>0.12</v>
      </c>
      <c r="L9" s="122">
        <v>7.0999999999999994E-2</v>
      </c>
      <c r="M9" s="122">
        <v>6.4000000000000001E-2</v>
      </c>
      <c r="N9" s="122">
        <v>8.1000000000000003E-2</v>
      </c>
      <c r="O9" s="122">
        <v>6.6000000000000003E-2</v>
      </c>
      <c r="P9" s="122">
        <v>7.1999999999999995E-2</v>
      </c>
      <c r="Q9" s="122">
        <v>6.9000000000000006E-2</v>
      </c>
      <c r="R9" s="122">
        <v>6.5000000000000002E-2</v>
      </c>
      <c r="S9" s="122">
        <v>6.4499115783136801E-2</v>
      </c>
      <c r="T9" s="122">
        <v>7.1338608326349695E-2</v>
      </c>
      <c r="U9" s="122">
        <v>7.6985447075609059E-2</v>
      </c>
      <c r="V9" s="122">
        <v>8.6326899809620855E-2</v>
      </c>
      <c r="W9" s="122">
        <v>7.6093410786803095E-2</v>
      </c>
      <c r="X9" s="122">
        <v>7.1047915981148221E-2</v>
      </c>
      <c r="Y9" s="122">
        <v>6.482510163274445E-2</v>
      </c>
      <c r="Z9" s="122">
        <v>7.0695046732048961E-2</v>
      </c>
      <c r="AA9" s="122">
        <v>6.6117934697882422E-2</v>
      </c>
      <c r="AB9" s="122">
        <v>6.3296247936116906E-2</v>
      </c>
    </row>
    <row r="10" spans="1:28">
      <c r="A10" s="97" t="s">
        <v>50</v>
      </c>
      <c r="B10" s="115">
        <v>-22.391000000000002</v>
      </c>
      <c r="C10" s="115">
        <v>-27.040999999999997</v>
      </c>
      <c r="D10" s="97"/>
      <c r="E10" s="97"/>
      <c r="F10" s="115">
        <v>-493</v>
      </c>
      <c r="G10" s="115">
        <v>-21.4</v>
      </c>
      <c r="H10" s="115">
        <v>-22.1</v>
      </c>
      <c r="I10" s="115">
        <v>-51.2</v>
      </c>
      <c r="J10" s="115">
        <v>-41.5</v>
      </c>
      <c r="K10" s="115">
        <v>-23.8</v>
      </c>
      <c r="L10" s="115">
        <v>-35.1</v>
      </c>
      <c r="M10" s="115">
        <v>-45.4</v>
      </c>
      <c r="N10" s="115">
        <v>-52.5</v>
      </c>
      <c r="O10" s="115">
        <v>-44</v>
      </c>
      <c r="P10" s="115">
        <v>-41</v>
      </c>
      <c r="Q10" s="115">
        <v>-40.299999999999997</v>
      </c>
      <c r="R10" s="115">
        <v>-46.4</v>
      </c>
      <c r="S10" s="115">
        <v>-47.952790000000007</v>
      </c>
      <c r="T10" s="115">
        <v>-47.340517718113823</v>
      </c>
      <c r="U10" s="115">
        <f>SUM(U11:U13)</f>
        <v>-96.744342213755772</v>
      </c>
      <c r="V10" s="115">
        <f t="shared" ref="V10:AA10" si="0">V11+V12+V13</f>
        <v>-39.333064672653315</v>
      </c>
      <c r="W10" s="115">
        <f t="shared" si="0"/>
        <v>-48.986145613221964</v>
      </c>
      <c r="X10" s="115">
        <f t="shared" si="0"/>
        <v>-49.082342697707894</v>
      </c>
      <c r="Y10" s="115">
        <f t="shared" si="0"/>
        <v>-59.057628115538762</v>
      </c>
      <c r="Z10" s="115">
        <f t="shared" si="0"/>
        <v>-55.533455920929001</v>
      </c>
      <c r="AA10" s="115">
        <f t="shared" si="0"/>
        <v>-65.169531775766075</v>
      </c>
      <c r="AB10" s="115">
        <v>-38.774446048058422</v>
      </c>
    </row>
    <row r="11" spans="1:28">
      <c r="A11" s="123" t="s">
        <v>51</v>
      </c>
      <c r="B11" s="106">
        <v>-21.334</v>
      </c>
      <c r="C11" s="106">
        <v>-21.260999999999999</v>
      </c>
      <c r="D11" s="123"/>
      <c r="E11" s="123"/>
      <c r="F11" s="106">
        <v>-50.2</v>
      </c>
      <c r="G11" s="106">
        <v>-18.100000000000001</v>
      </c>
      <c r="H11" s="106">
        <v>-21.5</v>
      </c>
      <c r="I11" s="106">
        <v>-51.8</v>
      </c>
      <c r="J11" s="106">
        <v>-35.1</v>
      </c>
      <c r="K11" s="106">
        <v>-10</v>
      </c>
      <c r="L11" s="106">
        <v>-24.3</v>
      </c>
      <c r="M11" s="106">
        <v>-27.6</v>
      </c>
      <c r="N11" s="106">
        <v>-40.9</v>
      </c>
      <c r="O11" s="106">
        <v>-37.9</v>
      </c>
      <c r="P11" s="106">
        <v>-33.9</v>
      </c>
      <c r="Q11" s="106">
        <v>-60.5</v>
      </c>
      <c r="R11" s="106">
        <v>-43.9</v>
      </c>
      <c r="S11" s="106">
        <v>-32.658999999999999</v>
      </c>
      <c r="T11" s="106">
        <v>-37.239370278679012</v>
      </c>
      <c r="U11" s="106">
        <v>-29.144342213755763</v>
      </c>
      <c r="V11" s="106">
        <v>-32.591374133617315</v>
      </c>
      <c r="W11" s="106">
        <v>-47.647078897222983</v>
      </c>
      <c r="X11" s="106">
        <f>-40533616.193748/10^6</f>
        <v>-40.533616193747996</v>
      </c>
      <c r="Y11" s="106">
        <v>-46.349263707654792</v>
      </c>
      <c r="Z11" s="106">
        <v>-45.562559354647696</v>
      </c>
      <c r="AA11" s="106">
        <v>-43.888428342047384</v>
      </c>
      <c r="AB11" s="106">
        <v>-43.888428342047384</v>
      </c>
    </row>
    <row r="12" spans="1:28">
      <c r="A12" s="123" t="s">
        <v>52</v>
      </c>
      <c r="B12" s="107">
        <v>-1.9430000000000001</v>
      </c>
      <c r="C12" s="107">
        <v>-5.2129999999999992</v>
      </c>
      <c r="D12" s="157"/>
      <c r="E12" s="157"/>
      <c r="F12" s="107">
        <v>-22.9</v>
      </c>
      <c r="G12" s="107">
        <v>0.9</v>
      </c>
      <c r="H12" s="107">
        <v>-3.3</v>
      </c>
      <c r="I12" s="107">
        <v>-6.5</v>
      </c>
      <c r="J12" s="107">
        <v>-9.5</v>
      </c>
      <c r="K12" s="107">
        <v>-14.4</v>
      </c>
      <c r="L12" s="107">
        <v>-11.5</v>
      </c>
      <c r="M12" s="107">
        <v>-21.6</v>
      </c>
      <c r="N12" s="107">
        <v>-15.7</v>
      </c>
      <c r="O12" s="107">
        <v>-12.7</v>
      </c>
      <c r="P12" s="107">
        <v>-12.8</v>
      </c>
      <c r="Q12" s="107">
        <v>-16.3</v>
      </c>
      <c r="R12" s="106">
        <v>-14.8</v>
      </c>
      <c r="S12" s="106">
        <v>-17.922000000000001</v>
      </c>
      <c r="T12" s="106">
        <v>-18.00190396310645</v>
      </c>
      <c r="U12" s="106">
        <v>-18.2</v>
      </c>
      <c r="V12" s="106">
        <v>-6.3877673120479992</v>
      </c>
      <c r="W12" s="106">
        <v>-4.1955404505370018</v>
      </c>
      <c r="X12" s="106">
        <f>-10016338.3664799/10^6</f>
        <v>-10.0163383664799</v>
      </c>
      <c r="Y12" s="106">
        <v>-10.747714839353748</v>
      </c>
      <c r="Z12" s="106">
        <v>-11.066896566281306</v>
      </c>
      <c r="AA12" s="106">
        <v>-10.349103433718694</v>
      </c>
      <c r="AB12" s="106">
        <v>-7.2296578591670002</v>
      </c>
    </row>
    <row r="13" spans="1:28">
      <c r="A13" s="136" t="s">
        <v>53</v>
      </c>
      <c r="B13" s="137">
        <v>0.88600000000000001</v>
      </c>
      <c r="C13" s="137">
        <v>-0.56699999999999995</v>
      </c>
      <c r="D13" s="158"/>
      <c r="E13" s="158"/>
      <c r="F13" s="137">
        <v>-419.9</v>
      </c>
      <c r="G13" s="137">
        <v>-4.2</v>
      </c>
      <c r="H13" s="137">
        <v>2.7</v>
      </c>
      <c r="I13" s="137">
        <v>7.2</v>
      </c>
      <c r="J13" s="137">
        <v>3.1</v>
      </c>
      <c r="K13" s="137">
        <v>0.6</v>
      </c>
      <c r="L13" s="137">
        <v>0.7</v>
      </c>
      <c r="M13" s="137">
        <v>3.8</v>
      </c>
      <c r="N13" s="137">
        <v>4.0999999999999996</v>
      </c>
      <c r="O13" s="137">
        <v>6.5</v>
      </c>
      <c r="P13" s="137">
        <v>5.7</v>
      </c>
      <c r="Q13" s="137">
        <v>36.5</v>
      </c>
      <c r="R13" s="106">
        <v>12.4</v>
      </c>
      <c r="S13" s="106">
        <v>2.6282099999999993</v>
      </c>
      <c r="T13" s="106">
        <v>7.9007565236716362</v>
      </c>
      <c r="U13" s="106">
        <v>-49.4</v>
      </c>
      <c r="V13" s="106">
        <v>-0.35392322698800055</v>
      </c>
      <c r="W13" s="106">
        <v>2.8564737345380227</v>
      </c>
      <c r="X13" s="106">
        <f>1467611.86252/10^6</f>
        <v>1.4676118625199999</v>
      </c>
      <c r="Y13" s="106">
        <f>-1960649.56853022*10^-6</f>
        <v>-1.9606495685302199</v>
      </c>
      <c r="Z13" s="106">
        <v>1.0960000000000001</v>
      </c>
      <c r="AA13" s="106">
        <f>-9.836-Z13</f>
        <v>-10.932</v>
      </c>
      <c r="AB13" s="106">
        <v>-2.0229999999999997</v>
      </c>
    </row>
    <row r="14" spans="1:28" ht="16.5">
      <c r="A14" s="113"/>
      <c r="B14" s="113"/>
      <c r="C14" s="113"/>
      <c r="D14" s="113"/>
      <c r="E14" s="113"/>
    </row>
    <row r="17" spans="1:28" ht="4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</row>
    <row r="18" spans="1:28" ht="16.5">
      <c r="A18" s="96"/>
      <c r="B18" s="130"/>
      <c r="C18" s="130"/>
      <c r="D18" s="130"/>
      <c r="E18" s="130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8">
      <c r="A19" s="96"/>
      <c r="B19" s="96"/>
      <c r="C19" s="96"/>
      <c r="D19" s="96"/>
      <c r="E19" s="96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28">
      <c r="A20" s="96"/>
      <c r="B20" s="96"/>
      <c r="C20" s="96"/>
      <c r="D20" s="96"/>
      <c r="E20" s="96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28" ht="16.5">
      <c r="A21" s="121"/>
      <c r="B21" s="124"/>
      <c r="C21" s="124"/>
      <c r="D21" s="124"/>
      <c r="E21" s="124"/>
      <c r="F21" s="138"/>
      <c r="G21" s="106"/>
      <c r="H21" s="106"/>
      <c r="I21" s="106"/>
      <c r="J21" s="138"/>
      <c r="K21" s="138"/>
      <c r="L21" s="106"/>
      <c r="M21" s="106"/>
      <c r="N21" s="106"/>
      <c r="O21" s="10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B129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221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18</v>
      </c>
      <c r="S4" s="34" t="s">
        <v>19</v>
      </c>
      <c r="T4" s="34" t="s">
        <v>20</v>
      </c>
      <c r="U4" s="34" t="s">
        <v>21</v>
      </c>
      <c r="V4" s="34" t="s">
        <v>22</v>
      </c>
      <c r="W4" s="34" t="s">
        <v>23</v>
      </c>
      <c r="X4" s="34" t="s">
        <v>40</v>
      </c>
      <c r="Y4" s="34" t="s">
        <v>41</v>
      </c>
      <c r="Z4" s="34" t="s">
        <v>42</v>
      </c>
      <c r="AA4" s="34" t="s">
        <v>43</v>
      </c>
      <c r="AB4" s="34" t="s">
        <v>45</v>
      </c>
    </row>
    <row r="5" spans="1:28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8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8" s="13" customFormat="1" ht="15" thickBot="1">
      <c r="A7" s="14" t="s">
        <v>87</v>
      </c>
      <c r="B7" s="20">
        <v>17.489000000000001</v>
      </c>
      <c r="C7" s="20">
        <v>27.587</v>
      </c>
      <c r="D7" s="159"/>
      <c r="E7" s="159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</row>
    <row r="8" spans="1:28" s="119" customFormat="1" ht="9" customHeight="1">
      <c r="A8" s="163"/>
      <c r="B8" s="166"/>
      <c r="C8" s="166"/>
      <c r="D8" s="166"/>
      <c r="E8" s="166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</row>
    <row r="9" spans="1:28" s="13" customFormat="1">
      <c r="A9" s="175" t="s">
        <v>88</v>
      </c>
      <c r="B9" s="175"/>
      <c r="C9" s="175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-67.600000000000009</v>
      </c>
      <c r="O9" s="176">
        <f t="shared" ref="O9:X9" si="0">SUM(O10:O11,O14:O15)</f>
        <v>-58.7</v>
      </c>
      <c r="P9" s="176">
        <f t="shared" si="0"/>
        <v>-56.5</v>
      </c>
      <c r="Q9" s="176">
        <f t="shared" si="0"/>
        <v>-56.199999999999989</v>
      </c>
      <c r="R9" s="176">
        <f t="shared" si="0"/>
        <v>-60.100000000000009</v>
      </c>
      <c r="S9" s="176">
        <f t="shared" si="0"/>
        <v>-61.425790000000006</v>
      </c>
      <c r="T9" s="176">
        <f t="shared" si="0"/>
        <v>-60.793672214338194</v>
      </c>
      <c r="U9" s="176">
        <f t="shared" si="0"/>
        <v>-101.28563670701979</v>
      </c>
      <c r="V9" s="176">
        <f t="shared" si="0"/>
        <v>-46.906944611179028</v>
      </c>
      <c r="W9" s="176">
        <f t="shared" si="0"/>
        <v>-57.725442052016049</v>
      </c>
      <c r="X9" s="176">
        <f t="shared" si="0"/>
        <v>-58.7672879982008</v>
      </c>
      <c r="Y9" s="176">
        <f t="shared" ref="Y9:AA9" si="1">SUM(Y10:Y11,Y14:Y15)</f>
        <v>-64.159292234617425</v>
      </c>
      <c r="Z9" s="176">
        <f t="shared" si="1"/>
        <v>-63.824896566281296</v>
      </c>
      <c r="AA9" s="176">
        <f t="shared" si="1"/>
        <v>-72.977103433718696</v>
      </c>
      <c r="AB9" s="176">
        <f t="shared" ref="AB9" si="2">SUM(AB10:AB11,AB14:AB15)</f>
        <v>-54.235229517119606</v>
      </c>
    </row>
    <row r="10" spans="1:28" s="13" customFormat="1" ht="15" thickBot="1">
      <c r="A10" s="172" t="s">
        <v>52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f>AR_Indicadores!Z12</f>
        <v>-11.066896566281306</v>
      </c>
      <c r="AA10" s="21">
        <v>-10.349103433718694</v>
      </c>
      <c r="AB10" s="21">
        <v>-7.2296578591670002</v>
      </c>
    </row>
    <row r="11" spans="1:28" ht="15" thickBot="1">
      <c r="A11" s="173" t="s">
        <v>51</v>
      </c>
      <c r="B11" s="21">
        <v>-24.195</v>
      </c>
      <c r="C11" s="21">
        <v>-24.069000000000003</v>
      </c>
      <c r="D11" s="155"/>
      <c r="E11" s="155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>SUM(X12:X13)</f>
        <v>-50.050850333618818</v>
      </c>
      <c r="Y11" s="21">
        <f>SUM(Y12:Y13)</f>
        <v>-52.908250639016693</v>
      </c>
      <c r="Z11" s="21">
        <f>SUM(Z12:Z13)</f>
        <v>-53.853999999999999</v>
      </c>
      <c r="AA11" s="21">
        <f>SUM(AA12:AA13)</f>
        <v>-51.695999999999998</v>
      </c>
      <c r="AB11" s="21">
        <f>SUM(AB12:AB13)</f>
        <v>-44.982571657952604</v>
      </c>
    </row>
    <row r="12" spans="1:28">
      <c r="A12" s="174" t="s">
        <v>51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</row>
    <row r="13" spans="1:28" ht="15" thickBot="1">
      <c r="A13" s="174" t="s">
        <v>89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</row>
    <row r="14" spans="1:28" ht="15" thickBot="1">
      <c r="A14" s="173" t="s">
        <v>90</v>
      </c>
      <c r="B14" s="22">
        <v>0</v>
      </c>
      <c r="C14" s="22">
        <v>-2.9750000000000001</v>
      </c>
      <c r="D14" s="155"/>
      <c r="E14" s="155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</row>
    <row r="15" spans="1:28" ht="15" thickBot="1">
      <c r="A15" s="173" t="s">
        <v>204</v>
      </c>
      <c r="B15" s="22">
        <v>0.88600000000000001</v>
      </c>
      <c r="C15" s="22">
        <v>-0.56699999999999995</v>
      </c>
      <c r="D15" s="155"/>
      <c r="E15" s="155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</row>
    <row r="16" spans="1:28" ht="15" thickBot="1">
      <c r="A16" s="14" t="s">
        <v>92</v>
      </c>
      <c r="B16" s="20">
        <v>-7.7629999999999999</v>
      </c>
      <c r="C16" s="20">
        <v>-5.2370000000000001</v>
      </c>
      <c r="D16" s="154"/>
      <c r="E16" s="154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3">SUM(O7,O9)</f>
        <v>-0.20000000000000284</v>
      </c>
      <c r="P16" s="20">
        <f t="shared" si="3"/>
        <v>28.599999999999994</v>
      </c>
      <c r="Q16" s="20">
        <f t="shared" si="3"/>
        <v>9.5000000000000142</v>
      </c>
      <c r="R16" s="20">
        <f t="shared" si="3"/>
        <v>14.099999999999994</v>
      </c>
      <c r="S16" s="20">
        <f t="shared" si="3"/>
        <v>7.3632099999999951</v>
      </c>
      <c r="T16" s="20">
        <f t="shared" si="3"/>
        <v>9.0553481182373261</v>
      </c>
      <c r="U16" s="20">
        <f t="shared" si="3"/>
        <v>-19.28563670701979</v>
      </c>
      <c r="V16" s="20">
        <f t="shared" si="3"/>
        <v>13.02531348882097</v>
      </c>
      <c r="W16" s="20">
        <f t="shared" si="3"/>
        <v>-6.3738422882990591</v>
      </c>
      <c r="X16" s="20">
        <f t="shared" si="3"/>
        <v>-4.3738954648928967</v>
      </c>
      <c r="Y16" s="20">
        <f t="shared" ref="Y16:AA16" si="4">SUM(Y7,Y9)</f>
        <v>-7.2555047780851254</v>
      </c>
      <c r="Z16" s="20">
        <f t="shared" si="4"/>
        <v>17.203103433718709</v>
      </c>
      <c r="AA16" s="20">
        <f t="shared" si="4"/>
        <v>-12.609103433718715</v>
      </c>
      <c r="AB16" s="20">
        <f t="shared" ref="AB16" si="5">SUM(AB7,AB9)</f>
        <v>3.7776412938463579</v>
      </c>
    </row>
    <row r="17" spans="1:28" ht="15" thickBot="1">
      <c r="A17" s="17" t="s">
        <v>93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Corp_SI!W16-BR_IS!W17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</row>
    <row r="18" spans="1:28" s="13" customFormat="1" ht="15" thickBot="1">
      <c r="A18" s="14" t="s">
        <v>94</v>
      </c>
      <c r="B18" s="20">
        <v>-2.6110000000000002</v>
      </c>
      <c r="C18" s="20">
        <v>-4.1379999999999999</v>
      </c>
      <c r="D18" s="154"/>
      <c r="E18" s="154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6">SUM(O16:O17)</f>
        <v>-2.900000000000003</v>
      </c>
      <c r="P18" s="20">
        <f t="shared" si="6"/>
        <v>18.399999999999995</v>
      </c>
      <c r="Q18" s="20">
        <f t="shared" si="6"/>
        <v>8.7000000000000135</v>
      </c>
      <c r="R18" s="20">
        <f t="shared" si="6"/>
        <v>5.7999999999999936</v>
      </c>
      <c r="S18" s="20">
        <f t="shared" si="6"/>
        <v>-7.2227900000000052</v>
      </c>
      <c r="T18" s="20">
        <f t="shared" si="6"/>
        <v>23.149542066965317</v>
      </c>
      <c r="U18" s="20">
        <f t="shared" si="6"/>
        <v>-24.493983778091394</v>
      </c>
      <c r="V18" s="20">
        <f t="shared" si="6"/>
        <v>9.6062619873110169</v>
      </c>
      <c r="W18" s="20">
        <f t="shared" si="6"/>
        <v>5.803170730389354</v>
      </c>
      <c r="X18" s="20">
        <f t="shared" si="6"/>
        <v>12.826510032163053</v>
      </c>
      <c r="Y18" s="20">
        <f t="shared" ref="Y18:AA18" si="7">SUM(Y16:Y17)</f>
        <v>-16.248866122358834</v>
      </c>
      <c r="Z18" s="20">
        <f t="shared" si="7"/>
        <v>48.463103433718715</v>
      </c>
      <c r="AA18" s="20">
        <f t="shared" si="7"/>
        <v>-9.8981034337187204</v>
      </c>
      <c r="AB18" s="20">
        <f t="shared" ref="AB18" si="8">SUM(AB16:AB17)</f>
        <v>-25.98535870615364</v>
      </c>
    </row>
    <row r="19" spans="1:28" s="13" customFormat="1" ht="15" thickBot="1">
      <c r="A19" s="173" t="s">
        <v>95</v>
      </c>
      <c r="B19" s="21">
        <v>19.085000000000001</v>
      </c>
      <c r="C19" s="21">
        <v>0.19500000000000028</v>
      </c>
      <c r="D19" s="155"/>
      <c r="E19" s="155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Corp_SI!W18-BR_IS!W19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</row>
    <row r="20" spans="1:28" s="13" customFormat="1" ht="15" thickBot="1">
      <c r="A20" s="14" t="s">
        <v>96</v>
      </c>
      <c r="B20" s="20">
        <v>16.474</v>
      </c>
      <c r="C20" s="20">
        <v>-4.2430000000000003</v>
      </c>
      <c r="D20" s="154"/>
      <c r="E20" s="154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9">SUM(O18:O19)</f>
        <v>-5.400000000000003</v>
      </c>
      <c r="P20" s="20">
        <f t="shared" si="9"/>
        <v>17.799999999999994</v>
      </c>
      <c r="Q20" s="20">
        <f t="shared" si="9"/>
        <v>8.5000000000000142</v>
      </c>
      <c r="R20" s="20">
        <f t="shared" si="9"/>
        <v>4.9999999999999938</v>
      </c>
      <c r="S20" s="20">
        <f t="shared" si="9"/>
        <v>-10.558790000000005</v>
      </c>
      <c r="T20" s="20">
        <f t="shared" si="9"/>
        <v>23.790046096926755</v>
      </c>
      <c r="U20" s="20">
        <f t="shared" si="9"/>
        <v>-21.497539590831842</v>
      </c>
      <c r="V20" s="20">
        <f t="shared" si="9"/>
        <v>10.389923868086466</v>
      </c>
      <c r="W20" s="20">
        <f t="shared" si="9"/>
        <v>6.5954743690329893</v>
      </c>
      <c r="X20" s="20">
        <f t="shared" si="9"/>
        <v>12.935697806733652</v>
      </c>
      <c r="Y20" s="20">
        <f t="shared" ref="Y20:AA20" si="10">SUM(Y18:Y19)</f>
        <v>-14.250513494727494</v>
      </c>
      <c r="Z20" s="20">
        <f t="shared" si="10"/>
        <v>48.599103433718717</v>
      </c>
      <c r="AA20" s="20">
        <f t="shared" si="10"/>
        <v>-9.7651034337187212</v>
      </c>
      <c r="AB20" s="20">
        <f t="shared" ref="AB20" si="11">SUM(AB18:AB19)</f>
        <v>-32.829358706153641</v>
      </c>
    </row>
    <row r="21" spans="1:28" s="13" customFormat="1" ht="15" thickBot="1">
      <c r="A21" s="19" t="s">
        <v>97</v>
      </c>
      <c r="B21" s="23">
        <v>9.6359999999999992</v>
      </c>
      <c r="C21" s="23">
        <v>-4.0659999999999989</v>
      </c>
      <c r="D21" s="156"/>
      <c r="E21" s="156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12">O20</f>
        <v>-5.400000000000003</v>
      </c>
      <c r="P21" s="23">
        <f t="shared" si="12"/>
        <v>17.799999999999994</v>
      </c>
      <c r="Q21" s="23">
        <f t="shared" si="12"/>
        <v>8.5000000000000142</v>
      </c>
      <c r="R21" s="23">
        <f t="shared" si="12"/>
        <v>4.9999999999999938</v>
      </c>
      <c r="S21" s="23">
        <f t="shared" si="12"/>
        <v>-10.558790000000005</v>
      </c>
      <c r="T21" s="23">
        <f t="shared" si="12"/>
        <v>23.790046096926755</v>
      </c>
      <c r="U21" s="23">
        <f t="shared" si="12"/>
        <v>-21.497539590831842</v>
      </c>
      <c r="V21" s="23">
        <f t="shared" si="12"/>
        <v>10.389923868086466</v>
      </c>
      <c r="W21" s="23">
        <f t="shared" si="12"/>
        <v>6.5954743690329893</v>
      </c>
      <c r="X21" s="23">
        <f t="shared" si="12"/>
        <v>12.935697806733652</v>
      </c>
      <c r="Y21" s="23">
        <f t="shared" ref="Y21" si="13">Y20</f>
        <v>-14.250513494727494</v>
      </c>
      <c r="Z21" s="23">
        <f t="shared" ref="Z21:AA21" si="14">Z20</f>
        <v>48.599103433718717</v>
      </c>
      <c r="AA21" s="23">
        <f t="shared" si="14"/>
        <v>-9.7651034337187212</v>
      </c>
      <c r="AB21" s="23">
        <f t="shared" ref="AB21" si="15">AB20</f>
        <v>-32.829358706153641</v>
      </c>
    </row>
    <row r="22" spans="1:28">
      <c r="A22" s="19" t="s">
        <v>98</v>
      </c>
      <c r="B22" s="24">
        <v>6.8380000000000001</v>
      </c>
      <c r="C22" s="24">
        <v>-5.7000000000000384E-2</v>
      </c>
      <c r="D22" s="156"/>
      <c r="E22" s="156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</row>
    <row r="23" spans="1:28">
      <c r="F23"/>
      <c r="G23"/>
      <c r="H23"/>
      <c r="I23"/>
      <c r="J23"/>
      <c r="K23"/>
      <c r="N23"/>
      <c r="O23"/>
    </row>
    <row r="24" spans="1:28">
      <c r="F24"/>
      <c r="G24"/>
      <c r="H24"/>
      <c r="I24"/>
      <c r="J24"/>
      <c r="K24"/>
      <c r="N24"/>
      <c r="O24"/>
    </row>
    <row r="27" spans="1:28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>
      <c r="F28"/>
      <c r="G28"/>
      <c r="H28"/>
      <c r="I28"/>
      <c r="J28"/>
      <c r="K28"/>
      <c r="N28"/>
      <c r="O28"/>
    </row>
    <row r="30" spans="1:28">
      <c r="L30" s="11"/>
      <c r="M30" s="11"/>
    </row>
    <row r="31" spans="1:28">
      <c r="L31" s="11"/>
      <c r="M31" s="11"/>
    </row>
    <row r="32" spans="1:28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V86"/>
  <sheetViews>
    <sheetView showGridLines="0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1" width="12.75" style="12" customWidth="1"/>
    <col min="22" max="16384" width="9" style="12"/>
  </cols>
  <sheetData>
    <row r="1" spans="1:21" ht="17.25" customHeight="1">
      <c r="A1" s="192"/>
    </row>
    <row r="2" spans="1:21" ht="17.25" customHeight="1">
      <c r="A2" s="192"/>
    </row>
    <row r="3" spans="1:2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6.5" customHeight="1">
      <c r="A4" s="29" t="s">
        <v>222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</row>
    <row r="5" spans="1:21" ht="16.5" customHeight="1">
      <c r="A5" s="25" t="s">
        <v>47</v>
      </c>
      <c r="B5" s="12"/>
      <c r="C5" s="12"/>
      <c r="D5" s="12"/>
      <c r="G5" s="12"/>
      <c r="H5" s="12"/>
    </row>
    <row r="6" spans="1:21" ht="6.6" customHeight="1">
      <c r="A6" s="29"/>
      <c r="B6" s="27"/>
      <c r="C6" s="28"/>
      <c r="D6" s="28"/>
      <c r="E6" s="28"/>
      <c r="F6" s="28"/>
      <c r="G6" s="27"/>
      <c r="H6" s="27"/>
    </row>
    <row r="7" spans="1:21" s="13" customFormat="1">
      <c r="A7" s="37" t="s">
        <v>100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13" customFormat="1">
      <c r="A8" s="177" t="s">
        <v>211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36</v>
      </c>
      <c r="J8" s="58" t="s">
        <v>36</v>
      </c>
      <c r="K8" s="58" t="s">
        <v>39</v>
      </c>
      <c r="L8" s="58" t="s">
        <v>39</v>
      </c>
      <c r="M8" s="58" t="s">
        <v>39</v>
      </c>
      <c r="N8" s="58" t="s">
        <v>36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</row>
    <row r="9" spans="1:21" s="13" customFormat="1">
      <c r="A9" s="177" t="s">
        <v>118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</row>
    <row r="10" spans="1:21" s="13" customFormat="1">
      <c r="A10" s="177" t="s">
        <v>119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</row>
    <row r="11" spans="1:21" s="13" customFormat="1">
      <c r="A11" s="177" t="s">
        <v>112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</row>
    <row r="12" spans="1:21" s="13" customFormat="1">
      <c r="A12" s="177" t="s">
        <v>106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</row>
    <row r="13" spans="1:21" s="13" customFormat="1">
      <c r="A13" s="177" t="s">
        <v>107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</row>
    <row r="14" spans="1:21" s="13" customFormat="1">
      <c r="A14" s="177" t="s">
        <v>215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</row>
    <row r="15" spans="1:21" s="13" customFormat="1">
      <c r="A15" s="177" t="s">
        <v>216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</row>
    <row r="16" spans="1:21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f t="shared" ref="U16" si="1">SUM(U9:U15)</f>
        <v>291.83500000000004</v>
      </c>
    </row>
    <row r="17" spans="1:22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</row>
    <row r="18" spans="1:22" s="13" customFormat="1">
      <c r="A18" s="37" t="s">
        <v>123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</row>
    <row r="19" spans="1:22">
      <c r="A19" s="177" t="s">
        <v>128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  <c r="V19" s="13"/>
    </row>
    <row r="20" spans="1:22">
      <c r="A20" s="177" t="s">
        <v>129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  <c r="V20" s="13"/>
    </row>
    <row r="21" spans="1:22">
      <c r="A21" s="177" t="s">
        <v>223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  <c r="V21" s="13"/>
    </row>
    <row r="22" spans="1:22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2">SUM(O19:O21)</f>
        <v>272.39099999999996</v>
      </c>
      <c r="P22" s="55">
        <f t="shared" si="2"/>
        <v>277.93900000000002</v>
      </c>
      <c r="Q22" s="55">
        <f t="shared" si="2"/>
        <v>307.31700000000001</v>
      </c>
      <c r="R22" s="55">
        <f t="shared" si="2"/>
        <v>480.59300000000002</v>
      </c>
      <c r="S22" s="55">
        <f t="shared" si="2"/>
        <v>366.35</v>
      </c>
      <c r="T22" s="55">
        <f t="shared" si="2"/>
        <v>348.274</v>
      </c>
      <c r="U22" s="55">
        <f t="shared" ref="U22" si="3">SUM(U19:U21)</f>
        <v>354.53000000000003</v>
      </c>
      <c r="V22" s="13"/>
    </row>
    <row r="23" spans="1:22" s="13" customFormat="1">
      <c r="A23"/>
      <c r="B23"/>
      <c r="C23"/>
      <c r="D23"/>
      <c r="E23"/>
      <c r="F23"/>
      <c r="G23"/>
      <c r="H23"/>
      <c r="L23" s="12"/>
      <c r="M23" s="12"/>
    </row>
    <row r="24" spans="1:22">
      <c r="B24"/>
      <c r="C24"/>
      <c r="D24"/>
      <c r="G24"/>
      <c r="H24"/>
    </row>
    <row r="27" spans="1:2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2">
      <c r="B28"/>
      <c r="C28"/>
      <c r="D28"/>
      <c r="G28"/>
      <c r="H28"/>
    </row>
    <row r="30" spans="1:22">
      <c r="B30" s="36"/>
      <c r="C30" s="36"/>
      <c r="D30" s="36"/>
      <c r="E30" s="36"/>
      <c r="F30" s="36"/>
      <c r="G30" s="36"/>
      <c r="H30" s="36"/>
    </row>
    <row r="31" spans="1:22" ht="12">
      <c r="A31" s="12"/>
      <c r="B31" s="36"/>
      <c r="C31" s="36"/>
      <c r="D31" s="36"/>
      <c r="E31" s="36"/>
      <c r="F31" s="36"/>
      <c r="G31" s="36"/>
      <c r="H31" s="36"/>
    </row>
    <row r="32" spans="1:22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0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tr">
        <f>Menu!D3</f>
        <v>2022 - 2024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D38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sqref="A1:A2"/>
    </sheetView>
  </sheetViews>
  <sheetFormatPr defaultColWidth="9" defaultRowHeight="16.5"/>
  <cols>
    <col min="1" max="1" width="38.125" style="113" customWidth="1"/>
    <col min="2" max="2" width="9.375" style="11" hidden="1" customWidth="1"/>
    <col min="3" max="5" width="9.375" style="113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16384" width="9" style="12"/>
  </cols>
  <sheetData>
    <row r="1" spans="1:30" ht="18" customHeight="1">
      <c r="A1" s="192"/>
      <c r="C1" s="171"/>
      <c r="D1" s="171"/>
      <c r="E1" s="171"/>
    </row>
    <row r="2" spans="1:30" ht="17.45" customHeight="1">
      <c r="A2" s="192"/>
      <c r="B2" s="193" t="s">
        <v>1</v>
      </c>
      <c r="C2" s="193"/>
      <c r="D2" s="193"/>
      <c r="E2" s="193"/>
    </row>
    <row r="3" spans="1:30" ht="4.5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ht="16.5" customHeight="1">
      <c r="A4" s="29" t="s">
        <v>46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</row>
    <row r="5" spans="1:30" ht="16.5" customHeight="1">
      <c r="A5" s="25" t="s">
        <v>47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4.25">
      <c r="A7" s="96" t="s">
        <v>48</v>
      </c>
      <c r="B7" s="120">
        <v>4753.3329111875601</v>
      </c>
      <c r="C7" s="120">
        <v>4731.6354623742327</v>
      </c>
      <c r="D7" s="120">
        <v>4865.3242552553975</v>
      </c>
      <c r="E7" s="120">
        <v>5040.1361467927763</v>
      </c>
      <c r="F7" s="120">
        <v>3226.5</v>
      </c>
      <c r="G7" s="120">
        <v>245.2</v>
      </c>
      <c r="H7" s="120">
        <v>1042</v>
      </c>
      <c r="I7" s="120">
        <v>2471.9</v>
      </c>
      <c r="J7" s="120">
        <v>1332.9</v>
      </c>
      <c r="K7" s="120">
        <v>1671.6</v>
      </c>
      <c r="L7" s="120">
        <v>2918.4</v>
      </c>
      <c r="M7" s="120">
        <v>3044.2</v>
      </c>
      <c r="N7" s="120">
        <v>2806.3</v>
      </c>
      <c r="O7" s="120">
        <v>3750.2</v>
      </c>
      <c r="P7" s="120">
        <v>3930.5</v>
      </c>
      <c r="Q7" s="120">
        <v>3455.4</v>
      </c>
      <c r="R7" s="120">
        <v>4036.3</v>
      </c>
      <c r="S7" s="120">
        <v>3824.0846726074842</v>
      </c>
      <c r="T7" s="120">
        <v>3760.5721141708991</v>
      </c>
      <c r="U7" s="120">
        <v>3769.5224766994156</v>
      </c>
      <c r="V7" s="120">
        <v>3173.4092222979598</v>
      </c>
      <c r="W7" s="120">
        <v>3546.5645507962045</v>
      </c>
      <c r="X7" s="120">
        <v>3684.4205997266854</v>
      </c>
      <c r="Y7" s="120">
        <v>4030.5722019798645</v>
      </c>
      <c r="Z7" s="120">
        <v>4119.8999999999996</v>
      </c>
      <c r="AA7" s="120">
        <v>4083.5807735701887</v>
      </c>
      <c r="AB7" s="120">
        <v>4252.6757428365718</v>
      </c>
    </row>
    <row r="8" spans="1:30" ht="14.25">
      <c r="A8" s="97" t="s">
        <v>49</v>
      </c>
      <c r="B8" s="115">
        <v>4920.0121083573667</v>
      </c>
      <c r="C8" s="115">
        <v>4377.2896485048759</v>
      </c>
      <c r="D8" s="115">
        <v>4879.2695665124256</v>
      </c>
      <c r="E8" s="115">
        <v>5242.9935576523349</v>
      </c>
      <c r="F8" s="115">
        <v>3989.7</v>
      </c>
      <c r="G8" s="115">
        <v>210.9</v>
      </c>
      <c r="H8" s="115">
        <v>654.70000000000005</v>
      </c>
      <c r="I8" s="115">
        <v>2362.5</v>
      </c>
      <c r="J8" s="115">
        <v>1380.7</v>
      </c>
      <c r="K8" s="115">
        <v>1393.1</v>
      </c>
      <c r="L8" s="115">
        <v>2597.9</v>
      </c>
      <c r="M8" s="115">
        <v>3444.6</v>
      </c>
      <c r="N8" s="115">
        <v>3006.7</v>
      </c>
      <c r="O8" s="115">
        <v>3533</v>
      </c>
      <c r="P8" s="115">
        <v>4195.5</v>
      </c>
      <c r="Q8" s="115">
        <v>3693.6</v>
      </c>
      <c r="R8" s="115">
        <v>3988.3</v>
      </c>
      <c r="S8" s="115">
        <v>3603.9007520354949</v>
      </c>
      <c r="T8" s="115">
        <v>3905.4292727803518</v>
      </c>
      <c r="U8" s="115">
        <v>3752.7802018346874</v>
      </c>
      <c r="V8" s="115">
        <v>3325.4983869407151</v>
      </c>
      <c r="W8" s="115">
        <v>3253.8839268772622</v>
      </c>
      <c r="X8" s="115">
        <v>3865.8113383116906</v>
      </c>
      <c r="Y8" s="115">
        <v>3956.8541836400514</v>
      </c>
      <c r="Z8" s="115">
        <v>4157.6000000000004</v>
      </c>
      <c r="AA8" s="115">
        <v>3828.7807284966038</v>
      </c>
      <c r="AB8" s="115">
        <v>4398.5858297133473</v>
      </c>
    </row>
    <row r="9" spans="1:30" ht="14.25">
      <c r="A9" s="96" t="s">
        <v>24</v>
      </c>
      <c r="B9" s="122">
        <v>0.10148895708713727</v>
      </c>
      <c r="C9" s="122">
        <v>9.4151459358704198E-2</v>
      </c>
      <c r="D9" s="122" t="e">
        <v>#DIV/0!</v>
      </c>
      <c r="E9" s="122" t="e">
        <v>#DIV/0!</v>
      </c>
      <c r="F9" s="122">
        <v>7.2999999999999995E-2</v>
      </c>
      <c r="G9" s="122">
        <v>1.4E-2</v>
      </c>
      <c r="H9" s="122">
        <v>9.5000000000000001E-2</v>
      </c>
      <c r="I9" s="122">
        <v>6.9000000000000006E-2</v>
      </c>
      <c r="J9" s="122">
        <v>0.12</v>
      </c>
      <c r="K9" s="122">
        <v>8.3000000000000004E-2</v>
      </c>
      <c r="L9" s="122">
        <v>8.8999999999999996E-2</v>
      </c>
      <c r="M9" s="122">
        <v>9.0999999999999998E-2</v>
      </c>
      <c r="N9" s="122">
        <v>9.7000000000000003E-2</v>
      </c>
      <c r="O9" s="122">
        <v>7.5999999999999998E-2</v>
      </c>
      <c r="P9" s="122">
        <v>0.08</v>
      </c>
      <c r="Q9" s="122">
        <v>8.6999999999999994E-2</v>
      </c>
      <c r="R9" s="122">
        <v>7.4081018603744081E-2</v>
      </c>
      <c r="S9" s="122">
        <v>7.473999032818171E-2</v>
      </c>
      <c r="T9" s="122">
        <v>9.6234901882737617E-2</v>
      </c>
      <c r="U9" s="122">
        <v>9.3862755148531776E-2</v>
      </c>
      <c r="V9" s="122">
        <v>9.5430537702402049E-2</v>
      </c>
      <c r="W9" s="122">
        <v>9.0360436911621309E-2</v>
      </c>
      <c r="X9" s="122">
        <v>9.411051082465359E-2</v>
      </c>
      <c r="Y9" s="122">
        <v>9.2601686413749898E-2</v>
      </c>
      <c r="Z9" s="122">
        <v>8.6999999999999994E-2</v>
      </c>
      <c r="AA9" s="122">
        <v>8.9273517680935652E-2</v>
      </c>
      <c r="AB9" s="122">
        <v>8.5661371637574937E-2</v>
      </c>
    </row>
    <row r="10" spans="1:30" ht="14.25">
      <c r="A10" s="97" t="s">
        <v>50</v>
      </c>
      <c r="B10" s="115">
        <v>-251.10899999999998</v>
      </c>
      <c r="C10" s="115">
        <v>-375.803</v>
      </c>
      <c r="D10" s="115">
        <v>0</v>
      </c>
      <c r="E10" s="115">
        <v>0</v>
      </c>
      <c r="F10" s="115">
        <v>-1031.5</v>
      </c>
      <c r="G10" s="115">
        <v>-199.9</v>
      </c>
      <c r="H10" s="115">
        <v>-203.8</v>
      </c>
      <c r="I10" s="115">
        <v>-272.7</v>
      </c>
      <c r="J10" s="115">
        <v>-222.3</v>
      </c>
      <c r="K10" s="115">
        <v>-239.3</v>
      </c>
      <c r="L10" s="115">
        <v>-249.8</v>
      </c>
      <c r="M10" s="115">
        <v>-349.5</v>
      </c>
      <c r="N10" s="115">
        <v>-259.60000000000002</v>
      </c>
      <c r="O10" s="115">
        <v>-270.39999999999998</v>
      </c>
      <c r="P10" s="115">
        <v>-286.7</v>
      </c>
      <c r="Q10" s="115">
        <v>-238.4</v>
      </c>
      <c r="R10" s="115">
        <v>-279.7</v>
      </c>
      <c r="S10" s="115">
        <v>-270.80428999999998</v>
      </c>
      <c r="T10" s="115">
        <v>-356.17377561836076</v>
      </c>
      <c r="U10" s="115">
        <v>-297.94451928268506</v>
      </c>
      <c r="V10" s="115">
        <v>-234.4</v>
      </c>
      <c r="W10" s="115">
        <v>-235.29065031561456</v>
      </c>
      <c r="X10" s="115">
        <v>-248.03163905895411</v>
      </c>
      <c r="Y10" s="115">
        <v>-283.78743250026236</v>
      </c>
      <c r="Z10" s="115">
        <f>SUM(Z11:Z13)</f>
        <v>-262.09999999999997</v>
      </c>
      <c r="AA10" s="115">
        <f>SUM(AA11:AA13)</f>
        <v>-254.80744610758777</v>
      </c>
      <c r="AB10" s="115">
        <f>SUM(AB11:AB13)</f>
        <v>-233.30745099232558</v>
      </c>
      <c r="AD10" s="186"/>
    </row>
    <row r="11" spans="1:30" ht="14.25">
      <c r="A11" s="123" t="s">
        <v>51</v>
      </c>
      <c r="B11" s="106">
        <v>-152.23400000000001</v>
      </c>
      <c r="C11" s="106">
        <v>-166.30199999999999</v>
      </c>
      <c r="D11" s="123"/>
      <c r="E11" s="123"/>
      <c r="F11" s="106">
        <v>-179.4</v>
      </c>
      <c r="G11" s="106">
        <v>-128.30000000000001</v>
      </c>
      <c r="H11" s="106">
        <v>-170.3</v>
      </c>
      <c r="I11" s="106">
        <v>-234.5</v>
      </c>
      <c r="J11" s="106">
        <v>-192.1</v>
      </c>
      <c r="K11" s="106">
        <v>-167.3</v>
      </c>
      <c r="L11" s="106">
        <v>-186.9</v>
      </c>
      <c r="M11" s="106">
        <v>-254.7</v>
      </c>
      <c r="N11" s="106">
        <v>-218.2</v>
      </c>
      <c r="O11" s="106">
        <v>-217.5</v>
      </c>
      <c r="P11" s="106">
        <v>-223.4</v>
      </c>
      <c r="Q11" s="106">
        <v>-249.3</v>
      </c>
      <c r="R11" s="106">
        <v>-216.6</v>
      </c>
      <c r="S11" s="106">
        <v>-189.309</v>
      </c>
      <c r="T11" s="106">
        <v>-172.56532056170661</v>
      </c>
      <c r="U11" s="106">
        <v>-177.89274601219199</v>
      </c>
      <c r="V11" s="106">
        <v>-171.94377241062776</v>
      </c>
      <c r="W11" s="106">
        <v>-190.03845793915065</v>
      </c>
      <c r="X11" s="106">
        <v>-180.7504406740959</v>
      </c>
      <c r="Y11" s="106">
        <v>-198.62752299091446</v>
      </c>
      <c r="Z11" s="106">
        <f>-144.7-45.6</f>
        <v>-190.29999999999998</v>
      </c>
      <c r="AA11" s="106">
        <v>-192.38027375563047</v>
      </c>
      <c r="AB11" s="106">
        <v>-183.60617549302324</v>
      </c>
      <c r="AD11" s="186"/>
    </row>
    <row r="12" spans="1:30" ht="14.25">
      <c r="A12" s="123" t="s">
        <v>52</v>
      </c>
      <c r="B12" s="108">
        <v>-78.134</v>
      </c>
      <c r="C12" s="108">
        <v>-115.20099999999999</v>
      </c>
      <c r="D12" s="123"/>
      <c r="E12" s="123"/>
      <c r="F12" s="108">
        <v>-145.1</v>
      </c>
      <c r="G12" s="108">
        <v>-20.6</v>
      </c>
      <c r="H12" s="108">
        <v>-16.8</v>
      </c>
      <c r="I12" s="108">
        <v>-44.3</v>
      </c>
      <c r="J12" s="108">
        <v>-26.4</v>
      </c>
      <c r="K12" s="108">
        <v>-30.5</v>
      </c>
      <c r="L12" s="108">
        <v>-38</v>
      </c>
      <c r="M12" s="108">
        <v>-64.8</v>
      </c>
      <c r="N12" s="108">
        <v>-57</v>
      </c>
      <c r="O12" s="108">
        <v>-64.900000000000006</v>
      </c>
      <c r="P12" s="108">
        <v>-59.2</v>
      </c>
      <c r="Q12" s="108">
        <v>-62.1</v>
      </c>
      <c r="R12" s="108">
        <v>-61.5</v>
      </c>
      <c r="S12" s="108">
        <v>-88.163999999999987</v>
      </c>
      <c r="T12" s="108">
        <v>-84.733709045316886</v>
      </c>
      <c r="U12" s="108">
        <v>-69.626934084794044</v>
      </c>
      <c r="V12" s="108">
        <v>-64.5</v>
      </c>
      <c r="W12" s="108">
        <v>-49.589865980537027</v>
      </c>
      <c r="X12" s="108">
        <v>-61.665803986479993</v>
      </c>
      <c r="Y12" s="108">
        <v>-78.031004959388383</v>
      </c>
      <c r="Z12" s="108">
        <v>-63.8</v>
      </c>
      <c r="AA12" s="108">
        <v>-80.873000000000005</v>
      </c>
      <c r="AB12" s="108">
        <v>-65.78990383916701</v>
      </c>
      <c r="AD12" s="186"/>
    </row>
    <row r="13" spans="1:30" ht="14.25">
      <c r="A13" s="123" t="s">
        <v>53</v>
      </c>
      <c r="B13" s="106">
        <v>-20.741</v>
      </c>
      <c r="C13" s="106">
        <v>-94.3</v>
      </c>
      <c r="D13" s="123"/>
      <c r="E13" s="123"/>
      <c r="F13" s="106">
        <v>-707</v>
      </c>
      <c r="G13" s="106">
        <v>-51</v>
      </c>
      <c r="H13" s="106">
        <v>-16.600000000000001</v>
      </c>
      <c r="I13" s="106">
        <v>6.1</v>
      </c>
      <c r="J13" s="106">
        <v>-3.9</v>
      </c>
      <c r="K13" s="106">
        <v>-41.5</v>
      </c>
      <c r="L13" s="106">
        <v>-25</v>
      </c>
      <c r="M13" s="106">
        <v>-29.9</v>
      </c>
      <c r="N13" s="106">
        <v>15.6</v>
      </c>
      <c r="O13" s="106">
        <v>12.1</v>
      </c>
      <c r="P13" s="106">
        <v>-4.0999999999999996</v>
      </c>
      <c r="Q13" s="106">
        <v>73</v>
      </c>
      <c r="R13" s="106">
        <v>-1.5</v>
      </c>
      <c r="S13" s="106">
        <v>6.6687100000000008</v>
      </c>
      <c r="T13" s="106">
        <v>-98.874746011337336</v>
      </c>
      <c r="U13" s="106">
        <v>-50.424839185699021</v>
      </c>
      <c r="V13" s="106">
        <v>2.1</v>
      </c>
      <c r="W13" s="106">
        <v>4.3376736040730908</v>
      </c>
      <c r="X13" s="106">
        <v>-5.6153943983782</v>
      </c>
      <c r="Y13" s="106">
        <v>-7.1289045499595094</v>
      </c>
      <c r="Z13" s="106">
        <v>-8</v>
      </c>
      <c r="AA13" s="106">
        <v>18.445827648042702</v>
      </c>
      <c r="AB13" s="106">
        <v>16.088628339864677</v>
      </c>
      <c r="AD13" s="186"/>
    </row>
    <row r="14" spans="1:30" ht="14.25">
      <c r="A14" s="97" t="s">
        <v>54</v>
      </c>
      <c r="B14" s="104">
        <v>-0.8</v>
      </c>
      <c r="C14" s="167">
        <v>2.2000000000000002</v>
      </c>
      <c r="D14" s="97"/>
      <c r="E14" s="97"/>
      <c r="F14" s="104">
        <v>-735.7</v>
      </c>
      <c r="G14" s="104">
        <v>-28</v>
      </c>
      <c r="H14" s="104">
        <v>-11.1</v>
      </c>
      <c r="I14" s="104">
        <v>-2.6</v>
      </c>
      <c r="J14" s="104">
        <v>0.7</v>
      </c>
      <c r="K14" s="104">
        <v>0.1</v>
      </c>
      <c r="L14" s="104">
        <v>6.4</v>
      </c>
      <c r="M14" s="104">
        <v>-53.4</v>
      </c>
      <c r="N14" s="104">
        <v>12.5</v>
      </c>
      <c r="O14" s="104">
        <v>11</v>
      </c>
      <c r="P14" s="104">
        <v>-24.5</v>
      </c>
      <c r="Q14" s="104">
        <v>75.599999999999994</v>
      </c>
      <c r="R14" s="104">
        <v>-11.5</v>
      </c>
      <c r="S14" s="104">
        <v>14.798634510000005</v>
      </c>
      <c r="T14" s="104">
        <v>-77.105058830000019</v>
      </c>
      <c r="U14" s="104">
        <v>-32.258236841215279</v>
      </c>
      <c r="V14" s="104">
        <v>3.2</v>
      </c>
      <c r="W14" s="104">
        <v>11.599712909999999</v>
      </c>
      <c r="X14" s="104">
        <v>8.9193823299999995</v>
      </c>
      <c r="Y14" s="104">
        <v>25.484216930278265</v>
      </c>
      <c r="Z14" s="104">
        <v>4.5</v>
      </c>
      <c r="AA14" s="104">
        <v>5.3240813099997322</v>
      </c>
      <c r="AB14" s="104">
        <v>-12.963203570000204</v>
      </c>
    </row>
    <row r="15" spans="1:30" ht="14.25">
      <c r="A15" s="97" t="s">
        <v>55</v>
      </c>
      <c r="B15" s="104">
        <v>0</v>
      </c>
      <c r="C15" s="167">
        <v>0</v>
      </c>
      <c r="D15" s="97">
        <v>0</v>
      </c>
      <c r="E15" s="97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792.93</v>
      </c>
      <c r="O15" s="104">
        <v>539.529</v>
      </c>
      <c r="P15" s="104">
        <v>647.85699999999997</v>
      </c>
      <c r="Q15" s="104">
        <v>1012.439</v>
      </c>
      <c r="R15" s="104">
        <v>1052.2329999999999</v>
      </c>
      <c r="S15" s="104">
        <v>1051.81</v>
      </c>
      <c r="T15" s="104">
        <v>792.91399999999999</v>
      </c>
      <c r="U15" s="104">
        <v>813.45600000000002</v>
      </c>
      <c r="V15" s="104">
        <v>846.43600000000004</v>
      </c>
      <c r="W15" s="104">
        <v>778.60837803000004</v>
      </c>
      <c r="X15" s="104">
        <v>806.59959127000002</v>
      </c>
      <c r="Y15" s="104">
        <v>1063.97</v>
      </c>
      <c r="Z15" s="104">
        <v>1115.9949999999999</v>
      </c>
      <c r="AA15" s="104">
        <v>1051.60996875</v>
      </c>
      <c r="AB15" s="104">
        <v>1120.3858881399999</v>
      </c>
    </row>
    <row r="16" spans="1:30" ht="7.5" customHeight="1">
      <c r="A16" s="125"/>
      <c r="B16" s="109"/>
      <c r="C16" s="126"/>
      <c r="D16" s="126"/>
      <c r="E16" s="126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 ht="17.25">
      <c r="A17" s="29" t="s">
        <v>56</v>
      </c>
      <c r="B17" s="109"/>
      <c r="C17" s="29"/>
      <c r="D17" s="29"/>
      <c r="E17" s="2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T17" s="118"/>
      <c r="U17" s="118"/>
      <c r="V17" s="118"/>
      <c r="W17" s="118"/>
      <c r="X17" s="118"/>
      <c r="Y17" s="118"/>
      <c r="Z17" s="118"/>
      <c r="AA17" s="118"/>
      <c r="AB17" s="118"/>
    </row>
    <row r="18" spans="1:28" ht="5.45" customHeight="1">
      <c r="A18" s="29"/>
      <c r="B18" s="109"/>
      <c r="C18" s="29"/>
      <c r="D18" s="29"/>
      <c r="E18" s="2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T18" s="118"/>
      <c r="U18" s="118"/>
      <c r="V18" s="118"/>
      <c r="W18" s="118"/>
      <c r="X18" s="118"/>
      <c r="Y18" s="118"/>
      <c r="Z18" s="118"/>
      <c r="AA18" s="118"/>
      <c r="AB18" s="118"/>
    </row>
    <row r="19" spans="1:28" ht="14.25">
      <c r="A19" s="131" t="s">
        <v>57</v>
      </c>
      <c r="B19" s="132">
        <f>SUM(B20:B25)</f>
        <v>-52.977999999999994</v>
      </c>
      <c r="C19" s="132">
        <f t="shared" ref="C19:AB19" si="0">SUM(C20:C25)</f>
        <v>-63.138000000000005</v>
      </c>
      <c r="D19" s="132">
        <f t="shared" si="0"/>
        <v>-75.405000000000001</v>
      </c>
      <c r="E19" s="132">
        <f t="shared" si="0"/>
        <v>-69.790000000000006</v>
      </c>
      <c r="F19" s="132">
        <f t="shared" si="0"/>
        <v>-82.205999999999989</v>
      </c>
      <c r="G19" s="132">
        <f t="shared" si="0"/>
        <v>-15.891999999999999</v>
      </c>
      <c r="H19" s="132">
        <f t="shared" si="0"/>
        <v>-21.148</v>
      </c>
      <c r="I19" s="132">
        <f t="shared" si="0"/>
        <v>-78.531999999999996</v>
      </c>
      <c r="J19" s="132">
        <f t="shared" si="0"/>
        <v>-38.245000000000005</v>
      </c>
      <c r="K19" s="132">
        <f t="shared" si="0"/>
        <v>-38.744</v>
      </c>
      <c r="L19" s="132">
        <f t="shared" si="0"/>
        <v>-47.621000000000002</v>
      </c>
      <c r="M19" s="132">
        <f t="shared" si="0"/>
        <v>-81.122000000000014</v>
      </c>
      <c r="N19" s="132">
        <f t="shared" si="0"/>
        <v>-91.790999999999997</v>
      </c>
      <c r="O19" s="132">
        <f t="shared" si="0"/>
        <v>-69.228999999999999</v>
      </c>
      <c r="P19" s="132">
        <f t="shared" si="0"/>
        <v>-97.028999999999996</v>
      </c>
      <c r="Q19" s="132">
        <f t="shared" si="0"/>
        <v>-117.41200000000001</v>
      </c>
      <c r="R19" s="132">
        <f t="shared" si="0"/>
        <v>-105.18099999999998</v>
      </c>
      <c r="S19" s="132">
        <f t="shared" si="0"/>
        <v>-116.24199999999999</v>
      </c>
      <c r="T19" s="132">
        <f t="shared" si="0"/>
        <v>-96.986000000000004</v>
      </c>
      <c r="U19" s="132">
        <f t="shared" si="0"/>
        <v>-76.757000000000005</v>
      </c>
      <c r="V19" s="132">
        <f t="shared" si="0"/>
        <v>-80.816000000000017</v>
      </c>
      <c r="W19" s="132">
        <f t="shared" si="0"/>
        <v>-62.255340785408997</v>
      </c>
      <c r="X19" s="132">
        <f t="shared" si="0"/>
        <v>-76.595168374285507</v>
      </c>
      <c r="Y19" s="132">
        <f t="shared" si="0"/>
        <v>-106.77602030956889</v>
      </c>
      <c r="Z19" s="132">
        <f t="shared" si="0"/>
        <v>-93.2</v>
      </c>
      <c r="AA19" s="132">
        <f t="shared" si="0"/>
        <v>-91.48</v>
      </c>
      <c r="AB19" s="132">
        <f t="shared" si="0"/>
        <v>-99.660335141283937</v>
      </c>
    </row>
    <row r="20" spans="1:28" ht="14.25">
      <c r="A20" s="114" t="s">
        <v>58</v>
      </c>
      <c r="B20" s="110">
        <v>-24.678999999999998</v>
      </c>
      <c r="C20" s="110">
        <v>-32.74</v>
      </c>
      <c r="D20" s="110">
        <v>-35.542999999999999</v>
      </c>
      <c r="E20" s="110">
        <v>-38.247</v>
      </c>
      <c r="F20" s="110">
        <v>-37.963000000000001</v>
      </c>
      <c r="G20" s="110">
        <v>-16.295000000000002</v>
      </c>
      <c r="H20" s="110">
        <v>-22.291</v>
      </c>
      <c r="I20" s="110">
        <v>-40.829000000000001</v>
      </c>
      <c r="J20" s="110">
        <v>-22.396000000000001</v>
      </c>
      <c r="K20" s="110">
        <v>-25.966999999999999</v>
      </c>
      <c r="L20" s="110">
        <v>-31.847999999999999</v>
      </c>
      <c r="M20" s="110">
        <v>-35.307000000000002</v>
      </c>
      <c r="N20" s="110">
        <v>-45.192</v>
      </c>
      <c r="O20" s="110">
        <v>-48.95</v>
      </c>
      <c r="P20" s="110">
        <v>-50.073</v>
      </c>
      <c r="Q20" s="110">
        <v>-53.898000000000003</v>
      </c>
      <c r="R20" s="110">
        <v>-49.850999999999999</v>
      </c>
      <c r="S20" s="110">
        <v>-43.365000000000002</v>
      </c>
      <c r="T20" s="110">
        <v>-32.929000000000002</v>
      </c>
      <c r="U20" s="110">
        <v>-37.960999999999999</v>
      </c>
      <c r="V20" s="110">
        <v>-38.255000000000003</v>
      </c>
      <c r="W20" s="110">
        <v>-34.833582878549002</v>
      </c>
      <c r="X20" s="110">
        <v>-33.053215660086003</v>
      </c>
      <c r="Y20" s="110">
        <v>-39.451201461364995</v>
      </c>
      <c r="Z20" s="110">
        <v>-27.7</v>
      </c>
      <c r="AA20" s="110">
        <v>-27.245000000000001</v>
      </c>
      <c r="AB20" s="110">
        <v>-34.846878227777985</v>
      </c>
    </row>
    <row r="21" spans="1:28" ht="14.25">
      <c r="A21" s="114" t="s">
        <v>59</v>
      </c>
      <c r="B21" s="110">
        <v>-3.4750000000000001</v>
      </c>
      <c r="C21" s="110">
        <v>-2.6509999999999998</v>
      </c>
      <c r="D21" s="110">
        <v>-4.1020000000000003</v>
      </c>
      <c r="E21" s="110">
        <v>-2.3809999999999998</v>
      </c>
      <c r="F21" s="110">
        <v>-1.827</v>
      </c>
      <c r="G21" s="110">
        <v>-1.2430000000000001</v>
      </c>
      <c r="H21" s="110">
        <v>-0.73299999999999998</v>
      </c>
      <c r="I21" s="110">
        <v>-0.81699999999999995</v>
      </c>
      <c r="J21" s="110">
        <v>-1.2889999999999999</v>
      </c>
      <c r="K21" s="110">
        <v>-0.89300000000000002</v>
      </c>
      <c r="L21" s="110">
        <v>-1.6879999999999999</v>
      </c>
      <c r="M21" s="110">
        <v>-2.1349999999999998</v>
      </c>
      <c r="N21" s="110">
        <v>-2.86</v>
      </c>
      <c r="O21" s="110">
        <v>-3.0409999999999999</v>
      </c>
      <c r="P21" s="110">
        <v>-7.9279999999999999</v>
      </c>
      <c r="Q21" s="110">
        <v>0.91</v>
      </c>
      <c r="R21" s="110">
        <v>-3.6720000000000002</v>
      </c>
      <c r="S21" s="110">
        <v>-3.093</v>
      </c>
      <c r="T21" s="110">
        <v>-3.2770000000000001</v>
      </c>
      <c r="U21" s="110">
        <v>-2.956</v>
      </c>
      <c r="V21" s="110">
        <v>-2.746</v>
      </c>
      <c r="W21" s="110">
        <v>-2.3216367900000003</v>
      </c>
      <c r="X21" s="110">
        <v>-2.4694579299999995</v>
      </c>
      <c r="Y21" s="110">
        <v>-2.5719052799999997</v>
      </c>
      <c r="Z21" s="110">
        <v>-3</v>
      </c>
      <c r="AA21" s="110">
        <v>-3.3860000000000001</v>
      </c>
      <c r="AB21" s="110">
        <v>-2.5045747500000006</v>
      </c>
    </row>
    <row r="22" spans="1:28" ht="14.25">
      <c r="A22" s="114" t="s">
        <v>60</v>
      </c>
      <c r="B22" s="110">
        <v>-1.5189999999999999</v>
      </c>
      <c r="C22" s="110">
        <v>-1.899</v>
      </c>
      <c r="D22" s="110">
        <v>-1.587</v>
      </c>
      <c r="E22" s="110">
        <v>-2.9620000000000002</v>
      </c>
      <c r="F22" s="110">
        <v>-1.6319999999999999</v>
      </c>
      <c r="G22" s="110">
        <v>-0.55700000000000005</v>
      </c>
      <c r="H22" s="110">
        <v>-0.26100000000000001</v>
      </c>
      <c r="I22" s="110">
        <v>-0.39</v>
      </c>
      <c r="J22" s="110">
        <v>-0.22</v>
      </c>
      <c r="K22" s="110">
        <v>-0.251</v>
      </c>
      <c r="L22" s="110">
        <v>-0.58399999999999996</v>
      </c>
      <c r="M22" s="110">
        <v>-1.3160000000000001</v>
      </c>
      <c r="N22" s="110">
        <v>-2.0259999999999998</v>
      </c>
      <c r="O22" s="110">
        <v>-2.8029999999999999</v>
      </c>
      <c r="P22" s="110">
        <v>-4.5330000000000004</v>
      </c>
      <c r="Q22" s="110">
        <v>-2.77</v>
      </c>
      <c r="R22" s="110">
        <v>-2.66</v>
      </c>
      <c r="S22" s="110">
        <v>-2.5</v>
      </c>
      <c r="T22" s="110">
        <v>-2.722</v>
      </c>
      <c r="U22" s="110">
        <v>-2.718</v>
      </c>
      <c r="V22" s="110">
        <v>-2.8650000000000002</v>
      </c>
      <c r="W22" s="110">
        <v>-5.7011262068600006</v>
      </c>
      <c r="X22" s="110">
        <v>-7.8543589563960197</v>
      </c>
      <c r="Y22" s="110">
        <v>-9.5395148367439795</v>
      </c>
      <c r="Z22" s="110">
        <v>-10</v>
      </c>
      <c r="AA22" s="110">
        <v>-11.981999999999999</v>
      </c>
      <c r="AB22" s="110">
        <v>-11.196051765495</v>
      </c>
    </row>
    <row r="23" spans="1:28" ht="14.25">
      <c r="A23" s="114" t="s">
        <v>61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-20.768000000000001</v>
      </c>
      <c r="N23" s="110">
        <v>-23.428000000000001</v>
      </c>
      <c r="O23" s="110">
        <v>-4.4050000000000002</v>
      </c>
      <c r="P23" s="110">
        <v>-17.841000000000001</v>
      </c>
      <c r="Q23" s="110">
        <v>-50.582000000000001</v>
      </c>
      <c r="R23" s="110">
        <v>-41.366999999999997</v>
      </c>
      <c r="S23" s="110">
        <v>-35.067999999999998</v>
      </c>
      <c r="T23" s="110">
        <v>-7.2350000000000003</v>
      </c>
      <c r="U23" s="110">
        <v>-30.850999999999999</v>
      </c>
      <c r="V23" s="110">
        <v>-23.111999999999998</v>
      </c>
      <c r="W23" s="110">
        <v>-16.506994909999992</v>
      </c>
      <c r="X23" s="110">
        <v>-24.896261960000004</v>
      </c>
      <c r="Y23" s="110">
        <v>-40.642743129999999</v>
      </c>
      <c r="Z23" s="110">
        <v>-40.200000000000003</v>
      </c>
      <c r="AA23" s="110">
        <v>-37.996000000000002</v>
      </c>
      <c r="AB23" s="110">
        <v>-39.908958510000005</v>
      </c>
    </row>
    <row r="24" spans="1:28" ht="14.25">
      <c r="A24" s="114" t="s">
        <v>62</v>
      </c>
      <c r="B24" s="110">
        <v>-1.286</v>
      </c>
      <c r="C24" s="110">
        <v>-1.3220000000000001</v>
      </c>
      <c r="D24" s="110">
        <v>-1.9370000000000001</v>
      </c>
      <c r="E24" s="110">
        <v>-3.8479999999999999</v>
      </c>
      <c r="F24" s="110">
        <v>-4.41</v>
      </c>
      <c r="G24" s="110">
        <v>-1.53</v>
      </c>
      <c r="H24" s="110">
        <v>-3.63</v>
      </c>
      <c r="I24" s="110">
        <v>-1.891</v>
      </c>
      <c r="J24" s="110">
        <v>-1.7849999999999999</v>
      </c>
      <c r="K24" s="110">
        <v>-1.4350000000000001</v>
      </c>
      <c r="L24" s="110">
        <v>-1.3720000000000001</v>
      </c>
      <c r="M24" s="110">
        <v>-1.2549999999999999</v>
      </c>
      <c r="N24" s="110">
        <v>-1.494</v>
      </c>
      <c r="O24" s="110">
        <v>-1.3240000000000001</v>
      </c>
      <c r="P24" s="110">
        <v>-1.2549999999999999</v>
      </c>
      <c r="Q24" s="110">
        <v>-1.52</v>
      </c>
      <c r="R24" s="110">
        <v>-1.1439999999999999</v>
      </c>
      <c r="S24" s="110">
        <v>-1.0289999999999999</v>
      </c>
      <c r="T24" s="110">
        <v>-1.1870000000000001</v>
      </c>
      <c r="U24" s="110">
        <v>-1.929</v>
      </c>
      <c r="V24" s="110">
        <v>-1.411</v>
      </c>
      <c r="W24" s="110">
        <v>-1.246</v>
      </c>
      <c r="X24" s="110">
        <v>-1.3417218220600002</v>
      </c>
      <c r="Y24" s="110">
        <v>-3.0666268607809992</v>
      </c>
      <c r="Z24" s="110">
        <v>-1.7</v>
      </c>
      <c r="AA24" s="110">
        <v>-1.518</v>
      </c>
      <c r="AB24" s="110">
        <v>-1.4269341277649001</v>
      </c>
    </row>
    <row r="25" spans="1:28" ht="14.25">
      <c r="A25" s="114" t="s">
        <v>63</v>
      </c>
      <c r="B25" s="110">
        <v>-22.018999999999998</v>
      </c>
      <c r="C25" s="110">
        <v>-24.526</v>
      </c>
      <c r="D25" s="110">
        <v>-32.235999999999997</v>
      </c>
      <c r="E25" s="110">
        <v>-22.352</v>
      </c>
      <c r="F25" s="110">
        <v>-36.374000000000002</v>
      </c>
      <c r="G25" s="110">
        <v>3.7330000000000001</v>
      </c>
      <c r="H25" s="110">
        <v>5.7670000000000003</v>
      </c>
      <c r="I25" s="110">
        <v>-34.604999999999997</v>
      </c>
      <c r="J25" s="110">
        <v>-12.555</v>
      </c>
      <c r="K25" s="110">
        <v>-10.198</v>
      </c>
      <c r="L25" s="110">
        <v>-12.129</v>
      </c>
      <c r="M25" s="110">
        <v>-20.341000000000001</v>
      </c>
      <c r="N25" s="110">
        <v>-16.791</v>
      </c>
      <c r="O25" s="110">
        <v>-8.7059999999999995</v>
      </c>
      <c r="P25" s="110">
        <v>-15.398999999999999</v>
      </c>
      <c r="Q25" s="110">
        <v>-9.5519999999999996</v>
      </c>
      <c r="R25" s="110">
        <v>-6.4870000000000001</v>
      </c>
      <c r="S25" s="110">
        <v>-31.187000000000001</v>
      </c>
      <c r="T25" s="110">
        <v>-49.636000000000003</v>
      </c>
      <c r="U25" s="110">
        <v>-0.34200000000000003</v>
      </c>
      <c r="V25" s="110">
        <v>-12.427000000000001</v>
      </c>
      <c r="W25" s="110">
        <v>-1.6459999999999999</v>
      </c>
      <c r="X25" s="110">
        <v>-6.9801520457434902</v>
      </c>
      <c r="Y25" s="110">
        <v>-11.504028740678915</v>
      </c>
      <c r="Z25" s="110">
        <v>-10.6</v>
      </c>
      <c r="AA25" s="110">
        <v>-9.3529999999999998</v>
      </c>
      <c r="AB25" s="110">
        <v>-9.7769377602460388</v>
      </c>
    </row>
    <row r="26" spans="1:28" ht="14.25">
      <c r="A26" s="133" t="s">
        <v>64</v>
      </c>
      <c r="B26" s="134">
        <f>SUM(B27:B30)</f>
        <v>14.721</v>
      </c>
      <c r="C26" s="134">
        <f t="shared" ref="C26:AB26" si="1">SUM(C27:C30)</f>
        <v>9.77</v>
      </c>
      <c r="D26" s="134">
        <f t="shared" si="1"/>
        <v>18.256</v>
      </c>
      <c r="E26" s="134">
        <f t="shared" si="1"/>
        <v>-4.8759999999999994</v>
      </c>
      <c r="F26" s="134">
        <f t="shared" si="1"/>
        <v>6.544999999999999</v>
      </c>
      <c r="G26" s="134">
        <f t="shared" si="1"/>
        <v>6.9930000000000003</v>
      </c>
      <c r="H26" s="134">
        <f t="shared" si="1"/>
        <v>14.311999999999999</v>
      </c>
      <c r="I26" s="134">
        <f t="shared" si="1"/>
        <v>11.488</v>
      </c>
      <c r="J26" s="134">
        <f t="shared" si="1"/>
        <v>6.8689999999999998</v>
      </c>
      <c r="K26" s="134">
        <f t="shared" si="1"/>
        <v>15.843999999999999</v>
      </c>
      <c r="L26" s="134">
        <f t="shared" si="1"/>
        <v>22.522999999999996</v>
      </c>
      <c r="M26" s="134">
        <f t="shared" si="1"/>
        <v>22.028000000000002</v>
      </c>
      <c r="N26" s="134">
        <f t="shared" si="1"/>
        <v>21.298999999999999</v>
      </c>
      <c r="O26" s="134">
        <f t="shared" si="1"/>
        <v>22.687000000000001</v>
      </c>
      <c r="P26" s="134">
        <f t="shared" si="1"/>
        <v>26.030999999999999</v>
      </c>
      <c r="Q26" s="134">
        <f t="shared" si="1"/>
        <v>10.299000000000003</v>
      </c>
      <c r="R26" s="134">
        <f t="shared" si="1"/>
        <v>20.207000000000004</v>
      </c>
      <c r="S26" s="134">
        <f t="shared" si="1"/>
        <v>11.587000000000002</v>
      </c>
      <c r="T26" s="134">
        <f t="shared" si="1"/>
        <v>14.711</v>
      </c>
      <c r="U26" s="134">
        <f t="shared" si="1"/>
        <v>38.530999999999999</v>
      </c>
      <c r="V26" s="134">
        <f t="shared" si="1"/>
        <v>19.55</v>
      </c>
      <c r="W26" s="134">
        <f t="shared" si="1"/>
        <v>27.425141660000001</v>
      </c>
      <c r="X26" s="134">
        <f t="shared" si="1"/>
        <v>52.235967926966843</v>
      </c>
      <c r="Y26" s="134">
        <f t="shared" si="1"/>
        <v>29.370107909855157</v>
      </c>
      <c r="Z26" s="134">
        <f t="shared" si="1"/>
        <v>34.4</v>
      </c>
      <c r="AA26" s="134">
        <f t="shared" si="1"/>
        <v>16.96</v>
      </c>
      <c r="AB26" s="134">
        <f t="shared" si="1"/>
        <v>54.640000000000008</v>
      </c>
    </row>
    <row r="27" spans="1:28" ht="14.25">
      <c r="A27" s="114" t="s">
        <v>65</v>
      </c>
      <c r="B27" s="110">
        <v>0.69399999999999995</v>
      </c>
      <c r="C27" s="110">
        <v>4.1470000000000002</v>
      </c>
      <c r="D27" s="110">
        <v>17.007999999999999</v>
      </c>
      <c r="E27" s="110">
        <v>-12.988</v>
      </c>
      <c r="F27" s="110">
        <v>1.1579999999999999</v>
      </c>
      <c r="G27" s="110">
        <v>3.7469999999999999</v>
      </c>
      <c r="H27" s="110">
        <v>11.997999999999999</v>
      </c>
      <c r="I27" s="110">
        <v>8.7859999999999996</v>
      </c>
      <c r="J27" s="110">
        <v>4.9409999999999998</v>
      </c>
      <c r="K27" s="110">
        <v>7.9850000000000003</v>
      </c>
      <c r="L27" s="110">
        <v>14.5</v>
      </c>
      <c r="M27" s="110">
        <v>17.102</v>
      </c>
      <c r="N27" s="110">
        <v>15.319000000000001</v>
      </c>
      <c r="O27" s="110">
        <v>14.849</v>
      </c>
      <c r="P27" s="110">
        <v>15.952999999999999</v>
      </c>
      <c r="Q27" s="110">
        <v>17.518000000000001</v>
      </c>
      <c r="R27" s="110">
        <v>16.774000000000001</v>
      </c>
      <c r="S27" s="110">
        <v>3.621</v>
      </c>
      <c r="T27" s="110">
        <v>9.4329999999999998</v>
      </c>
      <c r="U27" s="110">
        <v>11.381</v>
      </c>
      <c r="V27" s="110">
        <v>10.616</v>
      </c>
      <c r="W27" s="110">
        <v>6.0570000000000004</v>
      </c>
      <c r="X27" s="110">
        <v>3.7794030352308416</v>
      </c>
      <c r="Y27" s="110">
        <v>4.2691972205321562</v>
      </c>
      <c r="Z27" s="110">
        <v>3.7</v>
      </c>
      <c r="AA27" s="110">
        <v>3.5539999999999998</v>
      </c>
      <c r="AB27" s="110">
        <v>4.7510000000000012</v>
      </c>
    </row>
    <row r="28" spans="1:28" ht="14.25">
      <c r="A28" s="114" t="s">
        <v>66</v>
      </c>
      <c r="B28" s="110">
        <v>8.66</v>
      </c>
      <c r="C28" s="110">
        <v>3.7770000000000001</v>
      </c>
      <c r="D28" s="110">
        <v>4.4630000000000001</v>
      </c>
      <c r="E28" s="110">
        <v>7.2469999999999999</v>
      </c>
      <c r="F28" s="110">
        <v>5.2409999999999997</v>
      </c>
      <c r="G28" s="110">
        <v>1.6919999999999999</v>
      </c>
      <c r="H28" s="110">
        <v>1.9330000000000001</v>
      </c>
      <c r="I28" s="110">
        <v>3.67</v>
      </c>
      <c r="J28" s="110">
        <v>1.657</v>
      </c>
      <c r="K28" s="110">
        <v>1.8380000000000001</v>
      </c>
      <c r="L28" s="110">
        <v>1.8340000000000001</v>
      </c>
      <c r="M28" s="110">
        <v>3.64</v>
      </c>
      <c r="N28" s="110">
        <v>1.8859999999999999</v>
      </c>
      <c r="O28" s="110">
        <v>1.835</v>
      </c>
      <c r="P28" s="110">
        <v>2.9969999999999999</v>
      </c>
      <c r="Q28" s="110">
        <v>0.97799999999999998</v>
      </c>
      <c r="R28" s="110">
        <v>1.6659999999999999</v>
      </c>
      <c r="S28" s="110">
        <v>5.5410000000000004</v>
      </c>
      <c r="T28" s="110">
        <v>1.01</v>
      </c>
      <c r="U28" s="110">
        <v>3.411</v>
      </c>
      <c r="V28" s="110">
        <v>1.68</v>
      </c>
      <c r="W28" s="110">
        <v>3.5999999999999997E-2</v>
      </c>
      <c r="X28" s="110">
        <v>8.8273547954420106</v>
      </c>
      <c r="Y28" s="110">
        <v>6.6110299745579901</v>
      </c>
      <c r="Z28" s="110">
        <v>5</v>
      </c>
      <c r="AA28" s="110">
        <v>4.0650000000000004</v>
      </c>
      <c r="AB28" s="110">
        <v>7.6900000000000048</v>
      </c>
    </row>
    <row r="29" spans="1:28" ht="14.25">
      <c r="A29" s="114" t="s">
        <v>67</v>
      </c>
      <c r="B29" s="110"/>
      <c r="C29" s="110"/>
      <c r="D29" s="110"/>
      <c r="E29" s="110"/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5.6829999999999998</v>
      </c>
      <c r="L29" s="110">
        <v>0.68200000000000005</v>
      </c>
      <c r="M29" s="110">
        <v>1.07</v>
      </c>
      <c r="N29" s="110">
        <v>1.4119999999999999</v>
      </c>
      <c r="O29" s="110">
        <v>1.6859999999999999</v>
      </c>
      <c r="P29" s="110">
        <v>1.966</v>
      </c>
      <c r="Q29" s="110">
        <v>1.9630000000000001</v>
      </c>
      <c r="R29" s="110">
        <v>2.0649999999999999</v>
      </c>
      <c r="S29" s="110">
        <v>1.714</v>
      </c>
      <c r="T29" s="110">
        <v>2.1949999999999998</v>
      </c>
      <c r="U29" s="110">
        <v>21.695</v>
      </c>
      <c r="V29" s="110">
        <v>0.52200000000000002</v>
      </c>
      <c r="W29" s="110">
        <v>1.4401416600000012</v>
      </c>
      <c r="X29" s="110">
        <v>4.2184257599999988</v>
      </c>
      <c r="Y29" s="110">
        <v>5.1544325799999999</v>
      </c>
      <c r="Z29" s="110">
        <v>2.5</v>
      </c>
      <c r="AA29" s="110">
        <v>2.754</v>
      </c>
      <c r="AB29" s="110">
        <v>2.7629999999999999</v>
      </c>
    </row>
    <row r="30" spans="1:28" ht="14.25">
      <c r="A30" s="114" t="s">
        <v>68</v>
      </c>
      <c r="B30" s="110">
        <v>5.367</v>
      </c>
      <c r="C30" s="110">
        <v>1.8460000000000001</v>
      </c>
      <c r="D30" s="110">
        <v>-3.2149999999999999</v>
      </c>
      <c r="E30" s="110">
        <v>0.86499999999999999</v>
      </c>
      <c r="F30" s="110">
        <v>0.14599999999999999</v>
      </c>
      <c r="G30" s="110">
        <v>1.554</v>
      </c>
      <c r="H30" s="110">
        <v>0.38100000000000001</v>
      </c>
      <c r="I30" s="110">
        <v>-0.96799999999999997</v>
      </c>
      <c r="J30" s="110">
        <v>0.27100000000000002</v>
      </c>
      <c r="K30" s="110">
        <v>0.33800000000000002</v>
      </c>
      <c r="L30" s="110">
        <v>5.5069999999999997</v>
      </c>
      <c r="M30" s="110">
        <v>0.216</v>
      </c>
      <c r="N30" s="110">
        <v>2.6819999999999999</v>
      </c>
      <c r="O30" s="110">
        <v>4.3170000000000002</v>
      </c>
      <c r="P30" s="110">
        <v>5.1150000000000002</v>
      </c>
      <c r="Q30" s="110">
        <v>-10.16</v>
      </c>
      <c r="R30" s="110">
        <v>-0.29799999999999999</v>
      </c>
      <c r="S30" s="110">
        <v>0.71099999999999997</v>
      </c>
      <c r="T30" s="110">
        <v>2.073</v>
      </c>
      <c r="U30" s="110">
        <v>2.044</v>
      </c>
      <c r="V30" s="110">
        <v>6.7320000000000002</v>
      </c>
      <c r="W30" s="110">
        <v>19.891999999999999</v>
      </c>
      <c r="X30" s="110">
        <v>35.410784336293993</v>
      </c>
      <c r="Y30" s="110">
        <v>13.335448134765008</v>
      </c>
      <c r="Z30" s="110">
        <v>23.2</v>
      </c>
      <c r="AA30" s="110">
        <v>6.5869999999999997</v>
      </c>
      <c r="AB30" s="110">
        <v>39.436</v>
      </c>
    </row>
    <row r="31" spans="1:28" ht="14.25">
      <c r="A31" s="182" t="s">
        <v>69</v>
      </c>
      <c r="B31" s="135">
        <v>-1.992</v>
      </c>
      <c r="C31" s="135">
        <v>1.163</v>
      </c>
      <c r="D31" s="135">
        <v>-0.112</v>
      </c>
      <c r="E31" s="135">
        <v>9.4629999999999992</v>
      </c>
      <c r="F31" s="135">
        <v>25.350999999999999</v>
      </c>
      <c r="G31" s="135">
        <v>25.439</v>
      </c>
      <c r="H31" s="135">
        <v>-4.891</v>
      </c>
      <c r="I31" s="135">
        <v>-22.648</v>
      </c>
      <c r="J31" s="135">
        <v>20.844999999999999</v>
      </c>
      <c r="K31" s="135">
        <v>-12.215</v>
      </c>
      <c r="L31" s="135">
        <v>11.198</v>
      </c>
      <c r="M31" s="135">
        <v>16.978000000000002</v>
      </c>
      <c r="N31" s="135">
        <v>-18.297999999999998</v>
      </c>
      <c r="O31" s="135">
        <v>6.6059999999999999</v>
      </c>
      <c r="P31" s="135">
        <v>1.8320000000000001</v>
      </c>
      <c r="Q31" s="135">
        <v>-4.4960000000000004</v>
      </c>
      <c r="R31" s="135">
        <v>-11.757</v>
      </c>
      <c r="S31" s="135">
        <v>-11.853</v>
      </c>
      <c r="T31" s="135">
        <v>22.222999999999999</v>
      </c>
      <c r="U31" s="135">
        <v>-10.512</v>
      </c>
      <c r="V31" s="135">
        <v>-6.25</v>
      </c>
      <c r="W31" s="135">
        <v>18.184999999999999</v>
      </c>
      <c r="X31" s="135">
        <v>-18.434609050866776</v>
      </c>
      <c r="Y31" s="135">
        <v>3.3826554299999998</v>
      </c>
      <c r="Z31" s="135">
        <v>5.7</v>
      </c>
      <c r="AA31" s="135">
        <v>-0.2</v>
      </c>
      <c r="AB31" s="135">
        <v>-17.109435920000003</v>
      </c>
    </row>
    <row r="32" spans="1:28" ht="14.25">
      <c r="A32" s="133" t="s">
        <v>70</v>
      </c>
      <c r="B32" s="115">
        <f>SUM(B31,B26,B19)</f>
        <v>-40.248999999999995</v>
      </c>
      <c r="C32" s="115">
        <f t="shared" ref="C32:AB32" si="2">SUM(C31,C26,C19)</f>
        <v>-52.205000000000005</v>
      </c>
      <c r="D32" s="115">
        <f t="shared" si="2"/>
        <v>-57.260999999999996</v>
      </c>
      <c r="E32" s="115">
        <f t="shared" si="2"/>
        <v>-65.203000000000003</v>
      </c>
      <c r="F32" s="115">
        <f t="shared" si="2"/>
        <v>-50.309999999999988</v>
      </c>
      <c r="G32" s="115">
        <f t="shared" si="2"/>
        <v>16.540000000000003</v>
      </c>
      <c r="H32" s="115">
        <f t="shared" si="2"/>
        <v>-11.727</v>
      </c>
      <c r="I32" s="115">
        <f t="shared" si="2"/>
        <v>-89.691999999999993</v>
      </c>
      <c r="J32" s="115">
        <f t="shared" si="2"/>
        <v>-10.531000000000006</v>
      </c>
      <c r="K32" s="115">
        <f t="shared" si="2"/>
        <v>-35.115000000000002</v>
      </c>
      <c r="L32" s="115">
        <f t="shared" si="2"/>
        <v>-13.900000000000006</v>
      </c>
      <c r="M32" s="115">
        <f t="shared" si="2"/>
        <v>-42.116000000000014</v>
      </c>
      <c r="N32" s="115">
        <f t="shared" si="2"/>
        <v>-88.789999999999992</v>
      </c>
      <c r="O32" s="115">
        <f t="shared" si="2"/>
        <v>-39.936</v>
      </c>
      <c r="P32" s="115">
        <f t="shared" si="2"/>
        <v>-69.165999999999997</v>
      </c>
      <c r="Q32" s="115">
        <f t="shared" si="2"/>
        <v>-111.60900000000001</v>
      </c>
      <c r="R32" s="115">
        <f t="shared" si="2"/>
        <v>-96.73099999999998</v>
      </c>
      <c r="S32" s="115">
        <f t="shared" si="2"/>
        <v>-116.50799999999998</v>
      </c>
      <c r="T32" s="115">
        <f t="shared" si="2"/>
        <v>-60.052000000000007</v>
      </c>
      <c r="U32" s="115">
        <f t="shared" si="2"/>
        <v>-48.738000000000007</v>
      </c>
      <c r="V32" s="115">
        <f t="shared" si="2"/>
        <v>-67.51600000000002</v>
      </c>
      <c r="W32" s="115">
        <f t="shared" si="2"/>
        <v>-16.645199125409</v>
      </c>
      <c r="X32" s="115">
        <f t="shared" si="2"/>
        <v>-42.793809498185439</v>
      </c>
      <c r="Y32" s="115">
        <f t="shared" si="2"/>
        <v>-74.023256969713742</v>
      </c>
      <c r="Z32" s="115">
        <f t="shared" si="2"/>
        <v>-53.1</v>
      </c>
      <c r="AA32" s="115">
        <f t="shared" si="2"/>
        <v>-74.72</v>
      </c>
      <c r="AB32" s="115">
        <f t="shared" si="2"/>
        <v>-62.129771061283932</v>
      </c>
    </row>
    <row r="33" spans="1:28">
      <c r="AA33" s="187"/>
      <c r="AB33" s="187"/>
    </row>
    <row r="34" spans="1:28" ht="14.25">
      <c r="A34"/>
      <c r="C34"/>
      <c r="D34"/>
      <c r="E34"/>
      <c r="W34" s="118"/>
      <c r="X34" s="118"/>
      <c r="Y34" s="118"/>
    </row>
    <row r="35" spans="1:28" ht="14.25">
      <c r="A35"/>
      <c r="C35"/>
      <c r="D35"/>
      <c r="E35"/>
    </row>
    <row r="36" spans="1:28" ht="4.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8" spans="1:28">
      <c r="B38" s="36"/>
    </row>
  </sheetData>
  <mergeCells count="2">
    <mergeCell ref="A1:A2"/>
    <mergeCell ref="B2:E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T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0" ht="17.25" customHeight="1">
      <c r="A1" s="192"/>
    </row>
    <row r="2" spans="1:20" ht="17.25" customHeight="1">
      <c r="A2" s="192"/>
    </row>
    <row r="3" spans="1:2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6.5" customHeight="1">
      <c r="A4" s="29" t="s">
        <v>82</v>
      </c>
      <c r="B4" s="35" t="s">
        <v>10</v>
      </c>
      <c r="C4" s="35" t="s">
        <v>11</v>
      </c>
      <c r="D4" s="35" t="s">
        <v>12</v>
      </c>
      <c r="E4" s="35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71</v>
      </c>
      <c r="K4" s="34" t="s">
        <v>72</v>
      </c>
      <c r="L4" s="34" t="s">
        <v>73</v>
      </c>
      <c r="M4" s="34" t="s">
        <v>74</v>
      </c>
      <c r="N4" s="34" t="s">
        <v>75</v>
      </c>
      <c r="O4" s="34" t="s">
        <v>76</v>
      </c>
      <c r="P4" s="34" t="s">
        <v>77</v>
      </c>
      <c r="Q4" s="34" t="s">
        <v>78</v>
      </c>
      <c r="R4" s="34" t="s">
        <v>79</v>
      </c>
      <c r="S4" s="34" t="s">
        <v>80</v>
      </c>
      <c r="T4" s="34" t="s">
        <v>81</v>
      </c>
    </row>
    <row r="5" spans="1:20" ht="6.6" customHeight="1">
      <c r="A5" s="29"/>
      <c r="B5" s="28"/>
      <c r="C5" s="28"/>
      <c r="D5" s="28"/>
      <c r="E5" s="28"/>
      <c r="F5" s="28"/>
      <c r="G5" s="28"/>
    </row>
    <row r="6" spans="1:20" s="13" customFormat="1">
      <c r="A6" s="82" t="s">
        <v>83</v>
      </c>
      <c r="B6" s="87">
        <v>1245</v>
      </c>
      <c r="C6" s="87">
        <v>1200</v>
      </c>
      <c r="D6" s="87">
        <v>1189</v>
      </c>
      <c r="E6" s="87">
        <v>1176</v>
      </c>
      <c r="F6" s="87">
        <v>1158</v>
      </c>
      <c r="G6" s="87">
        <v>1147</v>
      </c>
      <c r="H6" s="87">
        <v>1129</v>
      </c>
      <c r="I6" s="87">
        <v>1111</v>
      </c>
      <c r="J6" s="87">
        <v>1091</v>
      </c>
      <c r="K6" s="87">
        <v>1092</v>
      </c>
      <c r="L6" s="87">
        <v>1088</v>
      </c>
      <c r="M6" s="87">
        <v>1105</v>
      </c>
      <c r="N6" s="87">
        <f>N7+N10</f>
        <v>1137</v>
      </c>
      <c r="O6" s="87">
        <f>O7+O10</f>
        <v>1185</v>
      </c>
      <c r="P6" s="87">
        <f>P7+P10</f>
        <v>1249</v>
      </c>
      <c r="Q6" s="87">
        <f>Q7+Q10</f>
        <v>1341</v>
      </c>
      <c r="R6" s="87">
        <f t="shared" ref="R6:S6" si="0">R7+R10</f>
        <v>1358</v>
      </c>
      <c r="S6" s="87">
        <f t="shared" si="0"/>
        <v>1393</v>
      </c>
      <c r="T6" s="87">
        <f t="shared" ref="T6" si="1">T7+T10</f>
        <v>1416</v>
      </c>
    </row>
    <row r="7" spans="1:20" s="13" customFormat="1">
      <c r="A7" s="90" t="s">
        <v>26</v>
      </c>
      <c r="B7" s="92">
        <v>1186</v>
      </c>
      <c r="C7" s="92">
        <v>1142</v>
      </c>
      <c r="D7" s="92">
        <v>1132</v>
      </c>
      <c r="E7" s="92">
        <v>1119</v>
      </c>
      <c r="F7" s="92">
        <v>1103</v>
      </c>
      <c r="G7" s="92">
        <v>1093</v>
      </c>
      <c r="H7" s="92">
        <v>1076</v>
      </c>
      <c r="I7" s="92">
        <v>1059</v>
      </c>
      <c r="J7" s="92">
        <v>1039</v>
      </c>
      <c r="K7" s="92">
        <v>1040</v>
      </c>
      <c r="L7" s="92">
        <v>1038</v>
      </c>
      <c r="M7" s="92">
        <v>1054</v>
      </c>
      <c r="N7" s="92">
        <v>1084</v>
      </c>
      <c r="O7" s="92">
        <f>SUM(O8:O9)</f>
        <v>1132</v>
      </c>
      <c r="P7" s="92">
        <f>SUM(P8:P9)</f>
        <v>1196</v>
      </c>
      <c r="Q7" s="92">
        <f>SUM(Q8:Q9)</f>
        <v>1286</v>
      </c>
      <c r="R7" s="92">
        <f t="shared" ref="R7:S7" si="2">SUM(R8:R9)</f>
        <v>1303</v>
      </c>
      <c r="S7" s="92">
        <f t="shared" si="2"/>
        <v>1338</v>
      </c>
      <c r="T7" s="92">
        <f t="shared" ref="T7" si="3">SUM(T8:T9)</f>
        <v>1361</v>
      </c>
    </row>
    <row r="8" spans="1:20" s="13" customFormat="1">
      <c r="A8" s="84" t="s">
        <v>84</v>
      </c>
      <c r="B8" s="88">
        <v>6</v>
      </c>
      <c r="C8" s="88">
        <v>6</v>
      </c>
      <c r="D8" s="88">
        <v>9</v>
      </c>
      <c r="E8" s="88">
        <v>12</v>
      </c>
      <c r="F8" s="88">
        <v>13</v>
      </c>
      <c r="G8" s="88">
        <v>16</v>
      </c>
      <c r="H8" s="88">
        <v>16</v>
      </c>
      <c r="I8" s="88">
        <v>14</v>
      </c>
      <c r="J8" s="88">
        <v>7</v>
      </c>
      <c r="K8" s="88">
        <v>5</v>
      </c>
      <c r="L8" s="88">
        <v>5</v>
      </c>
      <c r="M8" s="88">
        <v>5</v>
      </c>
      <c r="N8" s="88">
        <v>4</v>
      </c>
      <c r="O8" s="88">
        <v>4</v>
      </c>
      <c r="P8" s="88">
        <v>4</v>
      </c>
      <c r="Q8" s="88">
        <v>4</v>
      </c>
      <c r="R8" s="88">
        <v>4</v>
      </c>
      <c r="S8" s="88">
        <v>4</v>
      </c>
      <c r="T8" s="88">
        <v>4</v>
      </c>
    </row>
    <row r="9" spans="1:20">
      <c r="A9" s="91" t="s">
        <v>85</v>
      </c>
      <c r="B9" s="88">
        <v>1180</v>
      </c>
      <c r="C9" s="88">
        <v>1136</v>
      </c>
      <c r="D9" s="88">
        <v>1123</v>
      </c>
      <c r="E9" s="88">
        <v>1107</v>
      </c>
      <c r="F9" s="88">
        <v>1090</v>
      </c>
      <c r="G9" s="88">
        <v>1077</v>
      </c>
      <c r="H9" s="88">
        <v>1060</v>
      </c>
      <c r="I9" s="88">
        <v>1045</v>
      </c>
      <c r="J9" s="88">
        <v>1032</v>
      </c>
      <c r="K9" s="88">
        <v>1035</v>
      </c>
      <c r="L9" s="88">
        <v>1033</v>
      </c>
      <c r="M9" s="88">
        <v>1049</v>
      </c>
      <c r="N9" s="88">
        <v>1080</v>
      </c>
      <c r="O9" s="88">
        <v>1128</v>
      </c>
      <c r="P9" s="88">
        <v>1192</v>
      </c>
      <c r="Q9" s="88">
        <v>1282</v>
      </c>
      <c r="R9" s="88">
        <v>1299</v>
      </c>
      <c r="S9" s="88">
        <v>1334</v>
      </c>
      <c r="T9" s="88">
        <v>1357</v>
      </c>
    </row>
    <row r="10" spans="1:20">
      <c r="A10" s="90" t="s">
        <v>27</v>
      </c>
      <c r="B10" s="92">
        <v>59</v>
      </c>
      <c r="C10" s="92">
        <v>58</v>
      </c>
      <c r="D10" s="92">
        <v>57</v>
      </c>
      <c r="E10" s="92">
        <v>57</v>
      </c>
      <c r="F10" s="92">
        <v>55</v>
      </c>
      <c r="G10" s="92">
        <v>54</v>
      </c>
      <c r="H10" s="92">
        <v>53</v>
      </c>
      <c r="I10" s="92">
        <v>52</v>
      </c>
      <c r="J10" s="92">
        <v>52</v>
      </c>
      <c r="K10" s="92">
        <v>52</v>
      </c>
      <c r="L10" s="92">
        <v>50</v>
      </c>
      <c r="M10" s="92">
        <v>51</v>
      </c>
      <c r="N10" s="92">
        <f>N11+N12</f>
        <v>53</v>
      </c>
      <c r="O10" s="92">
        <v>53</v>
      </c>
      <c r="P10" s="92">
        <f>SUM(P11:P12)</f>
        <v>53</v>
      </c>
      <c r="Q10" s="92">
        <f>SUM(Q11:Q12)</f>
        <v>55</v>
      </c>
      <c r="R10" s="92">
        <f t="shared" ref="R10:T10" si="4">SUM(R11:R12)</f>
        <v>55</v>
      </c>
      <c r="S10" s="92">
        <f t="shared" si="4"/>
        <v>55</v>
      </c>
      <c r="T10" s="92">
        <f t="shared" si="4"/>
        <v>55</v>
      </c>
    </row>
    <row r="11" spans="1:20">
      <c r="A11" s="84" t="s">
        <v>84</v>
      </c>
      <c r="B11" s="89">
        <v>5</v>
      </c>
      <c r="C11" s="89">
        <v>5</v>
      </c>
      <c r="D11" s="89">
        <v>4</v>
      </c>
      <c r="E11" s="89">
        <v>4</v>
      </c>
      <c r="F11" s="89">
        <v>4</v>
      </c>
      <c r="G11" s="89">
        <v>4</v>
      </c>
      <c r="H11" s="89">
        <v>4</v>
      </c>
      <c r="I11" s="89">
        <v>4</v>
      </c>
      <c r="J11" s="89">
        <v>2</v>
      </c>
      <c r="K11" s="89">
        <v>2</v>
      </c>
      <c r="L11" s="89">
        <v>2</v>
      </c>
      <c r="M11" s="89">
        <v>2</v>
      </c>
      <c r="N11" s="89">
        <v>2</v>
      </c>
      <c r="O11" s="89">
        <v>2</v>
      </c>
      <c r="P11" s="89">
        <v>2</v>
      </c>
      <c r="Q11" s="89">
        <v>2</v>
      </c>
      <c r="R11" s="89">
        <v>2</v>
      </c>
      <c r="S11" s="89">
        <v>2</v>
      </c>
      <c r="T11" s="89">
        <v>2</v>
      </c>
    </row>
    <row r="12" spans="1:20">
      <c r="A12" s="83" t="s">
        <v>85</v>
      </c>
      <c r="B12" s="88">
        <v>54</v>
      </c>
      <c r="C12" s="88">
        <v>53</v>
      </c>
      <c r="D12" s="88">
        <v>53</v>
      </c>
      <c r="E12" s="88">
        <v>53</v>
      </c>
      <c r="F12" s="88">
        <v>51</v>
      </c>
      <c r="G12" s="88">
        <v>50</v>
      </c>
      <c r="H12" s="88">
        <v>49</v>
      </c>
      <c r="I12" s="88">
        <v>48</v>
      </c>
      <c r="J12" s="88">
        <v>50</v>
      </c>
      <c r="K12" s="88">
        <v>50</v>
      </c>
      <c r="L12" s="88">
        <v>48</v>
      </c>
      <c r="M12" s="88">
        <v>49</v>
      </c>
      <c r="N12" s="88">
        <v>51</v>
      </c>
      <c r="O12" s="88">
        <v>51</v>
      </c>
      <c r="P12" s="88">
        <v>51</v>
      </c>
      <c r="Q12" s="88">
        <v>53</v>
      </c>
      <c r="R12" s="88">
        <v>53</v>
      </c>
      <c r="S12" s="88">
        <v>53</v>
      </c>
      <c r="T12" s="88">
        <v>53</v>
      </c>
    </row>
    <row r="13" spans="1:20">
      <c r="A13" s="82" t="s">
        <v>28</v>
      </c>
      <c r="B13" s="87">
        <v>93</v>
      </c>
      <c r="C13" s="87">
        <v>95</v>
      </c>
      <c r="D13" s="87">
        <v>99</v>
      </c>
      <c r="E13" s="87">
        <v>103</v>
      </c>
      <c r="F13" s="87">
        <v>98</v>
      </c>
      <c r="G13" s="87">
        <v>98</v>
      </c>
      <c r="H13" s="87">
        <v>107</v>
      </c>
      <c r="I13" s="87">
        <v>107</v>
      </c>
      <c r="J13" s="87">
        <v>114</v>
      </c>
      <c r="K13" s="87">
        <v>116</v>
      </c>
      <c r="L13" s="87">
        <v>121</v>
      </c>
      <c r="M13" s="87">
        <v>122</v>
      </c>
      <c r="N13" s="87">
        <f>N14</f>
        <v>123</v>
      </c>
      <c r="O13" s="87">
        <f>O14</f>
        <v>125</v>
      </c>
      <c r="P13" s="87">
        <f>P14</f>
        <v>143</v>
      </c>
      <c r="Q13" s="87">
        <f>Q14</f>
        <v>151</v>
      </c>
      <c r="R13" s="87">
        <f t="shared" ref="R13:T13" si="5">R14</f>
        <v>165</v>
      </c>
      <c r="S13" s="87">
        <f t="shared" si="5"/>
        <v>172</v>
      </c>
      <c r="T13" s="87">
        <f t="shared" si="5"/>
        <v>181</v>
      </c>
    </row>
    <row r="14" spans="1:20">
      <c r="A14" s="85" t="s">
        <v>29</v>
      </c>
      <c r="B14" s="93">
        <v>93</v>
      </c>
      <c r="C14" s="93">
        <v>95</v>
      </c>
      <c r="D14" s="93">
        <v>99</v>
      </c>
      <c r="E14" s="93">
        <v>103</v>
      </c>
      <c r="F14" s="93">
        <v>98</v>
      </c>
      <c r="G14" s="93">
        <v>98</v>
      </c>
      <c r="H14" s="93">
        <v>107</v>
      </c>
      <c r="I14" s="93">
        <v>107</v>
      </c>
      <c r="J14" s="93">
        <v>114</v>
      </c>
      <c r="K14" s="93">
        <v>116</v>
      </c>
      <c r="L14" s="93">
        <v>121</v>
      </c>
      <c r="M14" s="93">
        <v>122</v>
      </c>
      <c r="N14" s="93">
        <v>123</v>
      </c>
      <c r="O14" s="93">
        <f>SUM(O15:O16)</f>
        <v>125</v>
      </c>
      <c r="P14" s="93">
        <f>SUM(P15:P16)</f>
        <v>143</v>
      </c>
      <c r="Q14" s="93">
        <f>SUM(Q15:Q16)</f>
        <v>151</v>
      </c>
      <c r="R14" s="93">
        <f t="shared" ref="R14:T14" si="6">SUM(R15:R16)</f>
        <v>165</v>
      </c>
      <c r="S14" s="93">
        <f t="shared" si="6"/>
        <v>172</v>
      </c>
      <c r="T14" s="93">
        <f t="shared" si="6"/>
        <v>181</v>
      </c>
    </row>
    <row r="15" spans="1:20" s="13" customFormat="1">
      <c r="A15" s="83" t="s">
        <v>84</v>
      </c>
      <c r="B15" s="86">
        <v>8</v>
      </c>
      <c r="C15" s="86">
        <v>8</v>
      </c>
      <c r="D15" s="86">
        <v>8</v>
      </c>
      <c r="E15" s="86">
        <v>7</v>
      </c>
      <c r="F15" s="86">
        <v>7</v>
      </c>
      <c r="G15" s="86">
        <v>7</v>
      </c>
      <c r="H15" s="86">
        <v>5</v>
      </c>
      <c r="I15" s="86">
        <v>5</v>
      </c>
      <c r="J15" s="86">
        <v>5</v>
      </c>
      <c r="K15" s="86">
        <v>5</v>
      </c>
      <c r="L15" s="86">
        <v>5</v>
      </c>
      <c r="M15" s="86">
        <v>2</v>
      </c>
      <c r="N15" s="86">
        <v>2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</row>
    <row r="16" spans="1:20" s="13" customFormat="1">
      <c r="A16" s="83" t="s">
        <v>85</v>
      </c>
      <c r="B16" s="88">
        <v>85</v>
      </c>
      <c r="C16" s="88">
        <v>87</v>
      </c>
      <c r="D16" s="88">
        <v>91</v>
      </c>
      <c r="E16" s="88">
        <v>96</v>
      </c>
      <c r="F16" s="88">
        <v>91</v>
      </c>
      <c r="G16" s="88">
        <v>91</v>
      </c>
      <c r="H16" s="88">
        <v>102</v>
      </c>
      <c r="I16" s="88">
        <v>102</v>
      </c>
      <c r="J16" s="88">
        <v>109</v>
      </c>
      <c r="K16" s="88">
        <v>111</v>
      </c>
      <c r="L16" s="88">
        <v>116</v>
      </c>
      <c r="M16" s="88">
        <v>120</v>
      </c>
      <c r="N16" s="88">
        <v>121</v>
      </c>
      <c r="O16" s="88">
        <v>124</v>
      </c>
      <c r="P16" s="88">
        <v>142</v>
      </c>
      <c r="Q16" s="88">
        <v>150</v>
      </c>
      <c r="R16" s="88">
        <v>164</v>
      </c>
      <c r="S16" s="88">
        <v>171</v>
      </c>
      <c r="T16" s="88">
        <v>180</v>
      </c>
    </row>
    <row r="17" spans="1:20" s="13" customFormat="1">
      <c r="A17" s="82" t="s">
        <v>30</v>
      </c>
      <c r="B17" s="87">
        <v>1338</v>
      </c>
      <c r="C17" s="87">
        <v>1295</v>
      </c>
      <c r="D17" s="87">
        <v>1288</v>
      </c>
      <c r="E17" s="87">
        <v>1279</v>
      </c>
      <c r="F17" s="87">
        <v>1256</v>
      </c>
      <c r="G17" s="87">
        <v>1245</v>
      </c>
      <c r="H17" s="87">
        <v>1236</v>
      </c>
      <c r="I17" s="87">
        <v>1218</v>
      </c>
      <c r="J17" s="87">
        <v>1205</v>
      </c>
      <c r="K17" s="87">
        <v>1208</v>
      </c>
      <c r="L17" s="87">
        <v>1209</v>
      </c>
      <c r="M17" s="87">
        <v>1227</v>
      </c>
      <c r="N17" s="87">
        <f>N13+N6</f>
        <v>1260</v>
      </c>
      <c r="O17" s="87">
        <f>O13+O6</f>
        <v>1310</v>
      </c>
      <c r="P17" s="87">
        <f>P13+P6</f>
        <v>1392</v>
      </c>
      <c r="Q17" s="87">
        <f>Q13+Q6</f>
        <v>1492</v>
      </c>
      <c r="R17" s="87">
        <f t="shared" ref="R17:T17" si="7">R13+R6</f>
        <v>1523</v>
      </c>
      <c r="S17" s="87">
        <f t="shared" si="7"/>
        <v>1565</v>
      </c>
      <c r="T17" s="87">
        <f t="shared" si="7"/>
        <v>1597</v>
      </c>
    </row>
    <row r="18" spans="1:20">
      <c r="B18"/>
      <c r="C18"/>
    </row>
    <row r="21" spans="1:20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>
      <c r="B22"/>
      <c r="C22"/>
    </row>
    <row r="23" spans="1:20">
      <c r="D23" s="11"/>
      <c r="E23" s="11"/>
      <c r="F23" s="11"/>
      <c r="G23" s="11"/>
    </row>
    <row r="24" spans="1:20">
      <c r="D24" s="11"/>
      <c r="E24" s="11"/>
      <c r="F24" s="11"/>
      <c r="G24" s="11"/>
    </row>
    <row r="25" spans="1:20">
      <c r="D25" s="11"/>
      <c r="E25" s="11"/>
      <c r="F25" s="11"/>
      <c r="G25" s="11"/>
    </row>
    <row r="26" spans="1:20">
      <c r="D26" s="11"/>
      <c r="E26" s="11"/>
      <c r="F26" s="11"/>
      <c r="G26" s="11"/>
    </row>
    <row r="27" spans="1:20">
      <c r="D27" s="11"/>
      <c r="E27" s="11"/>
      <c r="F27" s="11"/>
      <c r="G27" s="11"/>
    </row>
    <row r="28" spans="1:20">
      <c r="D28" s="11"/>
      <c r="E28" s="11"/>
      <c r="F28" s="11"/>
      <c r="G28" s="11"/>
    </row>
    <row r="29" spans="1:20">
      <c r="D29" s="11"/>
      <c r="E29" s="11"/>
      <c r="F29" s="11"/>
      <c r="G29" s="11"/>
    </row>
    <row r="30" spans="1:20">
      <c r="D30" s="11"/>
      <c r="E30" s="11"/>
      <c r="F30" s="11"/>
      <c r="G30" s="11"/>
    </row>
    <row r="31" spans="1:20">
      <c r="D31" s="11"/>
      <c r="E31" s="11"/>
      <c r="F31" s="11"/>
      <c r="G31" s="11"/>
    </row>
    <row r="32" spans="1:20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sqref="A1:A2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92"/>
      <c r="B1" s="171"/>
      <c r="C1" s="171"/>
      <c r="D1" s="171"/>
      <c r="E1" s="171"/>
    </row>
    <row r="2" spans="1:30" ht="17.25">
      <c r="A2" s="192"/>
      <c r="B2" s="171"/>
      <c r="C2" s="171"/>
      <c r="D2" s="171"/>
      <c r="E2" s="171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16.5" customHeight="1">
      <c r="A4" s="29" t="s">
        <v>86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</row>
    <row r="5" spans="1:30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87</v>
      </c>
      <c r="B7" s="165">
        <v>484.78300000000002</v>
      </c>
      <c r="C7" s="20">
        <v>464.92</v>
      </c>
      <c r="D7" s="154"/>
      <c r="E7" s="154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12"/>
      <c r="AD7" s="12"/>
    </row>
    <row r="8" spans="1:30" s="13" customFormat="1">
      <c r="A8" s="175" t="s">
        <v>88</v>
      </c>
      <c r="B8" s="175"/>
      <c r="C8" s="176"/>
      <c r="D8" s="175"/>
      <c r="E8" s="175"/>
      <c r="F8" s="176"/>
      <c r="G8" s="176"/>
      <c r="H8" s="176"/>
      <c r="I8" s="176"/>
      <c r="J8" s="176"/>
      <c r="K8" s="176"/>
      <c r="L8" s="176"/>
      <c r="M8" s="176"/>
      <c r="N8" s="176">
        <f>SUM(N9:N10,N13:N14)</f>
        <v>-308.8</v>
      </c>
      <c r="O8" s="176">
        <f t="shared" ref="O8:X8" si="0">SUM(O9:O10,O13:O14)</f>
        <v>-319.29999999999995</v>
      </c>
      <c r="P8" s="176">
        <f t="shared" si="0"/>
        <v>-339.09999999999997</v>
      </c>
      <c r="Q8" s="176">
        <f t="shared" si="0"/>
        <v>-292.09999999999997</v>
      </c>
      <c r="R8" s="176">
        <f t="shared" si="0"/>
        <v>-331.90000000000003</v>
      </c>
      <c r="S8" s="176">
        <f t="shared" si="0"/>
        <v>-324.64428999999996</v>
      </c>
      <c r="T8" s="176">
        <f t="shared" si="0"/>
        <v>-407.2283802721181</v>
      </c>
      <c r="U8" s="176">
        <f t="shared" si="0"/>
        <v>-359.65859064014342</v>
      </c>
      <c r="V8" s="176">
        <f t="shared" si="0"/>
        <v>-284.22558183082316</v>
      </c>
      <c r="W8" s="176">
        <f t="shared" si="0"/>
        <v>-293.84361427010185</v>
      </c>
      <c r="X8" s="176">
        <f t="shared" si="0"/>
        <v>-303.26823043864727</v>
      </c>
      <c r="Y8" s="176">
        <f t="shared" ref="Y8:AA8" si="1">SUM(Y9:Y10,Y13:Y14)</f>
        <v>-342.66223883088935</v>
      </c>
      <c r="Z8" s="176">
        <f t="shared" si="1"/>
        <v>-313.79992696212241</v>
      </c>
      <c r="AA8" s="176">
        <f t="shared" si="1"/>
        <v>-310.65544610758775</v>
      </c>
      <c r="AB8" s="176">
        <f t="shared" ref="AB8" si="2">SUM(AB9:AB10,AB13:AB14)</f>
        <v>-286.75045099232563</v>
      </c>
      <c r="AC8" s="12"/>
      <c r="AD8" s="12"/>
    </row>
    <row r="9" spans="1:30" s="13" customFormat="1" ht="15" thickBot="1">
      <c r="A9" s="172" t="s">
        <v>52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12"/>
      <c r="AD9" s="12"/>
    </row>
    <row r="10" spans="1:30" ht="15" thickBot="1">
      <c r="A10" s="173" t="s">
        <v>51</v>
      </c>
      <c r="B10" s="21">
        <v>-182.679</v>
      </c>
      <c r="C10" s="21">
        <v>-201.41200000000001</v>
      </c>
      <c r="D10" s="155"/>
      <c r="E10" s="155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B10" si="3">SUM(W11:W12)</f>
        <v>-248.59074790270549</v>
      </c>
      <c r="X10" s="21">
        <f t="shared" si="3"/>
        <v>-235.99054174609617</v>
      </c>
      <c r="Y10" s="21">
        <f t="shared" si="3"/>
        <v>-257.50240235941908</v>
      </c>
      <c r="Z10" s="21">
        <f t="shared" si="3"/>
        <v>-242</v>
      </c>
      <c r="AA10" s="21">
        <f t="shared" si="3"/>
        <v>-248.22827375563048</v>
      </c>
      <c r="AB10" s="21">
        <f t="shared" si="3"/>
        <v>-237.04917549302326</v>
      </c>
    </row>
    <row r="11" spans="1:30">
      <c r="A11" s="174" t="s">
        <v>51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</row>
    <row r="12" spans="1:30" ht="15" thickBot="1">
      <c r="A12" s="174" t="s">
        <v>89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</row>
    <row r="13" spans="1:30" ht="15" thickBot="1">
      <c r="A13" s="173" t="s">
        <v>90</v>
      </c>
      <c r="B13" s="22">
        <v>0.374</v>
      </c>
      <c r="C13" s="22">
        <v>0.497</v>
      </c>
      <c r="D13" s="155"/>
      <c r="E13" s="155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</row>
    <row r="14" spans="1:30" ht="15" thickBot="1">
      <c r="A14" s="173" t="s">
        <v>91</v>
      </c>
      <c r="B14" s="22"/>
      <c r="C14" s="22"/>
      <c r="D14" s="155"/>
      <c r="E14" s="155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</row>
    <row r="15" spans="1:30" ht="15" thickBot="1">
      <c r="A15" s="14" t="s">
        <v>92</v>
      </c>
      <c r="B15" s="20">
        <v>105.625</v>
      </c>
      <c r="C15" s="20">
        <v>100.94499999999999</v>
      </c>
      <c r="D15" s="154"/>
      <c r="E15" s="154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4">SUM(N8,N7)</f>
        <v>-16</v>
      </c>
      <c r="O15" s="20">
        <f t="shared" si="4"/>
        <v>-49.599999999999966</v>
      </c>
      <c r="P15" s="20">
        <f t="shared" si="4"/>
        <v>-1.4999999999999432</v>
      </c>
      <c r="Q15" s="20">
        <f t="shared" si="4"/>
        <v>29.300000000000011</v>
      </c>
      <c r="R15" s="20">
        <f t="shared" si="4"/>
        <v>-36.400000000000034</v>
      </c>
      <c r="S15" s="20">
        <f t="shared" si="4"/>
        <v>-55.287289999999928</v>
      </c>
      <c r="T15" s="20">
        <f t="shared" si="4"/>
        <v>-31.390135468555627</v>
      </c>
      <c r="U15" s="20">
        <f t="shared" si="4"/>
        <v>-7.4123034802474308</v>
      </c>
      <c r="V15" s="20">
        <f t="shared" si="4"/>
        <v>33.128520132446511</v>
      </c>
      <c r="W15" s="20">
        <f t="shared" si="4"/>
        <v>0.17875913943487376</v>
      </c>
      <c r="X15" s="20">
        <f t="shared" si="4"/>
        <v>60.54525113770552</v>
      </c>
      <c r="Y15" s="20">
        <f t="shared" si="4"/>
        <v>23.749105739110519</v>
      </c>
      <c r="Z15" s="20">
        <f t="shared" si="4"/>
        <v>48.400073037877576</v>
      </c>
      <c r="AA15" s="20">
        <f t="shared" si="4"/>
        <v>31.153277954279474</v>
      </c>
      <c r="AB15" s="20">
        <f t="shared" ref="AB15" si="5">SUM(AB8,AB7)</f>
        <v>90.038444446520316</v>
      </c>
    </row>
    <row r="16" spans="1:30" ht="15" thickBot="1">
      <c r="A16" s="17" t="s">
        <v>93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</row>
    <row r="17" spans="1:30" s="13" customFormat="1" ht="15" thickBot="1">
      <c r="A17" s="14" t="s">
        <v>94</v>
      </c>
      <c r="B17" s="20">
        <v>65.376000000000005</v>
      </c>
      <c r="C17" s="20">
        <v>48.74</v>
      </c>
      <c r="D17" s="154"/>
      <c r="E17" s="154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6">SUM(O15:O16)</f>
        <v>-89.499999999999972</v>
      </c>
      <c r="P17" s="20">
        <f t="shared" si="6"/>
        <v>-70.699999999999946</v>
      </c>
      <c r="Q17" s="20">
        <f t="shared" si="6"/>
        <v>-82.299999999999983</v>
      </c>
      <c r="R17" s="20">
        <f t="shared" si="6"/>
        <v>-133.10000000000002</v>
      </c>
      <c r="S17" s="20">
        <f t="shared" si="6"/>
        <v>-171.79528999999991</v>
      </c>
      <c r="T17" s="20">
        <f t="shared" si="6"/>
        <v>-91.442209638547268</v>
      </c>
      <c r="U17" s="20">
        <f t="shared" si="6"/>
        <v>-56.150128088130835</v>
      </c>
      <c r="V17" s="20">
        <f t="shared" si="6"/>
        <v>-34.410850758275402</v>
      </c>
      <c r="W17" s="20">
        <f t="shared" si="6"/>
        <v>-16.43277726936391</v>
      </c>
      <c r="X17" s="20">
        <f t="shared" si="6"/>
        <v>17.751441625879991</v>
      </c>
      <c r="Y17" s="20">
        <f t="shared" ref="Y17:AA17" si="7">SUM(Y15:Y16)</f>
        <v>-50.273238830889483</v>
      </c>
      <c r="Z17" s="20">
        <f t="shared" si="7"/>
        <v>-4.6999269621224258</v>
      </c>
      <c r="AA17" s="20">
        <f t="shared" si="7"/>
        <v>-43.673446107587736</v>
      </c>
      <c r="AB17" s="20">
        <f t="shared" ref="AB17" si="8">SUM(AB15:AB16)</f>
        <v>27.908673385236384</v>
      </c>
      <c r="AC17" s="12"/>
      <c r="AD17" s="12"/>
    </row>
    <row r="18" spans="1:30" s="13" customFormat="1" ht="15" thickBot="1">
      <c r="A18" s="173" t="s">
        <v>95</v>
      </c>
      <c r="B18" s="21">
        <v>-15.262</v>
      </c>
      <c r="C18" s="21">
        <v>-18.199000000000002</v>
      </c>
      <c r="D18" s="155"/>
      <c r="E18" s="155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12"/>
      <c r="AD18" s="12"/>
    </row>
    <row r="19" spans="1:30" s="13" customFormat="1" ht="15" thickBot="1">
      <c r="A19" s="14" t="s">
        <v>96</v>
      </c>
      <c r="B19" s="20">
        <v>50.115000000000002</v>
      </c>
      <c r="C19" s="20">
        <v>30.541</v>
      </c>
      <c r="D19" s="154"/>
      <c r="E19" s="154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9">SUM(O17:O18)</f>
        <v>-94.799999999999969</v>
      </c>
      <c r="P19" s="20">
        <f t="shared" si="9"/>
        <v>-75.199999999999946</v>
      </c>
      <c r="Q19" s="20">
        <f t="shared" si="9"/>
        <v>-96.699999999999989</v>
      </c>
      <c r="R19" s="20">
        <f t="shared" si="9"/>
        <v>-128.00000000000003</v>
      </c>
      <c r="S19" s="20">
        <f t="shared" si="9"/>
        <v>-166.95028999999991</v>
      </c>
      <c r="T19" s="20">
        <f t="shared" si="9"/>
        <v>-87.50441713032825</v>
      </c>
      <c r="U19" s="20">
        <f t="shared" si="9"/>
        <v>-74.445051530037958</v>
      </c>
      <c r="V19" s="20">
        <f t="shared" si="9"/>
        <v>-34.368641949999954</v>
      </c>
      <c r="W19" s="20">
        <f t="shared" si="9"/>
        <v>-22.174748923220264</v>
      </c>
      <c r="X19" s="20">
        <f t="shared" si="9"/>
        <v>14.435180069999666</v>
      </c>
      <c r="Y19" s="20">
        <f t="shared" ref="Y19:AA19" si="10">SUM(Y17:Y18)</f>
        <v>-61.231855483877062</v>
      </c>
      <c r="Z19" s="20">
        <f t="shared" si="10"/>
        <v>-7.399926962122426</v>
      </c>
      <c r="AA19" s="20">
        <f t="shared" si="10"/>
        <v>-46.435495940900203</v>
      </c>
      <c r="AB19" s="20">
        <f t="shared" ref="AB19" si="11">SUM(AB17:AB18)</f>
        <v>40.632940123860763</v>
      </c>
      <c r="AC19" s="12"/>
      <c r="AD19" s="12"/>
    </row>
    <row r="20" spans="1:30" s="13" customFormat="1" ht="15" thickBot="1">
      <c r="A20" s="19" t="s">
        <v>97</v>
      </c>
      <c r="B20" s="23">
        <v>43.804000000000002</v>
      </c>
      <c r="C20" s="23">
        <v>30.905999999999999</v>
      </c>
      <c r="D20" s="156"/>
      <c r="E20" s="156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12">O19</f>
        <v>-94.799999999999969</v>
      </c>
      <c r="P20" s="23">
        <f t="shared" si="12"/>
        <v>-75.199999999999946</v>
      </c>
      <c r="Q20" s="23">
        <f t="shared" si="12"/>
        <v>-96.699999999999989</v>
      </c>
      <c r="R20" s="21">
        <f t="shared" si="12"/>
        <v>-128.00000000000003</v>
      </c>
      <c r="S20" s="21">
        <f t="shared" si="12"/>
        <v>-166.95028999999991</v>
      </c>
      <c r="T20" s="21">
        <f t="shared" si="12"/>
        <v>-87.50441713032825</v>
      </c>
      <c r="U20" s="21">
        <f t="shared" si="12"/>
        <v>-74.445051530037958</v>
      </c>
      <c r="V20" s="21">
        <f t="shared" si="12"/>
        <v>-34.368641949999954</v>
      </c>
      <c r="W20" s="21">
        <f t="shared" si="12"/>
        <v>-22.174748923220264</v>
      </c>
      <c r="X20" s="21">
        <f t="shared" si="12"/>
        <v>14.435180069999666</v>
      </c>
      <c r="Y20" s="21">
        <f t="shared" ref="Y20" si="13">Y19</f>
        <v>-61.231855483877062</v>
      </c>
      <c r="Z20" s="21">
        <f>Z19</f>
        <v>-7.399926962122426</v>
      </c>
      <c r="AA20" s="21">
        <f>AA19</f>
        <v>-46.435495940900203</v>
      </c>
      <c r="AB20" s="21">
        <f>AB19</f>
        <v>40.632940123860763</v>
      </c>
    </row>
    <row r="21" spans="1:30">
      <c r="A21" s="19" t="s">
        <v>98</v>
      </c>
      <c r="B21" s="24">
        <v>6.31</v>
      </c>
      <c r="C21" s="24">
        <v>-0.36499999999999999</v>
      </c>
      <c r="D21" s="156"/>
      <c r="E21" s="156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B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28" width="13.375" style="12" customWidth="1"/>
    <col min="29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99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</row>
    <row r="5" spans="1:28" ht="16.5" customHeight="1">
      <c r="A5" s="25" t="s">
        <v>47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28" s="13" customFormat="1" ht="15">
      <c r="A6" s="48" t="s">
        <v>100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28" s="13" customFormat="1">
      <c r="A7" s="37" t="s">
        <v>101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13" customFormat="1">
      <c r="A8" s="177" t="s">
        <v>102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</row>
    <row r="9" spans="1:28" s="13" customFormat="1">
      <c r="A9" s="177" t="s">
        <v>103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</row>
    <row r="10" spans="1:28" s="13" customFormat="1">
      <c r="A10" s="177" t="s">
        <v>104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</row>
    <row r="11" spans="1:28" s="13" customFormat="1">
      <c r="A11" s="177" t="s">
        <v>105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</row>
    <row r="12" spans="1:28" s="13" customFormat="1">
      <c r="A12" s="177" t="s">
        <v>106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</row>
    <row r="13" spans="1:28" s="13" customFormat="1">
      <c r="A13" s="177" t="s">
        <v>107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</row>
    <row r="14" spans="1:28" s="13" customFormat="1">
      <c r="A14" s="177" t="s">
        <v>108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</row>
    <row r="15" spans="1:28" s="13" customFormat="1">
      <c r="A15" s="177" t="s">
        <v>109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</row>
    <row r="16" spans="1:28" s="13" customFormat="1">
      <c r="A16" s="37" t="s">
        <v>110</v>
      </c>
      <c r="B16" s="160"/>
      <c r="C16" s="37"/>
      <c r="D16" s="37"/>
      <c r="E16" s="160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B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</row>
    <row r="17" spans="1:28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31</v>
      </c>
      <c r="O17" s="52"/>
    </row>
    <row r="18" spans="1:28" s="13" customFormat="1">
      <c r="A18" s="37" t="s">
        <v>111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31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s="13" customFormat="1" ht="14.25" customHeight="1">
      <c r="A19" s="177" t="s">
        <v>112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36</v>
      </c>
      <c r="Z19" s="58" t="s">
        <v>36</v>
      </c>
      <c r="AA19" s="58"/>
      <c r="AB19" s="58"/>
    </row>
    <row r="20" spans="1:28" s="13" customFormat="1" ht="14.25" customHeight="1">
      <c r="A20" s="177" t="s">
        <v>113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36</v>
      </c>
      <c r="Z20" s="58" t="s">
        <v>36</v>
      </c>
      <c r="AA20" s="58"/>
      <c r="AB20" s="58"/>
    </row>
    <row r="21" spans="1:28" s="13" customFormat="1">
      <c r="A21" s="177" t="s">
        <v>107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</row>
    <row r="22" spans="1:28" s="13" customFormat="1">
      <c r="A22" s="177" t="s">
        <v>108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</row>
    <row r="23" spans="1:28" s="13" customFormat="1">
      <c r="A23" s="177" t="s">
        <v>114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</row>
    <row r="24" spans="1:28" s="13" customFormat="1">
      <c r="A24" s="177" t="s">
        <v>115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</row>
    <row r="25" spans="1:28" s="13" customFormat="1">
      <c r="A25" s="177" t="s">
        <v>116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</row>
    <row r="26" spans="1:28" s="13" customFormat="1">
      <c r="A26" s="177" t="s">
        <v>117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39</v>
      </c>
      <c r="Z26" s="58" t="s">
        <v>36</v>
      </c>
      <c r="AA26" s="58">
        <v>0</v>
      </c>
      <c r="AB26" s="58" t="s">
        <v>39</v>
      </c>
    </row>
    <row r="27" spans="1:28" s="13" customFormat="1">
      <c r="A27" s="177" t="s">
        <v>118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</row>
    <row r="28" spans="1:28" s="13" customFormat="1">
      <c r="A28" s="177" t="s">
        <v>119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</row>
    <row r="29" spans="1:28" s="13" customFormat="1">
      <c r="A29" s="177" t="s">
        <v>120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</row>
    <row r="30" spans="1:28" s="13" customFormat="1">
      <c r="A30" s="37" t="s">
        <v>121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B30" si="1">SUM(W19:W29)</f>
        <v>1689.2111845748682</v>
      </c>
      <c r="X30" s="55">
        <f t="shared" si="1"/>
        <v>1645.8774717505414</v>
      </c>
      <c r="Y30" s="55">
        <f t="shared" si="1"/>
        <v>1613.662</v>
      </c>
      <c r="Z30" s="55">
        <f t="shared" si="1"/>
        <v>1575.5</v>
      </c>
      <c r="AA30" s="55">
        <f t="shared" si="1"/>
        <v>1541.287</v>
      </c>
      <c r="AB30" s="55">
        <f t="shared" si="1"/>
        <v>1559.5539999999999</v>
      </c>
    </row>
    <row r="31" spans="1:28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</row>
    <row r="32" spans="1:28">
      <c r="A32" s="37" t="s">
        <v>122</v>
      </c>
      <c r="B32" s="161"/>
      <c r="C32" s="37"/>
      <c r="D32" s="37"/>
      <c r="E32" s="161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B32" si="2">SUM(W30,W16)</f>
        <v>3896.8662768750432</v>
      </c>
      <c r="X32" s="55">
        <f t="shared" si="2"/>
        <v>3943.3433187837154</v>
      </c>
      <c r="Y32" s="55">
        <f t="shared" si="2"/>
        <v>3840.5230000000001</v>
      </c>
      <c r="Z32" s="55">
        <f t="shared" si="2"/>
        <v>3732.8999999999996</v>
      </c>
      <c r="AA32" s="55">
        <f t="shared" si="2"/>
        <v>3765.0569999999998</v>
      </c>
      <c r="AB32" s="55">
        <f t="shared" si="2"/>
        <v>3574.5659999999998</v>
      </c>
    </row>
    <row r="33" spans="1:28">
      <c r="A33" s="41"/>
      <c r="F33" s="66"/>
      <c r="G33" s="57"/>
      <c r="H33" s="57"/>
      <c r="I33" s="57"/>
      <c r="J33" s="57"/>
      <c r="K33" s="57"/>
      <c r="L33" s="57"/>
      <c r="M33" s="57"/>
      <c r="N33" s="57" t="s">
        <v>31</v>
      </c>
      <c r="O33" s="57"/>
    </row>
    <row r="34" spans="1:28" ht="16.5">
      <c r="A34" s="41" t="s">
        <v>123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31</v>
      </c>
      <c r="O34" s="57"/>
    </row>
    <row r="35" spans="1:28">
      <c r="A35" s="37" t="s">
        <v>124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31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>
      <c r="A36" s="178" t="s">
        <v>125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</row>
    <row r="37" spans="1:28">
      <c r="A37" s="178" t="s">
        <v>126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</row>
    <row r="38" spans="1:28">
      <c r="A38" s="178" t="s">
        <v>127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</row>
    <row r="39" spans="1:28">
      <c r="A39" s="178" t="s">
        <v>128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</row>
    <row r="40" spans="1:28">
      <c r="A40" s="178" t="s">
        <v>129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</row>
    <row r="41" spans="1:28">
      <c r="A41" s="178" t="s">
        <v>130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</row>
    <row r="42" spans="1:28">
      <c r="A42" s="178" t="s">
        <v>131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</row>
    <row r="43" spans="1:28">
      <c r="A43" s="178" t="s">
        <v>132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</row>
    <row r="44" spans="1:28">
      <c r="A44" s="178" t="s">
        <v>133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</row>
    <row r="45" spans="1:28" ht="14.25" customHeight="1">
      <c r="A45" s="178" t="s">
        <v>154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</row>
    <row r="46" spans="1:28">
      <c r="A46" s="178" t="s">
        <v>134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</row>
    <row r="47" spans="1:28">
      <c r="A47" s="178" t="s">
        <v>135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</row>
    <row r="48" spans="1:28">
      <c r="A48" s="37" t="s">
        <v>136</v>
      </c>
      <c r="B48" s="162"/>
      <c r="C48" s="37"/>
      <c r="D48" s="37"/>
      <c r="E48" s="162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B48" si="3">SUM(W36:W47)</f>
        <v>2372.8714342289177</v>
      </c>
      <c r="X48" s="55">
        <f t="shared" si="3"/>
        <v>2520.5862874545005</v>
      </c>
      <c r="Y48" s="55">
        <f t="shared" si="3"/>
        <v>2531.5610000000001</v>
      </c>
      <c r="Z48" s="55">
        <f t="shared" si="3"/>
        <v>2460</v>
      </c>
      <c r="AA48" s="55">
        <f t="shared" si="3"/>
        <v>2550.9940000000001</v>
      </c>
      <c r="AB48" s="55">
        <f t="shared" si="3"/>
        <v>2494.0860000000007</v>
      </c>
    </row>
    <row r="49" spans="1:28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31</v>
      </c>
      <c r="O49" s="53"/>
    </row>
    <row r="50" spans="1:28">
      <c r="A50" s="37" t="s">
        <v>137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31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>
      <c r="A51" s="179" t="s">
        <v>125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</row>
    <row r="52" spans="1:28">
      <c r="A52" s="179" t="s">
        <v>126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</row>
    <row r="53" spans="1:28">
      <c r="A53" s="179" t="s">
        <v>138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39</v>
      </c>
      <c r="AA53" s="58" t="s">
        <v>39</v>
      </c>
      <c r="AB53" s="58" t="s">
        <v>39</v>
      </c>
    </row>
    <row r="54" spans="1:28">
      <c r="A54" s="179" t="s">
        <v>139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</row>
    <row r="55" spans="1:28">
      <c r="A55" s="180" t="s">
        <v>140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</row>
    <row r="56" spans="1:28">
      <c r="A56" s="180" t="s">
        <v>133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</row>
    <row r="57" spans="1:28">
      <c r="A57" s="179" t="s">
        <v>141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</row>
    <row r="58" spans="1:28">
      <c r="A58" s="179" t="s">
        <v>129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</row>
    <row r="59" spans="1:28">
      <c r="A59" s="179" t="s">
        <v>135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</row>
    <row r="60" spans="1:28">
      <c r="A60" s="37" t="s">
        <v>142</v>
      </c>
      <c r="B60" s="162"/>
      <c r="C60" s="37"/>
      <c r="D60" s="37"/>
      <c r="E60" s="162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B60" si="4">SUM(W51:W59)</f>
        <v>959.8753957400836</v>
      </c>
      <c r="X60" s="55">
        <f t="shared" si="4"/>
        <v>840.58277070621614</v>
      </c>
      <c r="Y60" s="55">
        <f t="shared" si="4"/>
        <v>777.33000000000015</v>
      </c>
      <c r="Z60" s="55">
        <f t="shared" si="4"/>
        <v>753.7</v>
      </c>
      <c r="AA60" s="55">
        <f t="shared" si="4"/>
        <v>745.70300000000009</v>
      </c>
      <c r="AB60" s="55">
        <f t="shared" si="4"/>
        <v>576.98099999999999</v>
      </c>
    </row>
    <row r="61" spans="1:28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8">
      <c r="A62" s="37" t="s">
        <v>143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1:28">
      <c r="A63" s="178" t="s">
        <v>144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</row>
    <row r="64" spans="1:28">
      <c r="A64" s="178" t="s">
        <v>145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</row>
    <row r="65" spans="1:28">
      <c r="A65" s="178" t="s">
        <v>146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</row>
    <row r="66" spans="1:28" ht="14.25" customHeight="1">
      <c r="A66" s="178" t="s">
        <v>147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</row>
    <row r="67" spans="1:28">
      <c r="A67" s="178" t="s">
        <v>148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</row>
    <row r="68" spans="1:28">
      <c r="A68" s="178" t="s">
        <v>149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</row>
    <row r="69" spans="1:28" s="13" customFormat="1">
      <c r="A69" s="178" t="s">
        <v>150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</row>
    <row r="70" spans="1:28" s="13" customFormat="1">
      <c r="A70" s="178" t="s">
        <v>151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/>
      <c r="AB70" s="51"/>
    </row>
    <row r="71" spans="1:28" s="13" customFormat="1">
      <c r="A71" s="37" t="s">
        <v>152</v>
      </c>
      <c r="B71" s="162"/>
      <c r="C71" s="37"/>
      <c r="D71" s="37"/>
      <c r="E71" s="162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5">SUM(V63:V70)</f>
        <v>578.43205558000045</v>
      </c>
      <c r="W71" s="55">
        <f t="shared" si="5"/>
        <v>564.11964543000022</v>
      </c>
      <c r="X71" s="55">
        <f t="shared" si="5"/>
        <v>582.17425829999956</v>
      </c>
      <c r="Y71" s="55">
        <f t="shared" si="5"/>
        <v>531.63200000000006</v>
      </c>
      <c r="Z71" s="55">
        <f t="shared" si="5"/>
        <v>519.19999999999982</v>
      </c>
      <c r="AA71" s="55">
        <f t="shared" si="5"/>
        <v>468.36000000000013</v>
      </c>
      <c r="AB71" s="55">
        <f t="shared" ref="AB71" si="6">SUM(AB63:AB70)</f>
        <v>503.4989999999998</v>
      </c>
    </row>
    <row r="72" spans="1:28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spans="1:28" s="13" customFormat="1">
      <c r="A73" s="37" t="s">
        <v>153</v>
      </c>
      <c r="B73" s="161"/>
      <c r="C73" s="37"/>
      <c r="D73" s="37"/>
      <c r="E73" s="161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7">V71+V60+V48</f>
        <v>3810.0771022279196</v>
      </c>
      <c r="W73" s="55">
        <f t="shared" si="7"/>
        <v>3896.8664753990015</v>
      </c>
      <c r="X73" s="55">
        <f t="shared" si="7"/>
        <v>3943.3433164607163</v>
      </c>
      <c r="Y73" s="55">
        <f t="shared" si="7"/>
        <v>3840.5230000000001</v>
      </c>
      <c r="Z73" s="55">
        <f t="shared" si="7"/>
        <v>3732.8999999999996</v>
      </c>
      <c r="AA73" s="55">
        <f t="shared" si="7"/>
        <v>3765.0570000000002</v>
      </c>
      <c r="AB73" s="55">
        <f t="shared" ref="AB73" si="8">AB71+AB60+AB48</f>
        <v>3574.5660000000007</v>
      </c>
    </row>
    <row r="74" spans="1:28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28">
      <c r="F75" s="62"/>
      <c r="G75"/>
      <c r="H75"/>
      <c r="I75"/>
      <c r="J75"/>
      <c r="K75"/>
      <c r="N75"/>
      <c r="O75"/>
    </row>
    <row r="78" spans="1:28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1:28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X164"/>
  <sheetViews>
    <sheetView showGridLines="0" zoomScaleNormal="100" zoomScaleSheetLayoutView="100" workbookViewId="0">
      <pane xSplit="1" ySplit="8" topLeftCell="J9" activePane="bottomRight" state="frozen"/>
      <selection pane="topRight" activeCell="B1" sqref="B1"/>
      <selection pane="bottomLeft" activeCell="A7" sqref="A7"/>
      <selection pane="bottomRight" sqref="A1:A2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0" width="7.125" style="59" hidden="1" customWidth="1" collapsed="1"/>
    <col min="11" max="11" width="7.125" style="59" customWidth="1" collapsed="1"/>
    <col min="12" max="13" width="9" style="12" customWidth="1"/>
    <col min="14" max="16" width="9" style="12"/>
    <col min="17" max="24" width="7.875" style="59" bestFit="1" customWidth="1" collapsed="1"/>
    <col min="25" max="16384" width="9" style="12"/>
  </cols>
  <sheetData>
    <row r="1" spans="1:24" ht="17.25" customHeight="1">
      <c r="A1" s="194">
        <f>IF(A7="Financial Statements",0,1)</f>
        <v>1</v>
      </c>
    </row>
    <row r="2" spans="1:24" ht="17.25" customHeight="1">
      <c r="A2" s="194"/>
    </row>
    <row r="3" spans="1:24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16.5" customHeight="1">
      <c r="A4" s="29" t="s">
        <v>155</v>
      </c>
      <c r="B4" s="34" t="s">
        <v>6</v>
      </c>
      <c r="C4" s="34" t="s">
        <v>32</v>
      </c>
      <c r="D4" s="34" t="s">
        <v>33</v>
      </c>
      <c r="E4" s="34">
        <v>2020</v>
      </c>
      <c r="F4" s="35" t="s">
        <v>10</v>
      </c>
      <c r="G4" s="35" t="s">
        <v>34</v>
      </c>
      <c r="H4" s="35" t="s">
        <v>35</v>
      </c>
      <c r="I4" s="35">
        <v>2021</v>
      </c>
      <c r="J4" s="34" t="s">
        <v>14</v>
      </c>
      <c r="K4" s="34" t="s">
        <v>205</v>
      </c>
      <c r="L4" s="34" t="s">
        <v>206</v>
      </c>
      <c r="M4" s="34" t="s">
        <v>207</v>
      </c>
      <c r="N4" s="34" t="s">
        <v>71</v>
      </c>
      <c r="O4" s="34" t="s">
        <v>72</v>
      </c>
      <c r="P4" s="34" t="s">
        <v>73</v>
      </c>
      <c r="Q4" s="34" t="s">
        <v>74</v>
      </c>
      <c r="R4" s="34" t="s">
        <v>75</v>
      </c>
      <c r="S4" s="34" t="s">
        <v>76</v>
      </c>
      <c r="T4" s="34" t="s">
        <v>77</v>
      </c>
      <c r="U4" s="34" t="s">
        <v>78</v>
      </c>
      <c r="V4" s="34" t="s">
        <v>79</v>
      </c>
      <c r="W4" s="34" t="s">
        <v>80</v>
      </c>
      <c r="X4" s="34" t="s">
        <v>81</v>
      </c>
    </row>
    <row r="5" spans="1:24" ht="16.5" customHeight="1">
      <c r="A5" s="25" t="s">
        <v>47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</row>
    <row r="6" spans="1:24" ht="16.5" customHeight="1">
      <c r="A6" s="188" t="s">
        <v>157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</row>
    <row r="7" spans="1:24" ht="16.5" customHeight="1">
      <c r="A7" s="183" t="s">
        <v>156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</row>
    <row r="8" spans="1:24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</row>
    <row r="9" spans="1:24" s="13" customFormat="1">
      <c r="A9" s="69" t="s">
        <v>158</v>
      </c>
      <c r="B9" s="76">
        <v>-846.8</v>
      </c>
      <c r="C9" s="76">
        <v>-1086.3</v>
      </c>
      <c r="D9" s="76">
        <v>-1319.4</v>
      </c>
      <c r="E9" s="76">
        <v>-1538.4</v>
      </c>
      <c r="F9" s="76">
        <v>-117.6</v>
      </c>
      <c r="G9" s="76">
        <v>-326.5</v>
      </c>
      <c r="H9" s="76">
        <v>-407.1</v>
      </c>
      <c r="I9" s="76">
        <v>-545.29999999999995</v>
      </c>
      <c r="J9" s="76">
        <v>-104.7</v>
      </c>
      <c r="K9" s="76">
        <v>-89.499999999999986</v>
      </c>
      <c r="L9" s="76">
        <v>-70.5</v>
      </c>
      <c r="M9" s="76">
        <v>-82.400000000000034</v>
      </c>
      <c r="N9" s="76">
        <v>-133.1</v>
      </c>
      <c r="O9" s="76">
        <v>-171.79599999999999</v>
      </c>
      <c r="P9" s="76">
        <v>-91.440602678219363</v>
      </c>
      <c r="Q9" s="76">
        <v>-56.175966918092342</v>
      </c>
      <c r="R9" s="76">
        <v>-34.410850758275494</v>
      </c>
      <c r="S9" s="76">
        <v>-16.432098486143527</v>
      </c>
      <c r="T9" s="76">
        <v>17.751441625880151</v>
      </c>
      <c r="U9" s="76">
        <v>-50.275492381461135</v>
      </c>
      <c r="V9" s="76">
        <v>-4.7</v>
      </c>
      <c r="W9" s="76">
        <v>-43.673000000000002</v>
      </c>
      <c r="X9" s="76">
        <v>27.885754542377697</v>
      </c>
    </row>
    <row r="10" spans="1:24" s="13" customFormat="1" ht="28.5">
      <c r="A10" s="70" t="s">
        <v>159</v>
      </c>
      <c r="B10" s="77">
        <v>775.3</v>
      </c>
      <c r="C10" s="77">
        <v>986.9</v>
      </c>
      <c r="D10" s="77">
        <v>1132.2</v>
      </c>
      <c r="E10" s="77">
        <v>979.7</v>
      </c>
      <c r="F10" s="77">
        <v>57</v>
      </c>
      <c r="G10" s="77">
        <v>133.69999999999999</v>
      </c>
      <c r="H10" s="77">
        <v>191.5</v>
      </c>
      <c r="I10" s="77">
        <v>261</v>
      </c>
      <c r="J10" s="77">
        <f t="shared" ref="J10:W10" si="0">SUM(J11:J19)</f>
        <v>125.5</v>
      </c>
      <c r="K10" s="140">
        <f t="shared" si="0"/>
        <v>77.800000000000011</v>
      </c>
      <c r="L10" s="140">
        <f t="shared" si="0"/>
        <v>179.09999999999997</v>
      </c>
      <c r="M10" s="140">
        <f t="shared" si="0"/>
        <v>96.3</v>
      </c>
      <c r="N10" s="140">
        <f t="shared" si="0"/>
        <v>150.37899999999996</v>
      </c>
      <c r="O10" s="140">
        <f t="shared" si="0"/>
        <v>179.04999999999998</v>
      </c>
      <c r="P10" s="140">
        <f t="shared" si="0"/>
        <v>275.00402519538108</v>
      </c>
      <c r="Q10" s="77">
        <f t="shared" si="0"/>
        <v>168.21413279880127</v>
      </c>
      <c r="R10" s="77">
        <f t="shared" si="0"/>
        <v>108.86590317056618</v>
      </c>
      <c r="S10" s="77">
        <f t="shared" si="0"/>
        <v>97.795123389007586</v>
      </c>
      <c r="T10" s="77">
        <f t="shared" si="0"/>
        <v>101.17096100631963</v>
      </c>
      <c r="U10" s="77">
        <f t="shared" si="0"/>
        <v>143.63801243410654</v>
      </c>
      <c r="V10" s="77">
        <f t="shared" si="0"/>
        <v>154</v>
      </c>
      <c r="W10" s="77">
        <f t="shared" si="0"/>
        <v>149.64600000000002</v>
      </c>
      <c r="X10" s="77">
        <f t="shared" ref="X10" si="1">SUM(X11:X19)</f>
        <v>37.84055935464766</v>
      </c>
    </row>
    <row r="11" spans="1:24" s="13" customFormat="1">
      <c r="A11" s="72" t="s">
        <v>89</v>
      </c>
      <c r="B11" s="78">
        <v>55.1</v>
      </c>
      <c r="C11" s="78">
        <v>113.6</v>
      </c>
      <c r="D11" s="78">
        <v>193.2</v>
      </c>
      <c r="E11" s="78">
        <v>212.6</v>
      </c>
      <c r="F11" s="78">
        <v>50.7</v>
      </c>
      <c r="G11" s="78">
        <v>100.7</v>
      </c>
      <c r="H11" s="78">
        <v>147.9</v>
      </c>
      <c r="I11" s="78">
        <v>208.6</v>
      </c>
      <c r="J11" s="78">
        <v>49.1</v>
      </c>
      <c r="K11" s="141">
        <v>48.6</v>
      </c>
      <c r="L11" s="141">
        <v>52.100000000000009</v>
      </c>
      <c r="M11" s="141">
        <v>53.399999999999977</v>
      </c>
      <c r="N11" s="141">
        <v>52</v>
      </c>
      <c r="O11" s="141">
        <v>53.744000000000007</v>
      </c>
      <c r="P11" s="141">
        <v>51.039704568844357</v>
      </c>
      <c r="Q11" s="78">
        <v>61.734113888618644</v>
      </c>
      <c r="R11" s="78">
        <v>49.835930984531394</v>
      </c>
      <c r="S11" s="78">
        <v>58.551611361097869</v>
      </c>
      <c r="T11" s="78">
        <v>55.240100979230441</v>
      </c>
      <c r="U11" s="78">
        <v>58.875356675140267</v>
      </c>
      <c r="V11" s="78">
        <v>51.8</v>
      </c>
      <c r="W11" s="78">
        <v>55.847999999999999</v>
      </c>
      <c r="X11" s="78">
        <v>53.485559354647648</v>
      </c>
    </row>
    <row r="12" spans="1:24" s="13" customFormat="1">
      <c r="A12" s="72" t="s">
        <v>160</v>
      </c>
      <c r="B12" s="78">
        <v>69.2</v>
      </c>
      <c r="C12" s="78">
        <v>80.5</v>
      </c>
      <c r="D12" s="78">
        <v>79.599999999999994</v>
      </c>
      <c r="E12" s="78">
        <v>91.6</v>
      </c>
      <c r="F12" s="78">
        <v>-3.8</v>
      </c>
      <c r="G12" s="78">
        <v>-8.3000000000000007</v>
      </c>
      <c r="H12" s="78">
        <v>-10.4</v>
      </c>
      <c r="I12" s="78">
        <v>-1.8</v>
      </c>
      <c r="J12" s="78">
        <v>13</v>
      </c>
      <c r="K12" s="141">
        <v>0.69999999999999929</v>
      </c>
      <c r="L12" s="141">
        <v>14</v>
      </c>
      <c r="M12" s="141">
        <v>20.7</v>
      </c>
      <c r="N12" s="141">
        <v>2.8</v>
      </c>
      <c r="O12" s="141">
        <v>20.271999999999998</v>
      </c>
      <c r="P12" s="141">
        <v>22.924585219186028</v>
      </c>
      <c r="Q12" s="78">
        <v>12.730920793912006</v>
      </c>
      <c r="R12" s="78">
        <v>4.5841849299999904</v>
      </c>
      <c r="S12" s="78">
        <v>4.7860365000000016</v>
      </c>
      <c r="T12" s="78">
        <v>2.0902864799800098</v>
      </c>
      <c r="U12" s="78">
        <v>0.73549209001999749</v>
      </c>
      <c r="V12" s="78">
        <v>-3.8</v>
      </c>
      <c r="W12" s="78">
        <v>6.33</v>
      </c>
      <c r="X12" s="78">
        <v>-2.1390000000000002</v>
      </c>
    </row>
    <row r="13" spans="1:24" s="13" customFormat="1">
      <c r="A13" s="72" t="s">
        <v>161</v>
      </c>
      <c r="B13" s="78">
        <v>3.2</v>
      </c>
      <c r="C13" s="78">
        <v>147</v>
      </c>
      <c r="D13" s="78">
        <v>179</v>
      </c>
      <c r="E13" s="78">
        <v>43.6</v>
      </c>
      <c r="F13" s="78">
        <v>7.2</v>
      </c>
      <c r="G13" s="78">
        <v>44</v>
      </c>
      <c r="H13" s="78">
        <v>54.5</v>
      </c>
      <c r="I13" s="78">
        <v>83.1</v>
      </c>
      <c r="J13" s="78">
        <v>67</v>
      </c>
      <c r="K13" s="141">
        <v>38.900000000000006</v>
      </c>
      <c r="L13" s="141">
        <v>97.1</v>
      </c>
      <c r="M13" s="141">
        <v>79.300000000000011</v>
      </c>
      <c r="N13" s="141">
        <v>89.3</v>
      </c>
      <c r="O13" s="141">
        <v>100.29299999999999</v>
      </c>
      <c r="P13" s="141">
        <v>90.800522208875407</v>
      </c>
      <c r="Q13" s="78">
        <v>28.929234299958182</v>
      </c>
      <c r="R13" s="78">
        <v>58.788474432366137</v>
      </c>
      <c r="S13" s="78">
        <v>32.171355676725923</v>
      </c>
      <c r="T13" s="78">
        <v>41.077716391257447</v>
      </c>
      <c r="U13" s="78">
        <v>55.744453499650518</v>
      </c>
      <c r="V13" s="78">
        <v>98.3</v>
      </c>
      <c r="W13" s="78">
        <v>75.594999999999999</v>
      </c>
      <c r="X13" s="78">
        <v>2.2880000000000109</v>
      </c>
    </row>
    <row r="14" spans="1:24" s="13" customFormat="1">
      <c r="A14" s="72" t="s">
        <v>90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0.1</v>
      </c>
      <c r="K14" s="141">
        <v>0.30000000000000004</v>
      </c>
      <c r="L14" s="141">
        <v>0.19999999999999996</v>
      </c>
      <c r="M14" s="141">
        <v>0.30000000000000004</v>
      </c>
      <c r="N14" s="141">
        <v>0.2</v>
      </c>
      <c r="O14" s="141">
        <v>9.6000000000000002E-2</v>
      </c>
      <c r="P14" s="141">
        <v>1.4216689278084227E-2</v>
      </c>
      <c r="Q14" s="78">
        <v>6.8342938021814792E-3</v>
      </c>
      <c r="R14" s="78">
        <v>1.5553926245333968E-3</v>
      </c>
      <c r="S14" s="78">
        <v>6.7837841419850524E-4</v>
      </c>
      <c r="T14" s="78">
        <v>-3.5089542714949857E-3</v>
      </c>
      <c r="U14" s="78">
        <v>1.2751832327630836E-3</v>
      </c>
      <c r="V14" s="78" t="s">
        <v>36</v>
      </c>
      <c r="W14" s="78">
        <v>0</v>
      </c>
      <c r="X14" s="78">
        <v>0</v>
      </c>
    </row>
    <row r="15" spans="1:24" s="13" customFormat="1">
      <c r="A15" s="72" t="s">
        <v>162</v>
      </c>
      <c r="B15" s="78">
        <v>7.9</v>
      </c>
      <c r="C15" s="78">
        <v>16.3</v>
      </c>
      <c r="D15" s="78">
        <v>21.4</v>
      </c>
      <c r="E15" s="78">
        <v>-63.5</v>
      </c>
      <c r="F15" s="78">
        <v>-7.9</v>
      </c>
      <c r="G15" s="78">
        <v>-19.8</v>
      </c>
      <c r="H15" s="78">
        <v>-24.9</v>
      </c>
      <c r="I15" s="78">
        <v>-61.3</v>
      </c>
      <c r="J15" s="78">
        <v>-13.6</v>
      </c>
      <c r="K15" s="141">
        <v>-14.1</v>
      </c>
      <c r="L15" s="141">
        <v>15</v>
      </c>
      <c r="M15" s="141">
        <v>-63.7</v>
      </c>
      <c r="N15" s="141">
        <v>4.2</v>
      </c>
      <c r="O15" s="141">
        <v>15.629999999999999</v>
      </c>
      <c r="P15" s="141">
        <v>32.229305041105235</v>
      </c>
      <c r="Q15" s="78">
        <v>59.80919436437452</v>
      </c>
      <c r="R15" s="78">
        <v>-8.9</v>
      </c>
      <c r="S15" s="78">
        <v>-1.0084991419986773</v>
      </c>
      <c r="T15" s="78">
        <v>-2.1781718745752632</v>
      </c>
      <c r="U15" s="78">
        <v>13.196671016573941</v>
      </c>
      <c r="V15" s="78">
        <v>4.5</v>
      </c>
      <c r="W15" s="78">
        <v>8.4350000000000005</v>
      </c>
      <c r="X15" s="78">
        <v>7.6919999999999984</v>
      </c>
    </row>
    <row r="16" spans="1:24" s="13" customFormat="1">
      <c r="A16" s="72" t="s">
        <v>163</v>
      </c>
      <c r="B16" s="78">
        <v>6.2</v>
      </c>
      <c r="C16" s="78">
        <v>5.9</v>
      </c>
      <c r="D16" s="78">
        <v>5.3</v>
      </c>
      <c r="E16" s="78">
        <v>11</v>
      </c>
      <c r="F16" s="78">
        <v>-2.4</v>
      </c>
      <c r="G16" s="78">
        <v>-1.6</v>
      </c>
      <c r="H16" s="78">
        <v>-1.8</v>
      </c>
      <c r="I16" s="78">
        <v>-3.2</v>
      </c>
      <c r="J16" s="78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1.5289999999999999</v>
      </c>
    </row>
    <row r="17" spans="1:24" s="13" customFormat="1">
      <c r="A17" s="72" t="s">
        <v>164</v>
      </c>
      <c r="B17" s="78"/>
      <c r="C17" s="78"/>
      <c r="D17" s="78"/>
      <c r="E17" s="78"/>
      <c r="F17" s="78"/>
      <c r="G17" s="78"/>
      <c r="H17" s="78"/>
      <c r="I17" s="78"/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77.044274290000004</v>
      </c>
      <c r="Q17" s="78">
        <v>0</v>
      </c>
      <c r="R17" s="78">
        <v>0</v>
      </c>
      <c r="S17" s="78">
        <v>0</v>
      </c>
      <c r="T17" s="78">
        <v>0</v>
      </c>
      <c r="U17" s="78">
        <v>13.552</v>
      </c>
      <c r="V17" s="78" t="s">
        <v>36</v>
      </c>
      <c r="W17" s="78">
        <v>0</v>
      </c>
      <c r="X17" s="78">
        <v>8.2100000000000009</v>
      </c>
    </row>
    <row r="18" spans="1:24" s="13" customFormat="1" ht="15.95" customHeight="1">
      <c r="A18" s="72" t="s">
        <v>165</v>
      </c>
      <c r="B18" s="78">
        <v>640.4</v>
      </c>
      <c r="C18" s="78">
        <v>640.5</v>
      </c>
      <c r="D18" s="78">
        <v>658.2</v>
      </c>
      <c r="E18" s="78">
        <v>636.1</v>
      </c>
      <c r="F18" s="78">
        <v>8.6</v>
      </c>
      <c r="G18" s="78">
        <v>12.5</v>
      </c>
      <c r="H18" s="78">
        <v>10.4</v>
      </c>
      <c r="I18" s="78">
        <v>16.2</v>
      </c>
      <c r="J18" s="78">
        <v>7.2</v>
      </c>
      <c r="K18" s="141">
        <v>0.5</v>
      </c>
      <c r="L18" s="141">
        <v>2.9999999999999991</v>
      </c>
      <c r="M18" s="141">
        <v>7.1000000000000014</v>
      </c>
      <c r="N18" s="141">
        <v>1.958</v>
      </c>
      <c r="O18" s="141">
        <v>1.6460000000000001</v>
      </c>
      <c r="P18" s="141">
        <v>7.6904413770114575</v>
      </c>
      <c r="Q18" s="78">
        <v>4.4449781603800487</v>
      </c>
      <c r="R18" s="78">
        <v>0.49298742904641379</v>
      </c>
      <c r="S18" s="78">
        <v>-1.0762279054339414</v>
      </c>
      <c r="T18" s="78">
        <v>3.4441565357227208</v>
      </c>
      <c r="U18" s="78">
        <v>3.1670839406648064</v>
      </c>
      <c r="V18" s="78">
        <v>0</v>
      </c>
      <c r="W18" s="78">
        <v>0.13800000000000001</v>
      </c>
      <c r="X18" s="78">
        <v>-44.381</v>
      </c>
    </row>
    <row r="19" spans="1:24" s="13" customFormat="1">
      <c r="A19" s="72" t="s">
        <v>166</v>
      </c>
      <c r="B19" s="78">
        <v>-6.7</v>
      </c>
      <c r="C19" s="78">
        <v>-16.899999999999999</v>
      </c>
      <c r="D19" s="78">
        <v>-4.5</v>
      </c>
      <c r="E19" s="78">
        <v>48.3</v>
      </c>
      <c r="F19" s="78">
        <v>4.7</v>
      </c>
      <c r="G19" s="78">
        <v>6.3</v>
      </c>
      <c r="H19" s="78">
        <v>15.8</v>
      </c>
      <c r="I19" s="78">
        <v>19.399999999999999</v>
      </c>
      <c r="J19" s="78">
        <v>2.7</v>
      </c>
      <c r="K19" s="141">
        <v>2.8999999999999995</v>
      </c>
      <c r="L19" s="141">
        <v>-2.2999999999999998</v>
      </c>
      <c r="M19" s="141">
        <v>-0.79999999999999982</v>
      </c>
      <c r="N19" s="141">
        <v>-7.9000000000000001E-2</v>
      </c>
      <c r="O19" s="141">
        <v>-12.631</v>
      </c>
      <c r="P19" s="141">
        <v>-6.7390241989194664</v>
      </c>
      <c r="Q19" s="78">
        <v>0.55885699775566811</v>
      </c>
      <c r="R19" s="78">
        <v>4.062770001997726</v>
      </c>
      <c r="S19" s="78">
        <v>4.3701685202022347</v>
      </c>
      <c r="T19" s="78">
        <v>1.500381448975777</v>
      </c>
      <c r="U19" s="78">
        <v>-1.6343199711757386</v>
      </c>
      <c r="V19" s="78">
        <v>3.2</v>
      </c>
      <c r="W19" s="78">
        <v>3.3</v>
      </c>
      <c r="X19" s="78">
        <v>11.155999999999999</v>
      </c>
    </row>
    <row r="20" spans="1:24" s="13" customFormat="1">
      <c r="A20" s="71" t="s">
        <v>167</v>
      </c>
      <c r="B20" s="140">
        <v>402.5</v>
      </c>
      <c r="C20" s="140">
        <v>1015.7</v>
      </c>
      <c r="D20" s="140">
        <v>1429.2</v>
      </c>
      <c r="E20" s="140">
        <v>1407.4</v>
      </c>
      <c r="F20" s="140">
        <v>-97.3</v>
      </c>
      <c r="G20" s="140">
        <v>-9.8000000000000007</v>
      </c>
      <c r="H20" s="140">
        <v>-120.1</v>
      </c>
      <c r="I20" s="140">
        <v>179.8</v>
      </c>
      <c r="J20" s="140">
        <f>SUM(J21:J32)</f>
        <v>64.90000000000002</v>
      </c>
      <c r="K20" s="140">
        <f t="shared" ref="K20:W20" si="2">SUM(K21:K32)</f>
        <v>-173.79900000000004</v>
      </c>
      <c r="L20" s="140">
        <f t="shared" si="2"/>
        <v>-198.52799999999993</v>
      </c>
      <c r="M20" s="140">
        <f t="shared" si="2"/>
        <v>74.718000000000018</v>
      </c>
      <c r="N20" s="140">
        <f t="shared" si="2"/>
        <v>-256.25599999999997</v>
      </c>
      <c r="O20" s="140">
        <f t="shared" si="2"/>
        <v>-71.221999999999994</v>
      </c>
      <c r="P20" s="140">
        <f t="shared" si="2"/>
        <v>-251.84243617455869</v>
      </c>
      <c r="Q20" s="140">
        <f t="shared" si="2"/>
        <v>-112.20763635062008</v>
      </c>
      <c r="R20" s="140">
        <f t="shared" si="2"/>
        <v>-119.43655637660464</v>
      </c>
      <c r="S20" s="140">
        <f t="shared" si="2"/>
        <v>-5.434720208392978</v>
      </c>
      <c r="T20" s="140">
        <f t="shared" si="2"/>
        <v>22.309420660981544</v>
      </c>
      <c r="U20" s="140">
        <f t="shared" si="2"/>
        <v>-133.60114407598394</v>
      </c>
      <c r="V20" s="140">
        <f t="shared" si="2"/>
        <v>-202.52499999999986</v>
      </c>
      <c r="W20" s="140">
        <f t="shared" si="2"/>
        <v>25.053031249999876</v>
      </c>
      <c r="X20" s="140">
        <f t="shared" ref="X20" si="3">SUM(X21:X32)</f>
        <v>80.205039120000123</v>
      </c>
    </row>
    <row r="21" spans="1:24" s="13" customFormat="1">
      <c r="A21" s="72" t="s">
        <v>168</v>
      </c>
      <c r="B21" s="78">
        <v>947.7</v>
      </c>
      <c r="C21" s="78">
        <v>1881.9</v>
      </c>
      <c r="D21" s="78">
        <v>2015.8</v>
      </c>
      <c r="E21" s="78">
        <v>1877</v>
      </c>
      <c r="F21" s="78">
        <v>62.1</v>
      </c>
      <c r="G21" s="78">
        <v>-12.1</v>
      </c>
      <c r="H21" s="78">
        <v>-381.1</v>
      </c>
      <c r="I21" s="78">
        <v>61.1</v>
      </c>
      <c r="J21" s="78">
        <v>243.9</v>
      </c>
      <c r="K21" s="141">
        <v>-325.2</v>
      </c>
      <c r="L21" s="141">
        <v>113.69999999999999</v>
      </c>
      <c r="M21" s="141">
        <v>408.40000000000003</v>
      </c>
      <c r="N21" s="141">
        <v>-113.78</v>
      </c>
      <c r="O21" s="141">
        <v>-115.49699999999999</v>
      </c>
      <c r="P21" s="141">
        <v>-425.27723973964879</v>
      </c>
      <c r="Q21" s="78">
        <v>155.13983094648785</v>
      </c>
      <c r="R21" s="78">
        <v>-35.799269201089707</v>
      </c>
      <c r="S21" s="78">
        <v>-245.2837759889928</v>
      </c>
      <c r="T21" s="78">
        <v>-49.721051635496146</v>
      </c>
      <c r="U21" s="78">
        <v>140.10209682557866</v>
      </c>
      <c r="V21" s="78">
        <v>-69.599999999999994</v>
      </c>
      <c r="W21" s="78">
        <v>-162.315</v>
      </c>
      <c r="X21" s="78">
        <v>10.656000000000006</v>
      </c>
    </row>
    <row r="22" spans="1:24" s="13" customFormat="1">
      <c r="A22" s="183" t="s">
        <v>198</v>
      </c>
      <c r="B22" s="184"/>
      <c r="C22" s="184"/>
      <c r="D22" s="184"/>
      <c r="E22" s="184"/>
      <c r="F22" s="184"/>
      <c r="G22" s="184"/>
      <c r="H22" s="184"/>
      <c r="I22" s="184"/>
      <c r="J22" s="184">
        <v>0</v>
      </c>
      <c r="K22" s="185">
        <f>((Corp_Indicators!N15-Corp_Indicators!O15))*$A$1</f>
        <v>253.40099999999995</v>
      </c>
      <c r="L22" s="185">
        <f>((Corp_Indicators!O15-Corp_Indicators!P15))*$A$1</f>
        <v>-108.32799999999997</v>
      </c>
      <c r="M22" s="185">
        <f>((Corp_Indicators!P15-Corp_Indicators!Q15))*$A$1</f>
        <v>-364.58199999999999</v>
      </c>
      <c r="N22" s="185">
        <f>((Corp_Indicators!Q15-Corp_Indicators!R15))*$A$1</f>
        <v>-39.793999999999983</v>
      </c>
      <c r="O22" s="185">
        <f>((Corp_Indicators!R15-Corp_Indicators!S15))*$A$1</f>
        <v>0.42300000000000182</v>
      </c>
      <c r="P22" s="185">
        <f>((Corp_Indicators!S15-Corp_Indicators!T15))*$A$1</f>
        <v>258.89599999999996</v>
      </c>
      <c r="Q22" s="184">
        <f>((Corp_Indicators!T15-Corp_Indicators!U15))*$A$1</f>
        <v>-20.54200000000003</v>
      </c>
      <c r="R22" s="184">
        <f>((Corp_Indicators!U15-Corp_Indicators!V15))*$A$1</f>
        <v>-32.980000000000018</v>
      </c>
      <c r="S22" s="184">
        <f>((Corp_Indicators!V15-Corp_Indicators!W15))*$A$1</f>
        <v>67.827621969999996</v>
      </c>
      <c r="T22" s="184">
        <f>((Corp_Indicators!W15-Corp_Indicators!X15))*$A$1</f>
        <v>-27.991213239999979</v>
      </c>
      <c r="U22" s="184">
        <f>((Corp_Indicators!X15-Corp_Indicators!Y15))*$A$1</f>
        <v>-257.37040873000001</v>
      </c>
      <c r="V22" s="184">
        <f>((Corp_Indicators!Y15-Corp_Indicators!Z15)-Corp_Indicators!Z23)*$A$1</f>
        <v>-11.824999999999861</v>
      </c>
      <c r="W22" s="184">
        <f>((Corp_Indicators!Z15-Corp_Indicators!AA15)-Corp_Indicators!AA23)*$A$1</f>
        <v>102.38103124999989</v>
      </c>
      <c r="X22" s="184">
        <f>((Corp_Indicators!AA15-Corp_Indicators!AB15)-Corp_Indicators!AB23)*$A$1</f>
        <v>-28.866960879999894</v>
      </c>
    </row>
    <row r="23" spans="1:24" s="13" customFormat="1">
      <c r="A23" s="72" t="s">
        <v>169</v>
      </c>
      <c r="B23" s="78">
        <v>8.3000000000000007</v>
      </c>
      <c r="C23" s="78">
        <v>68.7</v>
      </c>
      <c r="D23" s="78">
        <v>6.4</v>
      </c>
      <c r="E23" s="78">
        <v>-97.7</v>
      </c>
      <c r="F23" s="78">
        <v>45.2</v>
      </c>
      <c r="G23" s="78">
        <v>129</v>
      </c>
      <c r="H23" s="78">
        <v>75.2</v>
      </c>
      <c r="I23" s="78">
        <v>117</v>
      </c>
      <c r="J23" s="78">
        <v>124.4</v>
      </c>
      <c r="K23" s="141">
        <v>-168.9</v>
      </c>
      <c r="L23" s="141">
        <v>80.400000000000006</v>
      </c>
      <c r="M23" s="141">
        <v>231.79999999999998</v>
      </c>
      <c r="N23" s="141">
        <v>3.508</v>
      </c>
      <c r="O23" s="141">
        <v>-134.578</v>
      </c>
      <c r="P23" s="141">
        <v>-39.612998017675949</v>
      </c>
      <c r="Q23" s="78">
        <v>-105.11970418565353</v>
      </c>
      <c r="R23" s="78">
        <v>232.9328318101276</v>
      </c>
      <c r="S23" s="78">
        <v>-71.457430121577659</v>
      </c>
      <c r="T23" s="78">
        <v>59.538322966444071</v>
      </c>
      <c r="U23" s="78">
        <v>-28.571724654994</v>
      </c>
      <c r="V23" s="78">
        <v>-47.3</v>
      </c>
      <c r="W23" s="78">
        <v>-52.093000000000004</v>
      </c>
      <c r="X23" s="78">
        <v>73.093000000000004</v>
      </c>
    </row>
    <row r="24" spans="1:24" s="13" customFormat="1">
      <c r="A24" s="72" t="s">
        <v>128</v>
      </c>
      <c r="B24" s="78">
        <v>-191.1</v>
      </c>
      <c r="C24" s="78">
        <v>-715.8</v>
      </c>
      <c r="D24" s="78">
        <v>-673.8</v>
      </c>
      <c r="E24" s="78">
        <v>-620.70000000000005</v>
      </c>
      <c r="F24" s="78">
        <v>-103.1</v>
      </c>
      <c r="G24" s="78">
        <v>-54.2</v>
      </c>
      <c r="H24" s="78">
        <v>55.7</v>
      </c>
      <c r="I24" s="78">
        <v>170</v>
      </c>
      <c r="J24" s="78">
        <v>-21.7</v>
      </c>
      <c r="K24" s="141">
        <v>-22.7</v>
      </c>
      <c r="L24" s="141">
        <v>32.700000000000003</v>
      </c>
      <c r="M24" s="141">
        <v>104.4</v>
      </c>
      <c r="N24" s="141">
        <v>-69.126000000000005</v>
      </c>
      <c r="O24" s="141">
        <v>88.152000000000001</v>
      </c>
      <c r="P24" s="141">
        <v>145.89080110492526</v>
      </c>
      <c r="Q24" s="78">
        <v>-34.198051931900508</v>
      </c>
      <c r="R24" s="78">
        <v>-223.50569813311557</v>
      </c>
      <c r="S24" s="78">
        <v>-37.809749964564716</v>
      </c>
      <c r="T24" s="78">
        <v>95.531891423365252</v>
      </c>
      <c r="U24" s="78">
        <v>-156.73444332568494</v>
      </c>
      <c r="V24" s="78">
        <v>-4.8</v>
      </c>
      <c r="W24" s="78">
        <v>-64.849000000000004</v>
      </c>
      <c r="X24" s="78">
        <v>146.69999999999999</v>
      </c>
    </row>
    <row r="25" spans="1:24" s="13" customFormat="1">
      <c r="A25" s="72" t="s">
        <v>170</v>
      </c>
      <c r="B25" s="78">
        <v>-345.1</v>
      </c>
      <c r="C25" s="78">
        <v>-251.4</v>
      </c>
      <c r="D25" s="78">
        <v>90.3</v>
      </c>
      <c r="E25" s="78">
        <v>169.4</v>
      </c>
      <c r="F25" s="78">
        <v>-110.9</v>
      </c>
      <c r="G25" s="78">
        <v>32.9</v>
      </c>
      <c r="H25" s="78">
        <v>271.2</v>
      </c>
      <c r="I25" s="78">
        <v>-24.4</v>
      </c>
      <c r="J25" s="78">
        <v>-228.3</v>
      </c>
      <c r="K25" s="141">
        <v>170</v>
      </c>
      <c r="L25" s="141">
        <v>-289.2</v>
      </c>
      <c r="M25" s="141">
        <v>-407.5</v>
      </c>
      <c r="N25" s="141">
        <v>15.638</v>
      </c>
      <c r="O25" s="141">
        <v>148.845</v>
      </c>
      <c r="P25" s="141">
        <v>-161.54033655543648</v>
      </c>
      <c r="Q25" s="78">
        <v>-124.15001893713527</v>
      </c>
      <c r="R25" s="78">
        <v>-17.07833304228825</v>
      </c>
      <c r="S25" s="78">
        <v>241.03691774159373</v>
      </c>
      <c r="T25" s="78">
        <v>-89.087835684199234</v>
      </c>
      <c r="U25" s="78">
        <v>213.79125098489374</v>
      </c>
      <c r="V25" s="78">
        <v>-80.650000000000006</v>
      </c>
      <c r="W25" s="78">
        <v>199.92</v>
      </c>
      <c r="X25" s="78">
        <v>-116.33999999999997</v>
      </c>
    </row>
    <row r="26" spans="1:24" s="13" customFormat="1">
      <c r="A26" s="72" t="s">
        <v>171</v>
      </c>
      <c r="B26" s="78">
        <v>28.6</v>
      </c>
      <c r="C26" s="80">
        <v>-0.8</v>
      </c>
      <c r="D26" s="80">
        <v>7.3</v>
      </c>
      <c r="E26" s="80">
        <v>56.1</v>
      </c>
      <c r="F26" s="78">
        <v>-1.6</v>
      </c>
      <c r="G26" s="78">
        <v>6.2</v>
      </c>
      <c r="H26" s="78">
        <v>39.6</v>
      </c>
      <c r="I26" s="80">
        <v>48.2</v>
      </c>
      <c r="J26" s="78">
        <v>6.9</v>
      </c>
      <c r="K26" s="141">
        <v>-7.1000000000000005</v>
      </c>
      <c r="L26" s="141">
        <v>7.6000000000000005</v>
      </c>
      <c r="M26" s="141">
        <v>12.4</v>
      </c>
      <c r="N26" s="141">
        <v>-5.4720000000000004</v>
      </c>
      <c r="O26" s="141">
        <v>0.97800000000000065</v>
      </c>
      <c r="P26" s="141">
        <v>8.4480625143712533</v>
      </c>
      <c r="Q26" s="78">
        <v>10.445605946997933</v>
      </c>
      <c r="R26" s="78">
        <v>-4.9689456032592713E-2</v>
      </c>
      <c r="S26" s="78">
        <v>-8.3324122591673895</v>
      </c>
      <c r="T26" s="78">
        <v>-6.5885984808062261</v>
      </c>
      <c r="U26" s="78">
        <v>-6.429299803993791</v>
      </c>
      <c r="V26" s="78">
        <v>-20.149999999999999</v>
      </c>
      <c r="W26" s="78">
        <v>-9.3759999999999994</v>
      </c>
      <c r="X26" s="78">
        <v>4.0179999999999971</v>
      </c>
    </row>
    <row r="27" spans="1:24" s="13" customFormat="1">
      <c r="A27" s="72" t="s">
        <v>172</v>
      </c>
      <c r="B27" s="78">
        <v>18.7</v>
      </c>
      <c r="C27" s="80">
        <v>38.1</v>
      </c>
      <c r="D27" s="80">
        <v>30.3</v>
      </c>
      <c r="E27" s="80">
        <v>32.799999999999997</v>
      </c>
      <c r="F27" s="78">
        <v>0</v>
      </c>
      <c r="G27" s="78">
        <v>-0.6</v>
      </c>
      <c r="H27" s="78">
        <v>-0.9</v>
      </c>
      <c r="I27" s="80">
        <v>0.5</v>
      </c>
      <c r="J27" s="78">
        <v>-2.6</v>
      </c>
      <c r="K27" s="141">
        <v>-10.6</v>
      </c>
      <c r="L27" s="141">
        <v>-2.7000000000000011</v>
      </c>
      <c r="M27" s="141">
        <v>-0.20000000000000107</v>
      </c>
      <c r="N27" s="141">
        <v>-0.90200000000000002</v>
      </c>
      <c r="O27" s="141">
        <v>-4.3620000000000001</v>
      </c>
      <c r="P27" s="141">
        <v>-4.4184610319150783</v>
      </c>
      <c r="Q27" s="78">
        <v>-2.884485976538083</v>
      </c>
      <c r="R27" s="78">
        <v>3.2355874911724126E-2</v>
      </c>
      <c r="S27" s="78">
        <v>0.38983390396891804</v>
      </c>
      <c r="T27" s="78">
        <v>14.272177558173176</v>
      </c>
      <c r="U27" s="78">
        <v>3.7276326629461813</v>
      </c>
      <c r="V27" s="78">
        <v>-3.15</v>
      </c>
      <c r="W27" s="78">
        <v>-1.796</v>
      </c>
      <c r="X27" s="78">
        <v>4.9459999999999997</v>
      </c>
    </row>
    <row r="28" spans="1:24" s="13" customFormat="1">
      <c r="A28" s="72" t="s">
        <v>173</v>
      </c>
      <c r="B28" s="78">
        <v>8.3000000000000007</v>
      </c>
      <c r="C28" s="80">
        <v>3.3</v>
      </c>
      <c r="D28" s="80">
        <v>29.9</v>
      </c>
      <c r="E28" s="80">
        <v>53</v>
      </c>
      <c r="F28" s="78">
        <v>14.5</v>
      </c>
      <c r="G28" s="78">
        <v>17.100000000000001</v>
      </c>
      <c r="H28" s="78">
        <v>-2.6</v>
      </c>
      <c r="I28" s="80">
        <v>-8.5</v>
      </c>
      <c r="J28" s="78">
        <v>20.8</v>
      </c>
      <c r="K28" s="141">
        <v>-19</v>
      </c>
      <c r="L28" s="141">
        <v>17.5</v>
      </c>
      <c r="M28" s="141">
        <v>-10.100000000000001</v>
      </c>
      <c r="N28" s="141">
        <v>9.4410000000000007</v>
      </c>
      <c r="O28" s="141">
        <v>-27.606999999999999</v>
      </c>
      <c r="P28" s="141">
        <v>-20.249623124599065</v>
      </c>
      <c r="Q28" s="78">
        <v>-33.565992909890284</v>
      </c>
      <c r="R28" s="78">
        <v>2.6664928910651948</v>
      </c>
      <c r="S28" s="78">
        <v>2.7896915806939719</v>
      </c>
      <c r="T28" s="78">
        <v>8.9180339384389562</v>
      </c>
      <c r="U28" s="78">
        <v>-1.8862184101981239</v>
      </c>
      <c r="V28" s="78">
        <v>10.65</v>
      </c>
      <c r="W28" s="78">
        <v>-13.747999999999999</v>
      </c>
      <c r="X28" s="78">
        <v>15.185999999999998</v>
      </c>
    </row>
    <row r="29" spans="1:24" s="13" customFormat="1">
      <c r="A29" s="72" t="s">
        <v>174</v>
      </c>
      <c r="B29" s="78">
        <v>-62</v>
      </c>
      <c r="C29" s="80">
        <v>-61.7</v>
      </c>
      <c r="D29" s="80">
        <v>-61.5</v>
      </c>
      <c r="E29" s="80">
        <v>-97.3</v>
      </c>
      <c r="F29" s="78">
        <v>0</v>
      </c>
      <c r="G29" s="78">
        <v>-0.2</v>
      </c>
      <c r="H29" s="78">
        <v>-1.6</v>
      </c>
      <c r="I29" s="80">
        <v>-2</v>
      </c>
      <c r="J29" s="78">
        <v>0</v>
      </c>
      <c r="K29" s="141">
        <v>0.3</v>
      </c>
      <c r="L29" s="141">
        <v>0.2</v>
      </c>
      <c r="M29" s="141">
        <v>-5.2</v>
      </c>
      <c r="N29" s="141">
        <v>-0.28100000000000003</v>
      </c>
      <c r="O29" s="141">
        <v>-0.41199999999999992</v>
      </c>
      <c r="P29" s="141">
        <v>-1.6226240688411186</v>
      </c>
      <c r="Q29" s="78">
        <v>-4.4818398597529563E-2</v>
      </c>
      <c r="R29" s="78">
        <v>-0.24032830575321321</v>
      </c>
      <c r="S29" s="78">
        <v>-7.4382379635315368E-2</v>
      </c>
      <c r="T29" s="78">
        <v>-0.91195640947747381</v>
      </c>
      <c r="U29" s="78">
        <v>-4.2643329051339975</v>
      </c>
      <c r="V29" s="78">
        <v>-0.9</v>
      </c>
      <c r="W29" s="78">
        <v>-0.23699999999999999</v>
      </c>
      <c r="X29" s="78">
        <v>-1.964</v>
      </c>
    </row>
    <row r="30" spans="1:24" s="13" customFormat="1">
      <c r="A30" s="72" t="s">
        <v>175</v>
      </c>
      <c r="B30" s="78">
        <v>-15</v>
      </c>
      <c r="C30" s="80">
        <v>-31.2</v>
      </c>
      <c r="D30" s="80">
        <v>-50.6</v>
      </c>
      <c r="E30" s="80">
        <v>-11.6</v>
      </c>
      <c r="F30" s="78">
        <v>-0.3</v>
      </c>
      <c r="G30" s="78">
        <v>-0.5</v>
      </c>
      <c r="H30" s="78">
        <v>-1.3</v>
      </c>
      <c r="I30" s="80">
        <v>-1.1000000000000001</v>
      </c>
      <c r="J30" s="78">
        <v>-0.8</v>
      </c>
      <c r="K30" s="141">
        <v>-0.5</v>
      </c>
      <c r="L30" s="141">
        <v>-1.2</v>
      </c>
      <c r="M30" s="141">
        <v>-30.4</v>
      </c>
      <c r="N30" s="141">
        <v>-8.6059999999999999</v>
      </c>
      <c r="O30" s="141">
        <v>-6.0060000000000002</v>
      </c>
      <c r="P30" s="141">
        <v>-4.0873843626759996</v>
      </c>
      <c r="Q30" s="78">
        <v>-18.108060572827476</v>
      </c>
      <c r="R30" s="78">
        <v>-1.3</v>
      </c>
      <c r="S30" s="78">
        <v>-9.3047683828350021</v>
      </c>
      <c r="T30" s="78">
        <v>-8.8807613969904668</v>
      </c>
      <c r="U30" s="78">
        <v>-14.756470220174528</v>
      </c>
      <c r="V30" s="78">
        <v>-7</v>
      </c>
      <c r="W30" s="78">
        <v>-9.56</v>
      </c>
      <c r="X30" s="78">
        <v>-9.3169999999999966</v>
      </c>
    </row>
    <row r="31" spans="1:24" s="13" customFormat="1">
      <c r="A31" s="72" t="s">
        <v>176</v>
      </c>
      <c r="B31" s="78">
        <v>55.3</v>
      </c>
      <c r="C31" s="80">
        <v>109.6</v>
      </c>
      <c r="D31" s="80">
        <v>110.9</v>
      </c>
      <c r="E31" s="80">
        <v>125</v>
      </c>
      <c r="F31" s="78">
        <v>-5.9</v>
      </c>
      <c r="G31" s="78">
        <v>-101.7</v>
      </c>
      <c r="H31" s="78">
        <v>-145.9</v>
      </c>
      <c r="I31" s="80">
        <v>-179.3</v>
      </c>
      <c r="J31" s="78">
        <v>-33.4</v>
      </c>
      <c r="K31" s="141">
        <v>-55.500000000000007</v>
      </c>
      <c r="L31" s="141">
        <v>-34.199999999999989</v>
      </c>
      <c r="M31" s="141">
        <v>124</v>
      </c>
      <c r="N31" s="141">
        <v>-39.454000000000001</v>
      </c>
      <c r="O31" s="141">
        <v>-17.238999999999997</v>
      </c>
      <c r="P31" s="141">
        <v>-14.654920084319457</v>
      </c>
      <c r="Q31" s="78">
        <v>71.503325257549449</v>
      </c>
      <c r="R31" s="78">
        <v>-74.214918814429794</v>
      </c>
      <c r="S31" s="78">
        <v>54.290531347340711</v>
      </c>
      <c r="T31" s="78">
        <v>19.812363714047294</v>
      </c>
      <c r="U31" s="78">
        <v>-18.176976246958212</v>
      </c>
      <c r="V31" s="78">
        <v>36.200000000000003</v>
      </c>
      <c r="W31" s="78">
        <v>30.841999999999999</v>
      </c>
      <c r="X31" s="78">
        <v>-18.587000000000003</v>
      </c>
    </row>
    <row r="32" spans="1:24" s="13" customFormat="1">
      <c r="A32" s="72" t="s">
        <v>177</v>
      </c>
      <c r="B32" s="78">
        <v>-49.6</v>
      </c>
      <c r="C32" s="80">
        <v>-21.6</v>
      </c>
      <c r="D32" s="80">
        <v>-72.599999999999994</v>
      </c>
      <c r="E32" s="80">
        <v>-75.2</v>
      </c>
      <c r="F32" s="78">
        <v>2.7</v>
      </c>
      <c r="G32" s="78">
        <v>-25.7</v>
      </c>
      <c r="H32" s="78">
        <v>-28.4</v>
      </c>
      <c r="I32" s="80">
        <v>-1.7</v>
      </c>
      <c r="J32" s="78">
        <v>-44.3</v>
      </c>
      <c r="K32" s="141">
        <v>12</v>
      </c>
      <c r="L32" s="141">
        <v>-15</v>
      </c>
      <c r="M32" s="141">
        <v>11.699999999999996</v>
      </c>
      <c r="N32" s="141">
        <v>-7.4279999999999999</v>
      </c>
      <c r="O32" s="141">
        <v>-3.9189999999999996</v>
      </c>
      <c r="P32" s="141">
        <v>6.3862871912567334</v>
      </c>
      <c r="Q32" s="78">
        <v>-10.683265589112612</v>
      </c>
      <c r="R32" s="78">
        <v>30.1</v>
      </c>
      <c r="S32" s="78">
        <v>0.49320234478257041</v>
      </c>
      <c r="T32" s="78">
        <v>7.4180479074823165</v>
      </c>
      <c r="U32" s="78">
        <v>-3.0322502522648875</v>
      </c>
      <c r="V32" s="78">
        <v>-4</v>
      </c>
      <c r="W32" s="78">
        <v>5.8840000000000003</v>
      </c>
      <c r="X32" s="78">
        <v>0.68100000000000005</v>
      </c>
    </row>
    <row r="33" spans="1:24">
      <c r="A33" s="69" t="s">
        <v>178</v>
      </c>
      <c r="B33" s="139">
        <v>331</v>
      </c>
      <c r="C33" s="139">
        <v>916.3</v>
      </c>
      <c r="D33" s="139">
        <v>1242</v>
      </c>
      <c r="E33" s="139">
        <v>848.7</v>
      </c>
      <c r="F33" s="139">
        <v>-158</v>
      </c>
      <c r="G33" s="139">
        <v>-202.6</v>
      </c>
      <c r="H33" s="139">
        <v>-335.7</v>
      </c>
      <c r="I33" s="139">
        <v>-104.5</v>
      </c>
      <c r="J33" s="139">
        <f t="shared" ref="J33:W33" si="4">SUM(J9:J10,J20)</f>
        <v>85.700000000000017</v>
      </c>
      <c r="K33" s="139">
        <f t="shared" si="4"/>
        <v>-185.49900000000002</v>
      </c>
      <c r="L33" s="139">
        <f t="shared" si="4"/>
        <v>-89.927999999999969</v>
      </c>
      <c r="M33" s="139">
        <f t="shared" si="4"/>
        <v>88.617999999999981</v>
      </c>
      <c r="N33" s="139">
        <f t="shared" si="4"/>
        <v>-238.977</v>
      </c>
      <c r="O33" s="139">
        <f t="shared" si="4"/>
        <v>-63.968000000000004</v>
      </c>
      <c r="P33" s="139">
        <f t="shared" si="4"/>
        <v>-68.279013657396973</v>
      </c>
      <c r="Q33" s="139">
        <f t="shared" si="4"/>
        <v>-0.16947046991114689</v>
      </c>
      <c r="R33" s="139">
        <f t="shared" si="4"/>
        <v>-44.981503964313958</v>
      </c>
      <c r="S33" s="139">
        <f t="shared" si="4"/>
        <v>75.92830469447108</v>
      </c>
      <c r="T33" s="139">
        <f t="shared" si="4"/>
        <v>141.23182329318132</v>
      </c>
      <c r="U33" s="139">
        <f t="shared" si="4"/>
        <v>-40.238624023338531</v>
      </c>
      <c r="V33" s="139">
        <f t="shared" si="4"/>
        <v>-53.224999999999852</v>
      </c>
      <c r="W33" s="139">
        <f t="shared" si="4"/>
        <v>131.0260312499999</v>
      </c>
      <c r="X33" s="139">
        <f t="shared" ref="X33" si="5">SUM(X9:X10,X20)</f>
        <v>145.93135301702549</v>
      </c>
    </row>
    <row r="34" spans="1:24">
      <c r="A34" s="72" t="s">
        <v>179</v>
      </c>
      <c r="B34" s="78">
        <v>-1</v>
      </c>
      <c r="C34" s="80">
        <v>-1.5</v>
      </c>
      <c r="D34" s="80">
        <v>-2.4</v>
      </c>
      <c r="E34" s="80">
        <v>-1.5</v>
      </c>
      <c r="F34" s="78">
        <v>-0.1</v>
      </c>
      <c r="G34" s="78">
        <v>-0.3</v>
      </c>
      <c r="H34" s="78">
        <v>-0.4</v>
      </c>
      <c r="I34" s="80">
        <v>-12.1</v>
      </c>
      <c r="J34" s="78">
        <v>-8.6999999999999993</v>
      </c>
      <c r="K34" s="141">
        <v>-2.8000000000000007</v>
      </c>
      <c r="L34" s="141">
        <v>-3</v>
      </c>
      <c r="M34" s="141">
        <v>-1.6999999999999993</v>
      </c>
      <c r="N34" s="141">
        <v>-0.49399999999999999</v>
      </c>
      <c r="O34" s="141">
        <v>-1.381</v>
      </c>
      <c r="P34" s="141">
        <v>-2.2055970465188892</v>
      </c>
      <c r="Q34" s="141">
        <v>-2.4365477753875702</v>
      </c>
      <c r="R34" s="141">
        <v>-0.44965381745663313</v>
      </c>
      <c r="S34" s="141">
        <v>-2.0777568397886208</v>
      </c>
      <c r="T34" s="141">
        <v>-0.62271804936082209</v>
      </c>
      <c r="U34" s="141">
        <v>-0.6068712933939242</v>
      </c>
      <c r="V34" s="141">
        <v>-0.15</v>
      </c>
      <c r="W34" s="141">
        <v>-1.4650000000000001</v>
      </c>
      <c r="X34" s="141">
        <v>-0.46000000000000019</v>
      </c>
    </row>
    <row r="35" spans="1:24">
      <c r="A35" s="72" t="s">
        <v>180</v>
      </c>
      <c r="B35" s="78">
        <v>-22.9</v>
      </c>
      <c r="C35" s="80">
        <v>-49.5</v>
      </c>
      <c r="D35" s="80">
        <v>-80.8</v>
      </c>
      <c r="E35" s="80">
        <v>-114.2</v>
      </c>
      <c r="F35" s="78">
        <v>-21.9</v>
      </c>
      <c r="G35" s="78">
        <v>-45.2</v>
      </c>
      <c r="H35" s="78">
        <v>-71.900000000000006</v>
      </c>
      <c r="I35" s="80">
        <v>-121.5</v>
      </c>
      <c r="J35" s="78">
        <v>-35.799999999999997</v>
      </c>
      <c r="K35" s="141">
        <v>-51.600000000000009</v>
      </c>
      <c r="L35" s="141">
        <v>-58.799999999999983</v>
      </c>
      <c r="M35" s="141">
        <v>-77</v>
      </c>
      <c r="N35" s="141">
        <v>-34.340000000000003</v>
      </c>
      <c r="O35" s="141">
        <v>-27.193999999999996</v>
      </c>
      <c r="P35" s="141">
        <v>-20.602933580532415</v>
      </c>
      <c r="Q35" s="141">
        <v>-0.21305867431432546</v>
      </c>
      <c r="R35" s="141">
        <v>-10.951585126651375</v>
      </c>
      <c r="S35" s="141">
        <v>-39.137861326785263</v>
      </c>
      <c r="T35" s="141">
        <v>-22.93577484857812</v>
      </c>
      <c r="U35" s="141">
        <v>-9.8607786979852392</v>
      </c>
      <c r="V35" s="141">
        <v>-20.25</v>
      </c>
      <c r="W35" s="141">
        <v>-23.821999999999999</v>
      </c>
      <c r="X35" s="141">
        <v>-31.097999999999999</v>
      </c>
    </row>
    <row r="36" spans="1:24">
      <c r="A36" s="72" t="s">
        <v>181</v>
      </c>
      <c r="B36" s="78">
        <v>0</v>
      </c>
      <c r="C36" s="80">
        <v>0</v>
      </c>
      <c r="D36" s="80">
        <v>0</v>
      </c>
      <c r="E36" s="80">
        <v>0</v>
      </c>
      <c r="F36" s="78">
        <v>0</v>
      </c>
      <c r="G36" s="78">
        <v>-0.8</v>
      </c>
      <c r="H36" s="78">
        <v>-0.8</v>
      </c>
      <c r="I36" s="80">
        <v>0</v>
      </c>
      <c r="J36" s="78">
        <v>-15.7</v>
      </c>
      <c r="K36" s="141">
        <v>10.299999999999999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</row>
    <row r="37" spans="1:24">
      <c r="A37" s="69" t="s">
        <v>182</v>
      </c>
      <c r="B37" s="76">
        <v>-23.9</v>
      </c>
      <c r="C37" s="76">
        <v>-51</v>
      </c>
      <c r="D37" s="76">
        <v>-83.2</v>
      </c>
      <c r="E37" s="76">
        <v>-115.7</v>
      </c>
      <c r="F37" s="76">
        <v>-22</v>
      </c>
      <c r="G37" s="76">
        <v>-46.3</v>
      </c>
      <c r="H37" s="76">
        <v>-73.099999999999994</v>
      </c>
      <c r="I37" s="76">
        <v>-133.6</v>
      </c>
      <c r="J37" s="76">
        <f>SUM(J34:J36)</f>
        <v>-60.2</v>
      </c>
      <c r="K37" s="76">
        <f t="shared" ref="K37:W37" si="6">SUM(K34:K36)</f>
        <v>-44.100000000000009</v>
      </c>
      <c r="L37" s="76">
        <f t="shared" si="6"/>
        <v>-61.799999999999983</v>
      </c>
      <c r="M37" s="139">
        <f t="shared" si="6"/>
        <v>-78.7</v>
      </c>
      <c r="N37" s="139">
        <f t="shared" si="6"/>
        <v>-34.834000000000003</v>
      </c>
      <c r="O37" s="139">
        <f t="shared" si="6"/>
        <v>-28.574999999999996</v>
      </c>
      <c r="P37" s="139">
        <f t="shared" si="6"/>
        <v>-22.808530627051304</v>
      </c>
      <c r="Q37" s="139">
        <f t="shared" si="6"/>
        <v>-2.6496064497018956</v>
      </c>
      <c r="R37" s="139">
        <f t="shared" si="6"/>
        <v>-11.401238944108009</v>
      </c>
      <c r="S37" s="139">
        <f t="shared" si="6"/>
        <v>-41.215618166573883</v>
      </c>
      <c r="T37" s="139">
        <f t="shared" si="6"/>
        <v>-23.558492897938944</v>
      </c>
      <c r="U37" s="139">
        <f t="shared" si="6"/>
        <v>-10.467649991379163</v>
      </c>
      <c r="V37" s="139">
        <f t="shared" si="6"/>
        <v>-20.399999999999999</v>
      </c>
      <c r="W37" s="139">
        <f t="shared" si="6"/>
        <v>-25.286999999999999</v>
      </c>
      <c r="X37" s="139">
        <f t="shared" ref="X37" si="7">SUM(X34:X36)</f>
        <v>-31.558</v>
      </c>
    </row>
    <row r="38" spans="1:24">
      <c r="A38" s="72" t="s">
        <v>183</v>
      </c>
      <c r="B38" s="78">
        <v>60.4</v>
      </c>
      <c r="C38" s="80">
        <v>478.2</v>
      </c>
      <c r="D38" s="80">
        <v>478.2</v>
      </c>
      <c r="E38" s="80">
        <v>478.2</v>
      </c>
      <c r="F38" s="78">
        <v>436.4</v>
      </c>
      <c r="G38" s="78">
        <v>436.4</v>
      </c>
      <c r="H38" s="78">
        <v>436.4</v>
      </c>
      <c r="I38" s="80">
        <v>436.4</v>
      </c>
      <c r="J38" s="78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</row>
    <row r="39" spans="1:24">
      <c r="A39" s="183" t="s">
        <v>198</v>
      </c>
      <c r="B39" s="184"/>
      <c r="C39" s="184"/>
      <c r="D39" s="184"/>
      <c r="E39" s="184"/>
      <c r="F39" s="184"/>
      <c r="G39" s="184"/>
      <c r="H39" s="184"/>
      <c r="I39" s="184"/>
      <c r="J39" s="184">
        <f>-J22</f>
        <v>0</v>
      </c>
      <c r="K39" s="185">
        <f t="shared" ref="K39:W39" si="8">-K22</f>
        <v>-253.40099999999995</v>
      </c>
      <c r="L39" s="185">
        <f t="shared" si="8"/>
        <v>108.32799999999997</v>
      </c>
      <c r="M39" s="185">
        <f t="shared" si="8"/>
        <v>364.58199999999999</v>
      </c>
      <c r="N39" s="185">
        <f t="shared" si="8"/>
        <v>39.793999999999983</v>
      </c>
      <c r="O39" s="185">
        <f t="shared" si="8"/>
        <v>-0.42300000000000182</v>
      </c>
      <c r="P39" s="185">
        <f t="shared" si="8"/>
        <v>-258.89599999999996</v>
      </c>
      <c r="Q39" s="184">
        <f t="shared" si="8"/>
        <v>20.54200000000003</v>
      </c>
      <c r="R39" s="184">
        <f t="shared" si="8"/>
        <v>32.980000000000018</v>
      </c>
      <c r="S39" s="184">
        <f t="shared" si="8"/>
        <v>-67.827621969999996</v>
      </c>
      <c r="T39" s="184">
        <f t="shared" si="8"/>
        <v>27.991213239999979</v>
      </c>
      <c r="U39" s="184">
        <f t="shared" si="8"/>
        <v>257.37040873000001</v>
      </c>
      <c r="V39" s="184">
        <f t="shared" si="8"/>
        <v>11.824999999999861</v>
      </c>
      <c r="W39" s="184">
        <f t="shared" si="8"/>
        <v>-102.38103124999989</v>
      </c>
      <c r="X39" s="184">
        <f t="shared" ref="X39" si="9">-X22</f>
        <v>28.866960879999894</v>
      </c>
    </row>
    <row r="40" spans="1:24">
      <c r="A40" s="72" t="s">
        <v>184</v>
      </c>
      <c r="B40" s="78">
        <v>-0.1</v>
      </c>
      <c r="C40" s="80">
        <v>-418.5</v>
      </c>
      <c r="D40" s="80">
        <v>-418.7</v>
      </c>
      <c r="E40" s="80">
        <v>-900.9</v>
      </c>
      <c r="F40" s="78">
        <v>-786.6</v>
      </c>
      <c r="G40" s="78">
        <v>-786.6</v>
      </c>
      <c r="H40" s="78">
        <v>-984.1</v>
      </c>
      <c r="I40" s="80">
        <v>-984.1</v>
      </c>
      <c r="J40" s="78">
        <v>0</v>
      </c>
      <c r="K40" s="141">
        <v>-100</v>
      </c>
      <c r="L40" s="141">
        <v>0</v>
      </c>
      <c r="M40" s="141">
        <v>0</v>
      </c>
      <c r="N40" s="141">
        <v>0</v>
      </c>
      <c r="O40" s="141">
        <v>-124.367</v>
      </c>
      <c r="P40" s="141">
        <v>-67.021378360022183</v>
      </c>
      <c r="Q40" s="141">
        <v>0</v>
      </c>
      <c r="R40" s="141">
        <v>0</v>
      </c>
      <c r="S40" s="141">
        <v>0</v>
      </c>
      <c r="T40" s="141">
        <v>0</v>
      </c>
      <c r="U40" s="141">
        <v>-160</v>
      </c>
      <c r="V40" s="141">
        <v>0</v>
      </c>
      <c r="W40" s="141">
        <v>0</v>
      </c>
      <c r="X40" s="141">
        <v>-150</v>
      </c>
    </row>
    <row r="41" spans="1:24">
      <c r="A41" s="72" t="s">
        <v>185</v>
      </c>
      <c r="B41" s="78">
        <v>1.7</v>
      </c>
      <c r="C41" s="80">
        <v>1.7</v>
      </c>
      <c r="D41" s="80">
        <v>294.60000000000002</v>
      </c>
      <c r="E41" s="80">
        <v>297.60000000000002</v>
      </c>
      <c r="F41" s="78">
        <v>360</v>
      </c>
      <c r="G41" s="78">
        <v>360</v>
      </c>
      <c r="H41" s="78">
        <v>808.6</v>
      </c>
      <c r="I41" s="80">
        <v>806.6</v>
      </c>
      <c r="J41" s="78">
        <v>0</v>
      </c>
      <c r="K41" s="141">
        <v>378</v>
      </c>
      <c r="L41" s="141">
        <v>0</v>
      </c>
      <c r="M41" s="141">
        <v>0.10000000000002274</v>
      </c>
      <c r="N41" s="141">
        <v>0</v>
      </c>
      <c r="O41" s="141">
        <v>521.76599999999996</v>
      </c>
      <c r="P41" s="141">
        <v>-2.3382999961540918E-4</v>
      </c>
      <c r="Q41" s="141">
        <v>249.11522209999953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  <c r="X41" s="141">
        <v>0</v>
      </c>
    </row>
    <row r="42" spans="1:24">
      <c r="A42" s="72" t="s">
        <v>186</v>
      </c>
      <c r="B42" s="78">
        <v>-3.8</v>
      </c>
      <c r="C42" s="80">
        <v>-44.8</v>
      </c>
      <c r="D42" s="80">
        <v>-47.5</v>
      </c>
      <c r="E42" s="80">
        <v>-87.9</v>
      </c>
      <c r="F42" s="78">
        <v>-8.9</v>
      </c>
      <c r="G42" s="78">
        <v>-27.4</v>
      </c>
      <c r="H42" s="78">
        <v>-50.6</v>
      </c>
      <c r="I42" s="80">
        <v>-88.1</v>
      </c>
      <c r="J42" s="78">
        <v>-16.100000000000001</v>
      </c>
      <c r="K42" s="141">
        <v>-71.099999999999994</v>
      </c>
      <c r="L42" s="141">
        <v>-15.700000000000003</v>
      </c>
      <c r="M42" s="141">
        <v>-78.099999999999994</v>
      </c>
      <c r="N42" s="141">
        <v>-14.691000000000001</v>
      </c>
      <c r="O42" s="141">
        <v>-63.649999999999991</v>
      </c>
      <c r="P42" s="141">
        <v>-6.9801116858593417</v>
      </c>
      <c r="Q42" s="141">
        <v>-2.0154273065974753</v>
      </c>
      <c r="R42" s="141">
        <v>-2.8009500322755176</v>
      </c>
      <c r="S42" s="141">
        <v>-152.76257241608022</v>
      </c>
      <c r="T42" s="141">
        <v>-1.3417223648239451</v>
      </c>
      <c r="U42" s="141">
        <v>-47.215755186820331</v>
      </c>
      <c r="V42" s="141">
        <v>-1.7</v>
      </c>
      <c r="W42" s="141">
        <v>-49.591000000000001</v>
      </c>
      <c r="X42" s="141">
        <v>-44.958999999999996</v>
      </c>
    </row>
    <row r="43" spans="1:24">
      <c r="A43" s="72" t="s">
        <v>187</v>
      </c>
      <c r="B43" s="78">
        <v>-1.2</v>
      </c>
      <c r="C43" s="80">
        <v>-1.2</v>
      </c>
      <c r="D43" s="80">
        <v>-1.2</v>
      </c>
      <c r="E43" s="80">
        <v>114</v>
      </c>
      <c r="F43" s="78">
        <v>-9.8000000000000007</v>
      </c>
      <c r="G43" s="78">
        <v>-9.8000000000000007</v>
      </c>
      <c r="H43" s="78">
        <v>-9.8000000000000007</v>
      </c>
      <c r="I43" s="80">
        <v>-9.8000000000000007</v>
      </c>
      <c r="J43" s="78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</row>
    <row r="44" spans="1:24">
      <c r="A44" s="72" t="s">
        <v>188</v>
      </c>
      <c r="B44" s="78">
        <v>-56.5</v>
      </c>
      <c r="C44" s="80">
        <v>-56.5</v>
      </c>
      <c r="D44" s="80">
        <v>-56.5</v>
      </c>
      <c r="E44" s="80">
        <v>-56.5</v>
      </c>
      <c r="F44" s="78">
        <v>0</v>
      </c>
      <c r="G44" s="78">
        <v>0</v>
      </c>
      <c r="H44" s="78">
        <v>0</v>
      </c>
      <c r="I44" s="80">
        <v>0</v>
      </c>
      <c r="J44" s="78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</row>
    <row r="45" spans="1:24">
      <c r="A45" s="72" t="s">
        <v>189</v>
      </c>
      <c r="J45" s="78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-1.4</v>
      </c>
      <c r="W45" s="141">
        <v>-1.998</v>
      </c>
      <c r="X45" s="141">
        <v>-5.4990000000000006</v>
      </c>
    </row>
    <row r="46" spans="1:24">
      <c r="A46" s="72" t="s">
        <v>190</v>
      </c>
      <c r="B46" s="78">
        <v>0</v>
      </c>
      <c r="C46" s="80">
        <v>0</v>
      </c>
      <c r="D46" s="80">
        <v>0</v>
      </c>
      <c r="E46" s="80">
        <v>0</v>
      </c>
      <c r="F46" s="78">
        <v>0.8</v>
      </c>
      <c r="G46" s="78">
        <v>1.6</v>
      </c>
      <c r="H46" s="78">
        <v>0</v>
      </c>
      <c r="I46" s="80">
        <v>0</v>
      </c>
      <c r="J46" s="78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</row>
    <row r="47" spans="1:24">
      <c r="A47" s="72" t="s">
        <v>191</v>
      </c>
      <c r="B47" s="78">
        <v>0</v>
      </c>
      <c r="C47" s="80">
        <v>0</v>
      </c>
      <c r="D47" s="80">
        <v>0</v>
      </c>
      <c r="E47" s="80">
        <v>0</v>
      </c>
      <c r="F47" s="78">
        <v>0</v>
      </c>
      <c r="G47" s="78">
        <v>0</v>
      </c>
      <c r="H47" s="78">
        <v>0</v>
      </c>
      <c r="I47" s="80">
        <v>0</v>
      </c>
      <c r="J47" s="78">
        <v>0</v>
      </c>
      <c r="K47" s="141">
        <v>-25.1</v>
      </c>
      <c r="L47" s="141">
        <v>-18.299999999999997</v>
      </c>
      <c r="M47" s="141">
        <v>-8.2000000000000028</v>
      </c>
      <c r="N47" s="141">
        <v>0</v>
      </c>
      <c r="O47" s="141">
        <v>-14.829000000000001</v>
      </c>
      <c r="P47" s="141">
        <v>4.6756000000236497E-4</v>
      </c>
      <c r="Q47" s="141">
        <v>0</v>
      </c>
      <c r="R47" s="141">
        <v>-1.0431725603961699</v>
      </c>
      <c r="S47" s="141">
        <v>-14.1239539</v>
      </c>
      <c r="T47" s="141">
        <v>0</v>
      </c>
      <c r="U47" s="141">
        <v>1.2646039617081328E-4</v>
      </c>
      <c r="V47" s="141">
        <v>0</v>
      </c>
      <c r="W47" s="141">
        <v>-0.22900000000000001</v>
      </c>
      <c r="X47" s="141">
        <v>0</v>
      </c>
    </row>
    <row r="48" spans="1:24">
      <c r="A48" s="72" t="s">
        <v>192</v>
      </c>
      <c r="B48" s="78">
        <v>-11.4</v>
      </c>
      <c r="C48" s="80">
        <v>-9.5</v>
      </c>
      <c r="D48" s="80">
        <v>-13.3</v>
      </c>
      <c r="E48" s="80">
        <v>-17.600000000000001</v>
      </c>
      <c r="F48" s="78">
        <v>-5.4</v>
      </c>
      <c r="G48" s="78">
        <v>-7.7</v>
      </c>
      <c r="H48" s="78">
        <v>-8.4</v>
      </c>
      <c r="I48" s="80">
        <v>-10.9</v>
      </c>
      <c r="J48" s="78">
        <v>-9.4</v>
      </c>
      <c r="K48" s="141">
        <v>-2.0999999999999996</v>
      </c>
      <c r="L48" s="141">
        <v>-2.0999999999999996</v>
      </c>
      <c r="M48" s="141">
        <v>-2.7999999999999989</v>
      </c>
      <c r="N48" s="141">
        <v>-9.4779999999999998</v>
      </c>
      <c r="O48" s="141">
        <v>-1.968</v>
      </c>
      <c r="P48" s="141">
        <v>-2.1981165282047197</v>
      </c>
      <c r="Q48" s="141">
        <v>-2.0616158684227042</v>
      </c>
      <c r="R48" s="141">
        <v>-16.583936452743117</v>
      </c>
      <c r="S48" s="141">
        <v>-4.9076401121029409</v>
      </c>
      <c r="T48" s="141">
        <v>-3.4418984982841141</v>
      </c>
      <c r="U48" s="141">
        <v>-6.002524936869829</v>
      </c>
      <c r="V48" s="141">
        <v>-9.6999999999999993</v>
      </c>
      <c r="W48" s="141">
        <v>-6.4279999999999999</v>
      </c>
      <c r="X48" s="141">
        <v>-15.591000000000001</v>
      </c>
    </row>
    <row r="49" spans="1:24">
      <c r="A49" s="69" t="s">
        <v>193</v>
      </c>
      <c r="B49" s="76">
        <v>-45</v>
      </c>
      <c r="C49" s="76">
        <v>-103.2</v>
      </c>
      <c r="D49" s="76">
        <v>182.9</v>
      </c>
      <c r="E49" s="76">
        <v>-227</v>
      </c>
      <c r="F49" s="76">
        <v>-37.299999999999997</v>
      </c>
      <c r="G49" s="76">
        <v>-72.099999999999994</v>
      </c>
      <c r="H49" s="76">
        <v>153.4</v>
      </c>
      <c r="I49" s="76">
        <v>110.6</v>
      </c>
      <c r="J49" s="76">
        <f>SUM(J38:J48)</f>
        <v>-25.5</v>
      </c>
      <c r="K49" s="76">
        <f t="shared" ref="K49:W49" si="10">SUM(K38:K48)</f>
        <v>-73.700999999999937</v>
      </c>
      <c r="L49" s="76">
        <f t="shared" si="10"/>
        <v>72.22799999999998</v>
      </c>
      <c r="M49" s="139">
        <f t="shared" si="10"/>
        <v>275.58199999999999</v>
      </c>
      <c r="N49" s="139">
        <f t="shared" si="10"/>
        <v>15.62499999999998</v>
      </c>
      <c r="O49" s="139">
        <f t="shared" si="10"/>
        <v>316.52899999999994</v>
      </c>
      <c r="P49" s="139">
        <f t="shared" si="10"/>
        <v>-335.09537284408583</v>
      </c>
      <c r="Q49" s="139">
        <f t="shared" si="10"/>
        <v>265.58017892497941</v>
      </c>
      <c r="R49" s="139">
        <f t="shared" si="10"/>
        <v>12.551940954585216</v>
      </c>
      <c r="S49" s="139">
        <f t="shared" si="10"/>
        <v>-239.62178839818316</v>
      </c>
      <c r="T49" s="139">
        <f t="shared" si="10"/>
        <v>23.20759237689192</v>
      </c>
      <c r="U49" s="139">
        <f t="shared" si="10"/>
        <v>44.152255066706019</v>
      </c>
      <c r="V49" s="139">
        <f t="shared" si="10"/>
        <v>-0.9750000000001382</v>
      </c>
      <c r="W49" s="139">
        <f t="shared" si="10"/>
        <v>-160.6270312499999</v>
      </c>
      <c r="X49" s="139">
        <f t="shared" ref="X49" si="11">SUM(X38:X48)</f>
        <v>-187.1820391200001</v>
      </c>
    </row>
    <row r="50" spans="1:24">
      <c r="A50" s="73" t="s">
        <v>194</v>
      </c>
      <c r="B50" s="78">
        <v>-21.7</v>
      </c>
      <c r="C50" s="80">
        <v>-53.6</v>
      </c>
      <c r="D50" s="81">
        <v>-59.8</v>
      </c>
      <c r="E50" s="81">
        <v>39.1</v>
      </c>
      <c r="F50" s="78">
        <v>18.3</v>
      </c>
      <c r="G50" s="78">
        <v>-5.9</v>
      </c>
      <c r="H50" s="78">
        <v>8.1</v>
      </c>
      <c r="I50" s="81">
        <v>12.5</v>
      </c>
      <c r="J50" s="78">
        <v>-16.8</v>
      </c>
      <c r="K50" s="141">
        <v>3.7000000000000011</v>
      </c>
      <c r="L50" s="141">
        <v>2.4000000000000004</v>
      </c>
      <c r="M50" s="141">
        <v>-0.20000000000000107</v>
      </c>
      <c r="N50" s="141">
        <v>-3.048</v>
      </c>
      <c r="O50" s="141">
        <v>-4.0549999999999997</v>
      </c>
      <c r="P50" s="141">
        <v>1.6256356209056984</v>
      </c>
      <c r="Q50" s="141">
        <v>-1.5153932746798056</v>
      </c>
      <c r="R50" s="141">
        <v>1.2507661609401133</v>
      </c>
      <c r="S50" s="141">
        <v>8.9096036325057124</v>
      </c>
      <c r="T50" s="141">
        <v>-1.5912725342790308</v>
      </c>
      <c r="U50" s="141">
        <v>23.246902740833203</v>
      </c>
      <c r="V50" s="141">
        <v>-14.7</v>
      </c>
      <c r="W50" s="141">
        <v>-4.9139999999999997</v>
      </c>
      <c r="X50" s="141">
        <v>-1.3440000000000012</v>
      </c>
    </row>
    <row r="51" spans="1:24">
      <c r="A51" s="69" t="s">
        <v>195</v>
      </c>
      <c r="B51" s="76">
        <v>240.4</v>
      </c>
      <c r="C51" s="76">
        <v>708.5</v>
      </c>
      <c r="D51" s="76">
        <v>1281.9000000000001</v>
      </c>
      <c r="E51" s="76">
        <v>545.1</v>
      </c>
      <c r="F51" s="76">
        <v>-199</v>
      </c>
      <c r="G51" s="76">
        <v>-326.89999999999998</v>
      </c>
      <c r="H51" s="76">
        <v>-247.3</v>
      </c>
      <c r="I51" s="76">
        <v>-115</v>
      </c>
      <c r="J51" s="76">
        <f>J33+J37+J49+J50</f>
        <v>-16.799999999999986</v>
      </c>
      <c r="K51" s="76">
        <f t="shared" ref="K51:W51" si="12">K33+K37+K49+K50</f>
        <v>-299.59999999999997</v>
      </c>
      <c r="L51" s="76">
        <f t="shared" si="12"/>
        <v>-77.099999999999966</v>
      </c>
      <c r="M51" s="139">
        <f t="shared" si="12"/>
        <v>285.3</v>
      </c>
      <c r="N51" s="139">
        <f t="shared" si="12"/>
        <v>-261.23400000000004</v>
      </c>
      <c r="O51" s="139">
        <f t="shared" si="12"/>
        <v>219.93099999999993</v>
      </c>
      <c r="P51" s="139">
        <f t="shared" si="12"/>
        <v>-424.55728150762837</v>
      </c>
      <c r="Q51" s="139">
        <f t="shared" si="12"/>
        <v>261.24570873068654</v>
      </c>
      <c r="R51" s="139">
        <f t="shared" si="12"/>
        <v>-42.580035792896638</v>
      </c>
      <c r="S51" s="139">
        <f t="shared" si="12"/>
        <v>-195.99949823778024</v>
      </c>
      <c r="T51" s="139">
        <f t="shared" si="12"/>
        <v>139.28965023785526</v>
      </c>
      <c r="U51" s="139">
        <f t="shared" si="12"/>
        <v>16.692883792821529</v>
      </c>
      <c r="V51" s="139">
        <f t="shared" si="12"/>
        <v>-89.3</v>
      </c>
      <c r="W51" s="139">
        <f t="shared" si="12"/>
        <v>-59.802000000000007</v>
      </c>
      <c r="X51" s="139">
        <f t="shared" ref="X51" si="13">X33+X37+X49+X50</f>
        <v>-74.152686102974599</v>
      </c>
    </row>
    <row r="52" spans="1:24">
      <c r="A52" s="74" t="s">
        <v>196</v>
      </c>
      <c r="B52" s="78">
        <v>365.7</v>
      </c>
      <c r="C52" s="80">
        <v>365.7</v>
      </c>
      <c r="D52" s="80">
        <v>365.7</v>
      </c>
      <c r="E52" s="80">
        <v>365.7</v>
      </c>
      <c r="F52" s="78">
        <v>910.8</v>
      </c>
      <c r="G52" s="78">
        <v>910.8</v>
      </c>
      <c r="H52" s="78">
        <v>910.8</v>
      </c>
      <c r="I52" s="80">
        <v>910.8</v>
      </c>
      <c r="J52" s="78">
        <v>795.8</v>
      </c>
      <c r="K52" s="141">
        <f>J53</f>
        <v>779.4</v>
      </c>
      <c r="L52" s="141">
        <f t="shared" ref="L52:T52" si="14">K53</f>
        <v>479.5</v>
      </c>
      <c r="M52" s="141">
        <f t="shared" si="14"/>
        <v>402.4</v>
      </c>
      <c r="N52" s="141">
        <f t="shared" si="14"/>
        <v>687.5</v>
      </c>
      <c r="O52" s="141">
        <f t="shared" si="14"/>
        <v>426.2</v>
      </c>
      <c r="P52" s="141">
        <f t="shared" si="14"/>
        <v>646.14200000000005</v>
      </c>
      <c r="Q52" s="141">
        <f t="shared" si="14"/>
        <v>221.58464413571787</v>
      </c>
      <c r="R52" s="141">
        <f t="shared" si="14"/>
        <v>482.8296436209057</v>
      </c>
      <c r="S52" s="141">
        <f t="shared" si="14"/>
        <v>440.156951669318</v>
      </c>
      <c r="T52" s="141">
        <f t="shared" si="14"/>
        <v>244.15499060590611</v>
      </c>
      <c r="U52" s="141">
        <v>383.44464084376136</v>
      </c>
      <c r="V52" s="141">
        <v>400.2</v>
      </c>
      <c r="W52" s="141">
        <f>V53</f>
        <v>310.89999999999998</v>
      </c>
      <c r="X52" s="141">
        <f>W53</f>
        <v>251</v>
      </c>
    </row>
    <row r="53" spans="1:24">
      <c r="A53" s="75" t="s">
        <v>197</v>
      </c>
      <c r="B53" s="79">
        <v>606.1</v>
      </c>
      <c r="C53" s="79">
        <v>1074.2</v>
      </c>
      <c r="D53" s="79">
        <v>1647.6</v>
      </c>
      <c r="E53" s="79">
        <v>910.8</v>
      </c>
      <c r="F53" s="79">
        <v>711.9</v>
      </c>
      <c r="G53" s="79">
        <v>583.9</v>
      </c>
      <c r="H53" s="79">
        <v>663.5</v>
      </c>
      <c r="I53" s="79">
        <v>795.8</v>
      </c>
      <c r="J53" s="79">
        <f>Corp_BS!N8</f>
        <v>779.4</v>
      </c>
      <c r="K53" s="142">
        <f>Corp_BS!O8</f>
        <v>479.5</v>
      </c>
      <c r="L53" s="142">
        <f>Corp_BS!P8</f>
        <v>402.4</v>
      </c>
      <c r="M53" s="142">
        <f>Corp_BS!Q8</f>
        <v>687.5</v>
      </c>
      <c r="N53" s="142">
        <f>Corp_BS!R8</f>
        <v>426.2</v>
      </c>
      <c r="O53" s="142">
        <f>Corp_BS!S8</f>
        <v>646.14200000000005</v>
      </c>
      <c r="P53" s="142">
        <f>Corp_BS!T8</f>
        <v>221.58464413571787</v>
      </c>
      <c r="Q53" s="142">
        <f>Corp_BS!U8</f>
        <v>482.8296436209057</v>
      </c>
      <c r="R53" s="142">
        <f>Corp_BS!V8</f>
        <v>440.156951669318</v>
      </c>
      <c r="S53" s="142">
        <f>Corp_BS!W8</f>
        <v>244.15499060590611</v>
      </c>
      <c r="T53" s="142">
        <f>Corp_BS!X8</f>
        <v>383.44510254060708</v>
      </c>
      <c r="U53" s="142">
        <v>400.233</v>
      </c>
      <c r="V53" s="142">
        <v>310.89999999999998</v>
      </c>
      <c r="W53" s="142">
        <v>251</v>
      </c>
      <c r="X53" s="142">
        <v>251</v>
      </c>
    </row>
    <row r="54" spans="1:24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</row>
    <row r="55" spans="1:24">
      <c r="L55" s="59"/>
      <c r="M55" s="59"/>
      <c r="N55" s="59"/>
      <c r="O55" s="59"/>
      <c r="P55" s="59"/>
    </row>
    <row r="57" spans="1:24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</row>
    <row r="58" spans="1:24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</row>
    <row r="59" spans="1:24">
      <c r="A59" t="s">
        <v>44</v>
      </c>
    </row>
    <row r="60" spans="1:24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</row>
    <row r="61" spans="1:24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</row>
    <row r="62" spans="1:24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</row>
    <row r="63" spans="1:24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</row>
    <row r="64" spans="1:24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</row>
    <row r="65" spans="2:24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</row>
    <row r="66" spans="2:24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</row>
    <row r="67" spans="2:24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</row>
    <row r="68" spans="2:24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</row>
    <row r="69" spans="2:24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</row>
    <row r="70" spans="2:24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</row>
    <row r="71" spans="2:24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</row>
    <row r="72" spans="2:24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</row>
    <row r="73" spans="2:24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</row>
    <row r="74" spans="2:24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</row>
    <row r="75" spans="2:24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</row>
    <row r="76" spans="2:24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</row>
    <row r="77" spans="2:24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</row>
    <row r="78" spans="2:24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</row>
    <row r="79" spans="2:24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</row>
    <row r="80" spans="2:24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</row>
    <row r="81" spans="2:24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</row>
    <row r="82" spans="2:24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</row>
    <row r="83" spans="2:24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</row>
    <row r="84" spans="2:24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</row>
    <row r="85" spans="2:24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</row>
    <row r="86" spans="2:24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</row>
    <row r="87" spans="2:24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</row>
    <row r="88" spans="2:24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</row>
    <row r="89" spans="2:24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</row>
    <row r="90" spans="2:24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</row>
    <row r="91" spans="2:24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</row>
    <row r="92" spans="2:24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</row>
    <row r="93" spans="2:24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</row>
    <row r="94" spans="2:24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</row>
    <row r="95" spans="2:24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</row>
    <row r="96" spans="2:24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</row>
    <row r="97" spans="2:24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</row>
    <row r="98" spans="2:24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</row>
    <row r="99" spans="2:24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</row>
    <row r="100" spans="2:24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</row>
    <row r="101" spans="2:24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</row>
    <row r="102" spans="2:24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</row>
    <row r="103" spans="2:24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</row>
    <row r="104" spans="2:24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</row>
    <row r="105" spans="2:24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</row>
    <row r="106" spans="2:24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</row>
    <row r="107" spans="2:24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</row>
    <row r="108" spans="2:24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</row>
    <row r="109" spans="2:24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</row>
    <row r="110" spans="2:24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</row>
    <row r="111" spans="2:24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</row>
    <row r="112" spans="2:24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</row>
    <row r="113" spans="2:24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</row>
    <row r="114" spans="2:24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</row>
    <row r="115" spans="2:24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</row>
    <row r="116" spans="2:24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</row>
    <row r="117" spans="2:24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</row>
    <row r="118" spans="2:24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</row>
    <row r="119" spans="2:24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</row>
    <row r="120" spans="2:24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</row>
    <row r="121" spans="2:24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</row>
    <row r="122" spans="2:24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</row>
    <row r="123" spans="2:24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</row>
    <row r="124" spans="2:24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</row>
    <row r="125" spans="2:24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</row>
    <row r="126" spans="2:24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</row>
    <row r="127" spans="2:24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</row>
    <row r="128" spans="2:24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</row>
    <row r="129" spans="1:24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</row>
    <row r="130" spans="1:24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</row>
    <row r="131" spans="1:24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</row>
    <row r="132" spans="1:24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</row>
    <row r="133" spans="1:24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</row>
    <row r="134" spans="1:24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</row>
    <row r="135" spans="1:24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</row>
    <row r="136" spans="1:24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</row>
    <row r="137" spans="1:24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</row>
    <row r="138" spans="1:24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</row>
    <row r="139" spans="1:24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</row>
    <row r="140" spans="1:24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</row>
    <row r="141" spans="1:24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</row>
    <row r="142" spans="1:24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</row>
    <row r="143" spans="1:24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</row>
    <row r="144" spans="1:24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</row>
    <row r="145" spans="1:24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</row>
    <row r="146" spans="1:24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</row>
    <row r="147" spans="1:24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</row>
    <row r="148" spans="1:24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</row>
    <row r="149" spans="1:24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</row>
    <row r="150" spans="1:24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</row>
    <row r="151" spans="1:24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</row>
    <row r="152" spans="1:24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</row>
    <row r="153" spans="1:24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</row>
    <row r="154" spans="1:24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</row>
    <row r="155" spans="1:24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</row>
    <row r="156" spans="1:24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</row>
    <row r="157" spans="1:24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</row>
    <row r="158" spans="1:24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</row>
    <row r="159" spans="1:24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</row>
    <row r="160" spans="1:24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</row>
    <row r="161" spans="1:24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</row>
    <row r="162" spans="1:24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</row>
    <row r="163" spans="1:24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</row>
    <row r="164" spans="1:24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</row>
  </sheetData>
  <mergeCells count="1">
    <mergeCell ref="A1:A2"/>
  </mergeCells>
  <phoneticPr fontId="37" type="noConversion"/>
  <dataValidations count="1">
    <dataValidation type="list" allowBlank="1" showInputMessage="1" showErrorMessage="1" sqref="A7" xr:uid="{607C85A5-3C51-44E5-A0F6-45ED084FB59C}">
      <formula1>"Financial Statements,Management View"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92"/>
    </row>
    <row r="2" spans="1:30" ht="12">
      <c r="A2" s="192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16.5" customHeight="1">
      <c r="A4" s="29" t="s">
        <v>46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</row>
    <row r="5" spans="1:30" ht="16.5" customHeight="1">
      <c r="A5" s="25" t="s">
        <v>47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7" t="s">
        <v>48</v>
      </c>
      <c r="B7" s="98">
        <v>4007.0743582983705</v>
      </c>
      <c r="C7" s="98">
        <v>3935.7438720615846</v>
      </c>
      <c r="D7" s="98">
        <v>4013.3546887429725</v>
      </c>
      <c r="E7" s="98">
        <v>3917.1425891404424</v>
      </c>
      <c r="F7" s="98">
        <v>2680.9</v>
      </c>
      <c r="G7" s="98">
        <v>176.3</v>
      </c>
      <c r="H7" s="98">
        <v>874</v>
      </c>
      <c r="I7" s="98">
        <v>1520</v>
      </c>
      <c r="J7" s="98">
        <v>1207.5999999999999</v>
      </c>
      <c r="K7" s="98">
        <v>1460.9</v>
      </c>
      <c r="L7" s="98">
        <v>2557.5</v>
      </c>
      <c r="M7" s="98">
        <v>2229.5</v>
      </c>
      <c r="N7" s="98">
        <v>2162.8000000000002</v>
      </c>
      <c r="O7" s="98">
        <v>2860.8</v>
      </c>
      <c r="P7" s="98">
        <v>2748.1</v>
      </c>
      <c r="Q7" s="98">
        <v>2502.9</v>
      </c>
      <c r="R7" s="98">
        <f>SUM(R8:R9)</f>
        <v>2963</v>
      </c>
      <c r="S7" s="98">
        <f t="shared" ref="S7:AA7" si="0">SUM(S8:S9)</f>
        <v>2739.7107907259433</v>
      </c>
      <c r="T7" s="98">
        <f t="shared" si="0"/>
        <v>2760.1155396638187</v>
      </c>
      <c r="U7" s="98">
        <f t="shared" si="0"/>
        <v>2621.9983134540885</v>
      </c>
      <c r="V7" s="98">
        <f t="shared" si="0"/>
        <v>2642.82701498489</v>
      </c>
      <c r="W7" s="98">
        <f t="shared" si="0"/>
        <v>2873.4301724309107</v>
      </c>
      <c r="X7" s="98">
        <f t="shared" si="0"/>
        <v>2908.4429091339912</v>
      </c>
      <c r="Y7" s="98">
        <f t="shared" si="0"/>
        <v>3087.3231508020717</v>
      </c>
      <c r="Z7" s="98">
        <f t="shared" si="0"/>
        <v>3048.5</v>
      </c>
      <c r="AA7" s="98">
        <f t="shared" si="0"/>
        <v>3159.1287449605657</v>
      </c>
      <c r="AB7" s="98">
        <f t="shared" ref="AB7" si="1">SUM(AB8:AB9)</f>
        <v>3329.3117670687925</v>
      </c>
    </row>
    <row r="8" spans="1:30" s="13" customFormat="1">
      <c r="A8" s="94" t="s">
        <v>37</v>
      </c>
      <c r="B8" s="99">
        <v>2139</v>
      </c>
      <c r="C8" s="99"/>
      <c r="D8" s="99"/>
      <c r="E8" s="99"/>
      <c r="F8" s="99">
        <v>1353.8</v>
      </c>
      <c r="G8" s="99">
        <v>76.2</v>
      </c>
      <c r="H8" s="99">
        <v>452.4</v>
      </c>
      <c r="I8" s="99">
        <v>842.7</v>
      </c>
      <c r="J8" s="99">
        <v>690.6</v>
      </c>
      <c r="K8" s="99">
        <v>790.4</v>
      </c>
      <c r="L8" s="99">
        <v>1249.9000000000001</v>
      </c>
      <c r="M8" s="99">
        <v>1051</v>
      </c>
      <c r="N8" s="99">
        <v>926.7</v>
      </c>
      <c r="O8" s="99">
        <v>1243</v>
      </c>
      <c r="P8" s="99">
        <v>1222.8</v>
      </c>
      <c r="Q8" s="99">
        <v>1164.5999999999999</v>
      </c>
      <c r="R8" s="99">
        <v>1358.7</v>
      </c>
      <c r="S8" s="99">
        <v>1273.6312184521196</v>
      </c>
      <c r="T8" s="99">
        <v>1344.9617083320707</v>
      </c>
      <c r="U8" s="99">
        <v>1411.1981803000003</v>
      </c>
      <c r="V8" s="99">
        <v>1381.2628829248899</v>
      </c>
      <c r="W8" s="99">
        <v>1477.7399674809103</v>
      </c>
      <c r="X8" s="99">
        <v>1482.8900385531463</v>
      </c>
      <c r="Y8" s="99">
        <v>1672.0584483902796</v>
      </c>
      <c r="Z8" s="99">
        <v>1510.2</v>
      </c>
      <c r="AA8" s="99">
        <v>1476.2108552620496</v>
      </c>
      <c r="AB8" s="99">
        <v>1524.5306244276799</v>
      </c>
    </row>
    <row r="9" spans="1:30" s="13" customFormat="1">
      <c r="A9" s="95" t="s">
        <v>38</v>
      </c>
      <c r="B9" s="100">
        <v>1869.1</v>
      </c>
      <c r="C9" s="100"/>
      <c r="D9" s="100"/>
      <c r="E9" s="100"/>
      <c r="F9" s="100">
        <v>1327.1</v>
      </c>
      <c r="G9" s="100">
        <v>100.1</v>
      </c>
      <c r="H9" s="100">
        <v>421.6</v>
      </c>
      <c r="I9" s="100">
        <v>677.3</v>
      </c>
      <c r="J9" s="100">
        <v>517</v>
      </c>
      <c r="K9" s="100">
        <v>670.5</v>
      </c>
      <c r="L9" s="100">
        <v>1307.5999999999999</v>
      </c>
      <c r="M9" s="100">
        <v>1178.5</v>
      </c>
      <c r="N9" s="100">
        <v>1236.0999999999999</v>
      </c>
      <c r="O9" s="100">
        <v>1617.8</v>
      </c>
      <c r="P9" s="100">
        <v>1525.2</v>
      </c>
      <c r="Q9" s="100">
        <v>1338.2</v>
      </c>
      <c r="R9" s="100">
        <v>1604.3</v>
      </c>
      <c r="S9" s="100">
        <v>1466.0795722738239</v>
      </c>
      <c r="T9" s="100">
        <v>1415.1538313317481</v>
      </c>
      <c r="U9" s="100">
        <v>1210.8001331540881</v>
      </c>
      <c r="V9" s="100">
        <v>1261.56413206</v>
      </c>
      <c r="W9" s="100">
        <v>1395.6902049500002</v>
      </c>
      <c r="X9" s="100">
        <v>1425.5528705808449</v>
      </c>
      <c r="Y9" s="100">
        <v>1415.2647024117923</v>
      </c>
      <c r="Z9" s="100">
        <v>1538.3</v>
      </c>
      <c r="AA9" s="100">
        <v>1682.9178896985161</v>
      </c>
      <c r="AB9" s="100">
        <v>1804.7811426411126</v>
      </c>
    </row>
    <row r="10" spans="1:30">
      <c r="A10" s="97" t="s">
        <v>49</v>
      </c>
      <c r="B10" s="98">
        <v>4173.7535554681772</v>
      </c>
      <c r="C10" s="98">
        <v>3581.3980581922278</v>
      </c>
      <c r="D10" s="98">
        <v>4027.3</v>
      </c>
      <c r="E10" s="98">
        <v>4120</v>
      </c>
      <c r="F10" s="98">
        <v>3382.3</v>
      </c>
      <c r="G10" s="98">
        <v>186.2</v>
      </c>
      <c r="H10" s="98">
        <v>570.29999999999995</v>
      </c>
      <c r="I10" s="98">
        <v>1511.5</v>
      </c>
      <c r="J10" s="98">
        <v>1255.4000000000001</v>
      </c>
      <c r="K10" s="98">
        <v>1182.4000000000001</v>
      </c>
      <c r="L10" s="98">
        <v>2237</v>
      </c>
      <c r="M10" s="98">
        <v>2630</v>
      </c>
      <c r="N10" s="98">
        <v>2363.1999999999998</v>
      </c>
      <c r="O10" s="98">
        <v>2643.6</v>
      </c>
      <c r="P10" s="98">
        <v>3013</v>
      </c>
      <c r="Q10" s="98">
        <v>2741</v>
      </c>
      <c r="R10" s="98">
        <f>SUM(R11:R12)</f>
        <v>2847.7</v>
      </c>
      <c r="S10" s="98">
        <f t="shared" ref="S10" si="2">SUM(S11:S12)</f>
        <v>2537.404471072633</v>
      </c>
      <c r="T10" s="98">
        <f t="shared" ref="T10" si="3">SUM(T11:T12)</f>
        <v>2926.3033522118076</v>
      </c>
      <c r="U10" s="98">
        <f t="shared" ref="U10" si="4">SUM(U11:U12)</f>
        <v>2687.8209810633452</v>
      </c>
      <c r="V10" s="98">
        <f t="shared" ref="V10" si="5">SUM(V11:V12)</f>
        <v>2631.2506121200013</v>
      </c>
      <c r="W10" s="98">
        <f t="shared" ref="W10" si="6">SUM(W11:W12)</f>
        <v>2579.0344329099999</v>
      </c>
      <c r="X10" s="98">
        <f t="shared" ref="X10" si="7">SUM(X11:X12)</f>
        <v>3100.2238924006697</v>
      </c>
      <c r="Y10" s="98">
        <f t="shared" ref="Y10" si="8">SUM(Y11:Y12)</f>
        <v>3079.0493515101907</v>
      </c>
      <c r="Z10" s="98">
        <f t="shared" ref="Z10" si="9">SUM(Z11:Z12)</f>
        <v>3011.4</v>
      </c>
      <c r="AA10" s="98">
        <f t="shared" ref="AA10:AB10" si="10">SUM(AA11:AA12)</f>
        <v>2915.736182110003</v>
      </c>
      <c r="AB10" s="98">
        <f t="shared" si="10"/>
        <v>3482.0564507600052</v>
      </c>
    </row>
    <row r="11" spans="1:30">
      <c r="A11" s="94" t="s">
        <v>37</v>
      </c>
      <c r="B11" s="99">
        <v>2319.2158428785574</v>
      </c>
      <c r="C11" s="99">
        <v>1552.0193209530587</v>
      </c>
      <c r="D11" s="99">
        <v>1964.3684516180583</v>
      </c>
      <c r="E11" s="99">
        <v>2182.1743324288095</v>
      </c>
      <c r="F11" s="99">
        <v>1978.9</v>
      </c>
      <c r="G11" s="99">
        <v>33</v>
      </c>
      <c r="H11" s="99">
        <v>181.3</v>
      </c>
      <c r="I11" s="99">
        <v>781.3</v>
      </c>
      <c r="J11" s="99">
        <v>690</v>
      </c>
      <c r="K11" s="99">
        <v>523.4</v>
      </c>
      <c r="L11" s="99">
        <v>956.9</v>
      </c>
      <c r="M11" s="99">
        <v>1393.6</v>
      </c>
      <c r="N11" s="99">
        <v>1148.0999999999999</v>
      </c>
      <c r="O11" s="99">
        <v>1052.8</v>
      </c>
      <c r="P11" s="99">
        <v>1472.3</v>
      </c>
      <c r="Q11" s="99">
        <v>1322.3</v>
      </c>
      <c r="R11" s="99">
        <v>1279.5</v>
      </c>
      <c r="S11" s="99">
        <v>1098.5420519265294</v>
      </c>
      <c r="T11" s="99">
        <v>1489.17362897314</v>
      </c>
      <c r="U11" s="99">
        <v>1407.8419024300001</v>
      </c>
      <c r="V11" s="99">
        <v>1332.5652543300002</v>
      </c>
      <c r="W11" s="99">
        <v>1159.59284284</v>
      </c>
      <c r="X11" s="99">
        <v>1643.29443044</v>
      </c>
      <c r="Y11" s="99">
        <v>1629.5228029187999</v>
      </c>
      <c r="Z11" s="99">
        <v>1468.2</v>
      </c>
      <c r="AA11" s="99">
        <v>1244.2785545100003</v>
      </c>
      <c r="AB11" s="99">
        <v>1692.2023980700001</v>
      </c>
    </row>
    <row r="12" spans="1:30">
      <c r="A12" s="95" t="s">
        <v>38</v>
      </c>
      <c r="B12" s="100">
        <v>1854.53771258962</v>
      </c>
      <c r="C12" s="100">
        <v>2029.3787372391689</v>
      </c>
      <c r="D12" s="100">
        <v>2062.9315483819419</v>
      </c>
      <c r="E12" s="100">
        <v>1937.8256675711907</v>
      </c>
      <c r="F12" s="100">
        <v>1403.4</v>
      </c>
      <c r="G12" s="100">
        <v>153.19999999999999</v>
      </c>
      <c r="H12" s="100">
        <v>388.9</v>
      </c>
      <c r="I12" s="100">
        <v>730.3</v>
      </c>
      <c r="J12" s="100">
        <v>565.4</v>
      </c>
      <c r="K12" s="100">
        <v>659</v>
      </c>
      <c r="L12" s="100">
        <v>1280.0999999999999</v>
      </c>
      <c r="M12" s="100">
        <v>1236.4000000000001</v>
      </c>
      <c r="N12" s="100">
        <v>1215.0999999999999</v>
      </c>
      <c r="O12" s="100">
        <v>1590.8</v>
      </c>
      <c r="P12" s="100">
        <v>1540.8</v>
      </c>
      <c r="Q12" s="100">
        <v>1418.7</v>
      </c>
      <c r="R12" s="100">
        <v>1568.2</v>
      </c>
      <c r="S12" s="100">
        <v>1438.8624191461038</v>
      </c>
      <c r="T12" s="100">
        <v>1437.1297232386676</v>
      </c>
      <c r="U12" s="100">
        <v>1279.9790786333449</v>
      </c>
      <c r="V12" s="100">
        <v>1298.6853577900008</v>
      </c>
      <c r="W12" s="100">
        <v>1419.4415900700001</v>
      </c>
      <c r="X12" s="100">
        <v>1456.9294619606699</v>
      </c>
      <c r="Y12" s="100">
        <v>1449.5265485913908</v>
      </c>
      <c r="Z12" s="100">
        <v>1543.2</v>
      </c>
      <c r="AA12" s="100">
        <v>1671.4576276000028</v>
      </c>
      <c r="AB12" s="100">
        <v>1789.8540526900051</v>
      </c>
      <c r="AD12" s="169"/>
    </row>
    <row r="13" spans="1:30" hidden="1">
      <c r="A13" s="97" t="s">
        <v>199</v>
      </c>
      <c r="B13" s="101"/>
      <c r="C13" s="101"/>
      <c r="D13" s="101"/>
      <c r="E13" s="101"/>
      <c r="F13" s="101">
        <v>2746</v>
      </c>
      <c r="G13" s="101">
        <v>322</v>
      </c>
      <c r="H13" s="101">
        <v>845</v>
      </c>
      <c r="I13" s="101">
        <v>2029</v>
      </c>
      <c r="J13" s="101">
        <v>1627</v>
      </c>
      <c r="K13" s="101">
        <v>1487</v>
      </c>
      <c r="L13" s="101">
        <v>2454</v>
      </c>
      <c r="M13" s="101">
        <v>2163</v>
      </c>
      <c r="N13" s="101">
        <v>1874</v>
      </c>
      <c r="O13" s="101">
        <v>1693</v>
      </c>
      <c r="P13" s="101">
        <v>1771</v>
      </c>
      <c r="Q13" s="101">
        <v>1598</v>
      </c>
      <c r="R13" s="101">
        <v>1587</v>
      </c>
      <c r="S13" s="101">
        <v>1461.758</v>
      </c>
      <c r="T13" s="101">
        <v>1576.7159999999999</v>
      </c>
      <c r="U13" s="101">
        <v>1452.5770199999999</v>
      </c>
      <c r="V13" s="101">
        <v>1432</v>
      </c>
      <c r="W13" s="101">
        <v>1385.6089999999999</v>
      </c>
      <c r="X13" s="101">
        <v>1554.701</v>
      </c>
      <c r="Y13" s="101">
        <v>1601.04258</v>
      </c>
      <c r="Z13" s="101">
        <v>1615.6250600000001</v>
      </c>
      <c r="AA13" s="101">
        <f>1516.60340464652</f>
        <v>1516.6034046465199</v>
      </c>
      <c r="AB13" s="101"/>
      <c r="AD13" s="169"/>
    </row>
    <row r="14" spans="1:30" s="119" customFormat="1" hidden="1">
      <c r="A14" s="116" t="s">
        <v>200</v>
      </c>
      <c r="B14" s="143"/>
      <c r="C14" s="143"/>
      <c r="D14" s="143"/>
      <c r="E14" s="143"/>
      <c r="F14" s="143">
        <v>1232</v>
      </c>
      <c r="G14" s="143">
        <v>578</v>
      </c>
      <c r="H14" s="143">
        <v>675</v>
      </c>
      <c r="I14" s="143">
        <v>745</v>
      </c>
      <c r="J14" s="143">
        <v>772</v>
      </c>
      <c r="K14" s="143">
        <v>795</v>
      </c>
      <c r="L14" s="143">
        <v>912</v>
      </c>
      <c r="M14" s="143">
        <v>1216</v>
      </c>
      <c r="N14" s="143">
        <v>1261</v>
      </c>
      <c r="O14" s="143">
        <v>1562</v>
      </c>
      <c r="P14" s="143">
        <v>1701</v>
      </c>
      <c r="Q14" s="143">
        <v>1715</v>
      </c>
      <c r="R14" s="143">
        <v>1794</v>
      </c>
      <c r="S14" s="143">
        <v>1735.8581044691616</v>
      </c>
      <c r="T14" s="143">
        <v>1855.9482825136597</v>
      </c>
      <c r="U14" s="143">
        <v>1850.489679984986</v>
      </c>
      <c r="V14" s="143">
        <f t="shared" ref="V14:AA14" si="11">V7*1000/V13</f>
        <v>1845.5495914698952</v>
      </c>
      <c r="W14" s="143">
        <f t="shared" si="11"/>
        <v>2073.7669663165516</v>
      </c>
      <c r="X14" s="143">
        <f t="shared" si="11"/>
        <v>1870.7410036617916</v>
      </c>
      <c r="Y14" s="143">
        <f t="shared" si="11"/>
        <v>1928.320451541065</v>
      </c>
      <c r="Z14" s="143">
        <f t="shared" si="11"/>
        <v>1886.885810003467</v>
      </c>
      <c r="AA14" s="143">
        <f t="shared" si="11"/>
        <v>2083.0289153260042</v>
      </c>
      <c r="AB14" s="143"/>
      <c r="AD14" s="170"/>
    </row>
    <row r="15" spans="1:30">
      <c r="A15" s="97" t="s">
        <v>24</v>
      </c>
      <c r="B15" s="105">
        <v>9.2792532450383297E-2</v>
      </c>
      <c r="C15" s="105">
        <v>0.12276339015078397</v>
      </c>
      <c r="D15" s="105">
        <v>9.9206429092015366E-2</v>
      </c>
      <c r="E15" s="105">
        <v>5.6400062006915795E-2</v>
      </c>
      <c r="F15" s="105">
        <v>7.0999999999999994E-2</v>
      </c>
      <c r="G15" s="105">
        <v>2.4E-2</v>
      </c>
      <c r="H15" s="105">
        <v>0.1</v>
      </c>
      <c r="I15" s="105">
        <v>9.4E-2</v>
      </c>
      <c r="J15" s="105">
        <v>0.11899999999999999</v>
      </c>
      <c r="K15" s="105">
        <v>7.5999999999999998E-2</v>
      </c>
      <c r="L15" s="105">
        <v>9.1999999999999998E-2</v>
      </c>
      <c r="M15" s="105">
        <v>0.1</v>
      </c>
      <c r="N15" s="105">
        <v>0.10199999999999999</v>
      </c>
      <c r="O15" s="105">
        <v>0.08</v>
      </c>
      <c r="P15" s="105">
        <v>8.4000000000000005E-2</v>
      </c>
      <c r="Q15" s="105">
        <v>9.2999999999999999E-2</v>
      </c>
      <c r="R15" s="105">
        <v>7.8E-2</v>
      </c>
      <c r="S15" s="105">
        <v>7.9044331532199794E-2</v>
      </c>
      <c r="T15" s="105">
        <v>0.10456507254967082</v>
      </c>
      <c r="U15" s="105">
        <v>0.10054982433233844</v>
      </c>
      <c r="V15" s="105">
        <v>9.7832505922656327E-2</v>
      </c>
      <c r="W15" s="105">
        <v>9.4093653978400638E-2</v>
      </c>
      <c r="X15" s="105">
        <v>9.9805723072259114E-2</v>
      </c>
      <c r="Y15" s="105">
        <v>0.10052050081302964</v>
      </c>
      <c r="Z15" s="105">
        <v>9.2999999999999999E-2</v>
      </c>
      <c r="AA15" s="105">
        <v>9.6524543645081493E-2</v>
      </c>
      <c r="AB15" s="105">
        <v>9.1548206967840176E-2</v>
      </c>
      <c r="AD15" s="169"/>
    </row>
    <row r="16" spans="1:30">
      <c r="A16" s="94" t="s">
        <v>37</v>
      </c>
      <c r="B16" s="102">
        <v>0.10921795001435049</v>
      </c>
      <c r="C16" s="102">
        <v>0.21464321412346996</v>
      </c>
      <c r="D16" s="102">
        <v>0.13118153103339514</v>
      </c>
      <c r="E16" s="102">
        <v>5.747786218037159E-2</v>
      </c>
      <c r="F16" s="102">
        <v>7.9000000000000001E-2</v>
      </c>
      <c r="G16" s="102">
        <v>8.2000000000000003E-2</v>
      </c>
      <c r="H16" s="102">
        <v>0.11799999999999999</v>
      </c>
      <c r="I16" s="102">
        <v>0.122</v>
      </c>
      <c r="J16" s="102">
        <v>0.14899999999999999</v>
      </c>
      <c r="K16" s="102">
        <v>7.2999999999999995E-2</v>
      </c>
      <c r="L16" s="102">
        <v>0.13200000000000001</v>
      </c>
      <c r="M16" s="102">
        <v>0.13200000000000001</v>
      </c>
      <c r="N16" s="102">
        <v>0.15</v>
      </c>
      <c r="O16" s="102">
        <v>0.129</v>
      </c>
      <c r="P16" s="102">
        <v>0.111</v>
      </c>
      <c r="Q16" s="102">
        <v>0.126</v>
      </c>
      <c r="R16" s="102">
        <v>0.114</v>
      </c>
      <c r="S16" s="102">
        <v>0.11465559172636371</v>
      </c>
      <c r="T16" s="102">
        <v>0.14658213193746866</v>
      </c>
      <c r="U16" s="102">
        <v>0.13182636183769103</v>
      </c>
      <c r="V16" s="102">
        <v>0.13014844270211703</v>
      </c>
      <c r="W16" s="102">
        <v>0.12896212759794826</v>
      </c>
      <c r="X16" s="102">
        <v>0.13229562465138706</v>
      </c>
      <c r="Y16" s="102">
        <v>0.12864454321487415</v>
      </c>
      <c r="Z16" s="102">
        <v>0.126</v>
      </c>
      <c r="AA16" s="102">
        <v>0.13779618830674242</v>
      </c>
      <c r="AB16" s="102">
        <v>0.12037328348093669</v>
      </c>
      <c r="AD16" s="169"/>
    </row>
    <row r="17" spans="1:30">
      <c r="A17" s="95" t="s">
        <v>38</v>
      </c>
      <c r="B17" s="103">
        <v>7.2255203596203216E-2</v>
      </c>
      <c r="C17" s="103">
        <v>6.3932807790491694E-2</v>
      </c>
      <c r="D17" s="103">
        <v>6.8771157722898144E-2</v>
      </c>
      <c r="E17" s="103">
        <v>5.7376941020397719E-2</v>
      </c>
      <c r="F17" s="103">
        <v>0.06</v>
      </c>
      <c r="G17" s="103">
        <v>1.0999999999999999E-2</v>
      </c>
      <c r="H17" s="103">
        <v>9.0999999999999998E-2</v>
      </c>
      <c r="I17" s="103">
        <v>6.4000000000000001E-2</v>
      </c>
      <c r="J17" s="103">
        <v>8.3000000000000004E-2</v>
      </c>
      <c r="K17" s="103">
        <v>7.9000000000000001E-2</v>
      </c>
      <c r="L17" s="103">
        <v>6.0999999999999999E-2</v>
      </c>
      <c r="M17" s="103">
        <v>6.3E-2</v>
      </c>
      <c r="N17" s="103">
        <v>5.7000000000000002E-2</v>
      </c>
      <c r="O17" s="103">
        <v>4.8000000000000001E-2</v>
      </c>
      <c r="P17" s="103">
        <v>5.8000000000000003E-2</v>
      </c>
      <c r="Q17" s="103">
        <v>6.2E-2</v>
      </c>
      <c r="R17" s="103">
        <v>4.8000000000000001E-2</v>
      </c>
      <c r="S17" s="103">
        <v>5.1855862138022041E-2</v>
      </c>
      <c r="T17" s="103">
        <v>6.1026416438446834E-2</v>
      </c>
      <c r="U17" s="103">
        <v>6.6148933881868766E-2</v>
      </c>
      <c r="V17" s="103">
        <v>6.4673516137235487E-2</v>
      </c>
      <c r="W17" s="103">
        <v>6.5608344873156768E-2</v>
      </c>
      <c r="X17" s="103">
        <v>6.315983478150157E-2</v>
      </c>
      <c r="Y17" s="103">
        <v>6.890413031702447E-2</v>
      </c>
      <c r="Z17" s="103">
        <v>6.2E-2</v>
      </c>
      <c r="AA17" s="103">
        <v>6.5800807958406246E-2</v>
      </c>
      <c r="AB17" s="103">
        <v>6.4295781818033151E-2</v>
      </c>
      <c r="AD17" s="169"/>
    </row>
    <row r="18" spans="1:30" s="119" customFormat="1">
      <c r="A18" s="97" t="s">
        <v>25</v>
      </c>
      <c r="B18" s="98">
        <v>-228.71800000000002</v>
      </c>
      <c r="C18" s="98"/>
      <c r="D18" s="98"/>
      <c r="E18" s="98"/>
      <c r="F18" s="98">
        <v>-538.6</v>
      </c>
      <c r="G18" s="98">
        <v>-178.5</v>
      </c>
      <c r="H18" s="98">
        <v>-181.7</v>
      </c>
      <c r="I18" s="98">
        <v>-221.6</v>
      </c>
      <c r="J18" s="98">
        <v>-180.8</v>
      </c>
      <c r="K18" s="98">
        <v>-215.5</v>
      </c>
      <c r="L18" s="98">
        <v>-214.7</v>
      </c>
      <c r="M18" s="98">
        <v>-304.10000000000002</v>
      </c>
      <c r="N18" s="98">
        <v>-207.1</v>
      </c>
      <c r="O18" s="98">
        <v>-226.3</v>
      </c>
      <c r="P18" s="98">
        <v>-245.7</v>
      </c>
      <c r="Q18" s="98">
        <v>-198.1</v>
      </c>
      <c r="R18" s="98">
        <v>-233.2</v>
      </c>
      <c r="S18" s="98">
        <v>-222.85149999999999</v>
      </c>
      <c r="T18" s="98">
        <v>-308.83325790024696</v>
      </c>
      <c r="U18" s="98">
        <f>U19+U20+U24</f>
        <v>-201.08524209975295</v>
      </c>
      <c r="V18" s="98">
        <f>V19+V20+V24</f>
        <v>-195.1</v>
      </c>
      <c r="W18" s="98">
        <f>W19+W20+W24</f>
        <v>-186.29549991010458</v>
      </c>
      <c r="X18" s="98">
        <f>SUM(X19:X20,X24)</f>
        <v>-198.94929010034784</v>
      </c>
      <c r="Y18" s="98">
        <f>SUM(Y19:Y20,Y24)</f>
        <v>-224.72980438472365</v>
      </c>
      <c r="Z18" s="98">
        <f>SUM(Z19:Z20,Z24)</f>
        <v>-206.53499999999997</v>
      </c>
      <c r="AA18" s="98">
        <f>SUM(AA19:AA20,AA24)</f>
        <v>-189.6357043235831</v>
      </c>
      <c r="AB18" s="98">
        <f>SUM(AB19:AB20,AB24)</f>
        <v>-185.28034708510015</v>
      </c>
    </row>
    <row r="19" spans="1:30" s="119" customFormat="1">
      <c r="A19" s="128" t="s">
        <v>51</v>
      </c>
      <c r="B19" s="120">
        <v>-130.9</v>
      </c>
      <c r="C19" s="120"/>
      <c r="D19" s="120"/>
      <c r="E19" s="120"/>
      <c r="F19" s="120">
        <v>-129.30000000000001</v>
      </c>
      <c r="G19" s="120">
        <v>-110.2</v>
      </c>
      <c r="H19" s="120">
        <v>-148.80000000000001</v>
      </c>
      <c r="I19" s="120">
        <v>-182.7</v>
      </c>
      <c r="J19" s="120">
        <v>-157</v>
      </c>
      <c r="K19" s="120">
        <v>-157.30000000000001</v>
      </c>
      <c r="L19" s="120">
        <v>-162.6</v>
      </c>
      <c r="M19" s="120">
        <v>-227.2</v>
      </c>
      <c r="N19" s="120">
        <v>-177.3</v>
      </c>
      <c r="O19" s="120">
        <v>-179.7</v>
      </c>
      <c r="P19" s="120">
        <v>-189.5</v>
      </c>
      <c r="Q19" s="120">
        <v>-188.8</v>
      </c>
      <c r="R19" s="120">
        <v>-172.7</v>
      </c>
      <c r="S19" s="120">
        <v>-156.65</v>
      </c>
      <c r="T19" s="120">
        <v>-135.32595028302759</v>
      </c>
      <c r="U19" s="120">
        <v>-148.72304971697235</v>
      </c>
      <c r="V19" s="120">
        <v>-139.4</v>
      </c>
      <c r="W19" s="120">
        <v>-142.39137904192768</v>
      </c>
      <c r="X19" s="120">
        <v>-140.21682448034781</v>
      </c>
      <c r="Y19" s="120">
        <v>-152.27825928325967</v>
      </c>
      <c r="Z19" s="120">
        <v>-144.69999999999999</v>
      </c>
      <c r="AA19" s="120">
        <v>-148.49184541358309</v>
      </c>
      <c r="AB19" s="120">
        <v>-144.83172944496482</v>
      </c>
    </row>
    <row r="20" spans="1:30" s="119" customFormat="1">
      <c r="A20" s="128" t="s">
        <v>52</v>
      </c>
      <c r="B20" s="127">
        <v>-76.191000000000003</v>
      </c>
      <c r="C20" s="127"/>
      <c r="D20" s="127"/>
      <c r="E20" s="127"/>
      <c r="F20" s="127">
        <v>-122.2</v>
      </c>
      <c r="G20" s="127">
        <v>-21.5</v>
      </c>
      <c r="H20" s="127">
        <v>-13.5</v>
      </c>
      <c r="I20" s="127">
        <v>-37.799999999999997</v>
      </c>
      <c r="J20" s="127">
        <v>-16.899999999999999</v>
      </c>
      <c r="K20" s="127">
        <v>-16.100000000000001</v>
      </c>
      <c r="L20" s="127">
        <v>-26.5</v>
      </c>
      <c r="M20" s="127">
        <v>-43.2</v>
      </c>
      <c r="N20" s="127">
        <v>-41.3</v>
      </c>
      <c r="O20" s="127">
        <v>-52.3</v>
      </c>
      <c r="P20" s="127">
        <v>-46.5</v>
      </c>
      <c r="Q20" s="127">
        <v>-45.8</v>
      </c>
      <c r="R20" s="127">
        <v>-46.7</v>
      </c>
      <c r="S20" s="127">
        <v>-70.24199999999999</v>
      </c>
      <c r="T20" s="127">
        <v>-66.731805082210428</v>
      </c>
      <c r="U20" s="127">
        <v>-51.360194917789556</v>
      </c>
      <c r="V20" s="127">
        <v>-58.1</v>
      </c>
      <c r="W20" s="127">
        <v>-45.394325530000017</v>
      </c>
      <c r="X20" s="127">
        <v>-51.649465620000015</v>
      </c>
      <c r="Y20" s="127">
        <v>-67.283290120034678</v>
      </c>
      <c r="Z20" s="127">
        <f>SUM(Z21:Z23)</f>
        <v>-52.7</v>
      </c>
      <c r="AA20" s="127">
        <v>-70.522858909999997</v>
      </c>
      <c r="AB20" s="127">
        <f>SUM(AB21:AB23)</f>
        <v>-58.560245980000005</v>
      </c>
    </row>
    <row r="21" spans="1:30">
      <c r="A21" s="129" t="s">
        <v>201</v>
      </c>
      <c r="B21" s="99"/>
      <c r="C21" s="99"/>
      <c r="D21" s="99"/>
      <c r="E21" s="99"/>
      <c r="F21" s="99">
        <v>-68.7</v>
      </c>
      <c r="G21" s="99">
        <v>-11.5</v>
      </c>
      <c r="H21" s="99">
        <v>1.1000000000000001</v>
      </c>
      <c r="I21" s="99">
        <v>-12.3</v>
      </c>
      <c r="J21" s="99">
        <v>3.9</v>
      </c>
      <c r="K21" s="99">
        <v>4.5999999999999996</v>
      </c>
      <c r="L21" s="99">
        <v>2.5</v>
      </c>
      <c r="M21" s="99">
        <v>-8.1999999999999993</v>
      </c>
      <c r="N21" s="99">
        <v>-10.5</v>
      </c>
      <c r="O21" s="99">
        <v>-2.8</v>
      </c>
      <c r="P21" s="99">
        <v>-14.1</v>
      </c>
      <c r="Q21" s="99">
        <v>-20.3</v>
      </c>
      <c r="R21" s="99">
        <v>-2</v>
      </c>
      <c r="S21" s="99">
        <v>-18.844999999999999</v>
      </c>
      <c r="T21" s="99">
        <v>-22.362277880916029</v>
      </c>
      <c r="U21" s="99">
        <v>-11.8</v>
      </c>
      <c r="V21" s="99">
        <v>-4.5999999999999996</v>
      </c>
      <c r="W21" s="99">
        <v>-4.7860364999999998</v>
      </c>
      <c r="X21" s="99">
        <v>-2.0441038400000111</v>
      </c>
      <c r="Y21" s="181">
        <v>-0.52580336999645338</v>
      </c>
      <c r="Z21" s="181">
        <v>3.8</v>
      </c>
      <c r="AA21" s="181">
        <v>-6.3006542500000009</v>
      </c>
      <c r="AB21" s="181">
        <v>2.1181400999999997</v>
      </c>
    </row>
    <row r="22" spans="1:30">
      <c r="A22" s="129" t="s">
        <v>202</v>
      </c>
      <c r="B22" s="99"/>
      <c r="C22" s="99"/>
      <c r="D22" s="99"/>
      <c r="E22" s="99"/>
      <c r="F22" s="99">
        <v>-30.1</v>
      </c>
      <c r="G22" s="99">
        <v>-4.9000000000000004</v>
      </c>
      <c r="H22" s="99">
        <v>-9.1999999999999993</v>
      </c>
      <c r="I22" s="99">
        <v>-14.5</v>
      </c>
      <c r="J22" s="99">
        <v>-9.6</v>
      </c>
      <c r="K22" s="99">
        <v>-12.7</v>
      </c>
      <c r="L22" s="99">
        <v>-15.4</v>
      </c>
      <c r="M22" s="99">
        <v>-17.100000000000001</v>
      </c>
      <c r="N22" s="99">
        <v>-14.5</v>
      </c>
      <c r="O22" s="99">
        <v>-32.9</v>
      </c>
      <c r="P22" s="99">
        <v>-9.9</v>
      </c>
      <c r="Q22" s="99">
        <v>-9.4</v>
      </c>
      <c r="R22" s="99">
        <v>-23.4</v>
      </c>
      <c r="S22" s="99">
        <v>-27.796699278258998</v>
      </c>
      <c r="T22" s="99">
        <v>-14.889282621304998</v>
      </c>
      <c r="U22" s="99">
        <v>-21.2</v>
      </c>
      <c r="V22" s="99">
        <v>-33.799999999999997</v>
      </c>
      <c r="W22" s="99">
        <v>-22.528790709999999</v>
      </c>
      <c r="X22" s="99">
        <v>-24.163635710000005</v>
      </c>
      <c r="Y22" s="181">
        <v>-28.705471310011291</v>
      </c>
      <c r="Z22" s="181">
        <v>-30.4</v>
      </c>
      <c r="AA22" s="181">
        <v>-36.840944739999998</v>
      </c>
      <c r="AB22" s="181">
        <v>-31.082919889999992</v>
      </c>
    </row>
    <row r="23" spans="1:30">
      <c r="A23" s="129" t="s">
        <v>203</v>
      </c>
      <c r="B23" s="99"/>
      <c r="C23" s="99"/>
      <c r="D23" s="99"/>
      <c r="E23" s="99"/>
      <c r="F23" s="99">
        <v>-23.3</v>
      </c>
      <c r="G23" s="99">
        <v>-5.2</v>
      </c>
      <c r="H23" s="99">
        <v>-5.4</v>
      </c>
      <c r="I23" s="99">
        <v>-11</v>
      </c>
      <c r="J23" s="99">
        <v>-11.3</v>
      </c>
      <c r="K23" s="99">
        <v>-7.9</v>
      </c>
      <c r="L23" s="99">
        <v>-13.6</v>
      </c>
      <c r="M23" s="99">
        <v>-17.899999999999999</v>
      </c>
      <c r="N23" s="99">
        <v>-16.399999999999999</v>
      </c>
      <c r="O23" s="99">
        <v>-16.600000000000001</v>
      </c>
      <c r="P23" s="99">
        <v>-22.5</v>
      </c>
      <c r="Q23" s="99">
        <v>-16.100000000000001</v>
      </c>
      <c r="R23" s="99">
        <v>-21.2</v>
      </c>
      <c r="S23" s="99">
        <v>-23.600724860000007</v>
      </c>
      <c r="T23" s="99">
        <v>-29.479493550000008</v>
      </c>
      <c r="U23" s="99">
        <v>-18.399999999999999</v>
      </c>
      <c r="V23" s="99">
        <v>-19.8</v>
      </c>
      <c r="W23" s="99">
        <v>-18.079498319999995</v>
      </c>
      <c r="X23" s="99">
        <v>-25.441726070000001</v>
      </c>
      <c r="Y23" s="181">
        <v>-38.052015440026921</v>
      </c>
      <c r="Z23" s="181">
        <v>-26.1</v>
      </c>
      <c r="AA23" s="181">
        <v>-27.381259920000002</v>
      </c>
      <c r="AB23" s="181">
        <v>-29.595466190000014</v>
      </c>
    </row>
    <row r="24" spans="1:30" s="119" customFormat="1">
      <c r="A24" s="128" t="s">
        <v>204</v>
      </c>
      <c r="B24" s="120">
        <v>-21.626999999999999</v>
      </c>
      <c r="C24" s="120"/>
      <c r="D24" s="120"/>
      <c r="E24" s="120"/>
      <c r="F24" s="120">
        <v>-287.10000000000002</v>
      </c>
      <c r="G24" s="120">
        <v>-46.8</v>
      </c>
      <c r="H24" s="120">
        <v>-19.399999999999999</v>
      </c>
      <c r="I24" s="120">
        <v>-1</v>
      </c>
      <c r="J24" s="120">
        <v>-6.9</v>
      </c>
      <c r="K24" s="120">
        <v>-42.1</v>
      </c>
      <c r="L24" s="120">
        <v>-25.7</v>
      </c>
      <c r="M24" s="120">
        <v>-33.799999999999997</v>
      </c>
      <c r="N24" s="120">
        <v>11.5</v>
      </c>
      <c r="O24" s="120">
        <v>5.6</v>
      </c>
      <c r="P24" s="120">
        <v>-9.8000000000000007</v>
      </c>
      <c r="Q24" s="120">
        <v>36.5</v>
      </c>
      <c r="R24" s="120">
        <v>-13.9</v>
      </c>
      <c r="S24" s="120">
        <v>4.0405000000000015</v>
      </c>
      <c r="T24" s="120">
        <v>-106.77550253500897</v>
      </c>
      <c r="U24" s="120">
        <v>-1.0019974649910353</v>
      </c>
      <c r="V24" s="120">
        <v>2.4</v>
      </c>
      <c r="W24" s="120">
        <f>1490204.66182309*10^-6</f>
        <v>1.49020466182309</v>
      </c>
      <c r="X24" s="120">
        <v>-7.0830000000000002</v>
      </c>
      <c r="Y24" s="120">
        <f>-5168254.98142929*10^-6</f>
        <v>-5.16825498142929</v>
      </c>
      <c r="Z24" s="120">
        <v>-9.1349999999999998</v>
      </c>
      <c r="AA24" s="120">
        <v>29.378999999999998</v>
      </c>
      <c r="AB24" s="120">
        <v>18.111628339864676</v>
      </c>
    </row>
    <row r="25" spans="1:30" ht="16.5">
      <c r="A25" s="113"/>
      <c r="B25" s="36"/>
      <c r="C25" s="36"/>
      <c r="D25" s="36"/>
      <c r="E25" s="36"/>
      <c r="F25" s="36"/>
    </row>
    <row r="28" spans="1:30" ht="4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28" width="9.75" style="12" bestFit="1" customWidth="1"/>
    <col min="29" max="16384" width="9" style="12"/>
  </cols>
  <sheetData>
    <row r="1" spans="1:32" ht="17.25">
      <c r="A1" s="192"/>
      <c r="B1" s="171"/>
      <c r="C1" s="171"/>
      <c r="D1" s="171"/>
      <c r="E1" s="171"/>
    </row>
    <row r="2" spans="1:32" ht="17.25">
      <c r="A2" s="192"/>
      <c r="B2" s="171"/>
      <c r="C2" s="171"/>
      <c r="D2" s="171"/>
      <c r="E2" s="171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2" ht="16.5" customHeight="1">
      <c r="A4" s="29" t="s">
        <v>208</v>
      </c>
      <c r="B4" s="35" t="s">
        <v>2</v>
      </c>
      <c r="C4" s="35" t="s">
        <v>3</v>
      </c>
      <c r="D4" s="35" t="s">
        <v>4</v>
      </c>
      <c r="E4" s="35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</row>
    <row r="5" spans="1:32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87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12"/>
      <c r="AD7" s="12"/>
      <c r="AE7" s="12"/>
      <c r="AF7" s="12"/>
    </row>
    <row r="8" spans="1:32" s="119" customFormat="1" ht="5.0999999999999996" customHeight="1">
      <c r="A8" s="163"/>
      <c r="B8" s="164">
        <v>369.31599999999997</v>
      </c>
      <c r="C8" s="164">
        <v>437.33300000000003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V8" s="164"/>
      <c r="W8" s="164"/>
      <c r="X8" s="164"/>
      <c r="Y8" s="164"/>
      <c r="Z8" s="164"/>
      <c r="AA8" s="164"/>
      <c r="AB8" s="164"/>
      <c r="AC8" s="12"/>
      <c r="AD8" s="12"/>
      <c r="AE8" s="12"/>
      <c r="AF8" s="12"/>
    </row>
    <row r="9" spans="1:32" s="13" customFormat="1">
      <c r="A9" s="175" t="s">
        <v>88</v>
      </c>
      <c r="B9" s="175"/>
      <c r="C9" s="164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-241.2</v>
      </c>
      <c r="O9" s="176">
        <f t="shared" ref="O9:AA9" si="0">SUM(O10:O11,O14:O15)</f>
        <v>-260.70000000000005</v>
      </c>
      <c r="P9" s="176">
        <f t="shared" si="0"/>
        <v>-282.5</v>
      </c>
      <c r="Q9" s="176">
        <f t="shared" si="0"/>
        <v>-235.90000000000003</v>
      </c>
      <c r="R9" s="176">
        <f t="shared" si="0"/>
        <v>-271.89999999999998</v>
      </c>
      <c r="S9" s="176">
        <f t="shared" si="0"/>
        <v>-263.21850000000001</v>
      </c>
      <c r="T9" s="176">
        <f t="shared" si="0"/>
        <v>-346.43470805777997</v>
      </c>
      <c r="U9" s="176">
        <f t="shared" si="0"/>
        <v>-258.36811911045436</v>
      </c>
      <c r="V9" s="176">
        <f t="shared" si="0"/>
        <v>-237.37024054033205</v>
      </c>
      <c r="W9" s="176">
        <f t="shared" si="0"/>
        <v>-236.11817221808579</v>
      </c>
      <c r="X9" s="176">
        <f t="shared" si="0"/>
        <v>-244.49842231954338</v>
      </c>
      <c r="Y9" s="176">
        <f t="shared" si="0"/>
        <v>-278.50429673300454</v>
      </c>
      <c r="Z9" s="176">
        <f t="shared" si="0"/>
        <v>-250.07300000000001</v>
      </c>
      <c r="AA9" s="176">
        <f t="shared" si="0"/>
        <v>-237.67800000000003</v>
      </c>
      <c r="AB9" s="176">
        <f t="shared" ref="AB9" si="1">SUM(AB10:AB11,AB14:AB15)</f>
        <v>-232.515221475206</v>
      </c>
      <c r="AC9" s="12"/>
      <c r="AD9" s="12"/>
      <c r="AE9" s="12"/>
      <c r="AF9" s="12"/>
    </row>
    <row r="10" spans="1:32" s="13" customFormat="1" ht="15" thickBot="1">
      <c r="A10" s="172" t="s">
        <v>52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9">
        <v>-45.7</v>
      </c>
      <c r="R10" s="149">
        <v>-46.7</v>
      </c>
      <c r="S10" s="149">
        <v>-70.24199999999999</v>
      </c>
      <c r="T10" s="149">
        <v>-66.731805082210428</v>
      </c>
      <c r="U10" s="149">
        <v>-51.390335995928041</v>
      </c>
      <c r="V10" s="149">
        <v>-58.14894370999999</v>
      </c>
      <c r="W10" s="149">
        <v>-45.394325530000017</v>
      </c>
      <c r="X10" s="149">
        <v>-51.649465619999994</v>
      </c>
      <c r="Y10" s="149">
        <v>-67.283290120034607</v>
      </c>
      <c r="Z10" s="149">
        <v>-52.722000000000001</v>
      </c>
      <c r="AA10" s="149">
        <v>-70.524000000000001</v>
      </c>
      <c r="AB10" s="149">
        <v>-58.560245980000005</v>
      </c>
      <c r="AC10" s="12"/>
      <c r="AD10" s="12"/>
      <c r="AE10" s="12"/>
      <c r="AF10" s="12"/>
    </row>
    <row r="11" spans="1:32" ht="15" thickBot="1">
      <c r="A11" s="173" t="s">
        <v>51</v>
      </c>
      <c r="B11" s="21">
        <v>-158.48400000000001</v>
      </c>
      <c r="C11" s="16">
        <v>-177.34299999999999</v>
      </c>
      <c r="D11" s="155"/>
      <c r="E11" s="155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9">
        <v>-226.4</v>
      </c>
      <c r="R11" s="149">
        <v>-211.1</v>
      </c>
      <c r="S11" s="149">
        <v>-196.92099999999999</v>
      </c>
      <c r="T11" s="149">
        <v>-172.91318355508687</v>
      </c>
      <c r="U11" s="149">
        <v>-206</v>
      </c>
      <c r="V11" s="149">
        <f t="shared" ref="V11:AA11" si="2">V12+V13</f>
        <v>-181.61446193201044</v>
      </c>
      <c r="W11" s="149">
        <f t="shared" si="2"/>
        <v>-192.56856725109429</v>
      </c>
      <c r="X11" s="149">
        <f t="shared" si="2"/>
        <v>-185.9371705420136</v>
      </c>
      <c r="Y11" s="149">
        <f t="shared" si="2"/>
        <v>-204.59415167822399</v>
      </c>
      <c r="Z11" s="149">
        <f t="shared" si="2"/>
        <v>-188.21600000000001</v>
      </c>
      <c r="AA11" s="149">
        <f t="shared" si="2"/>
        <v>-196.53300000000002</v>
      </c>
      <c r="AB11" s="149">
        <f t="shared" ref="AB11" si="3">AB12+AB13</f>
        <v>-192.06660383507065</v>
      </c>
    </row>
    <row r="12" spans="1:32">
      <c r="A12" s="174" t="s">
        <v>51</v>
      </c>
      <c r="B12" s="22">
        <v>-130.9</v>
      </c>
      <c r="C12" s="155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50">
        <v>-188.8</v>
      </c>
      <c r="R12" s="149">
        <v>-172.7</v>
      </c>
      <c r="S12" s="149">
        <v>-156.65</v>
      </c>
      <c r="T12" s="149">
        <v>-135.32595028302759</v>
      </c>
      <c r="U12" s="149">
        <v>-148.69999999999999</v>
      </c>
      <c r="V12" s="149">
        <v>-139.35239827701045</v>
      </c>
      <c r="W12" s="149">
        <v>-142.39137904192768</v>
      </c>
      <c r="X12" s="149">
        <v>-140.21682448034701</v>
      </c>
      <c r="Y12" s="149">
        <v>-152.27825928325899</v>
      </c>
      <c r="Z12" s="149">
        <v>-144.69999999999999</v>
      </c>
      <c r="AA12" s="149">
        <v>-148.49199999999999</v>
      </c>
      <c r="AB12" s="149">
        <v>-144.83172944496482</v>
      </c>
    </row>
    <row r="13" spans="1:32" ht="15" thickBot="1">
      <c r="A13" s="174" t="s">
        <v>89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50">
        <v>-37.6</v>
      </c>
      <c r="R13" s="149">
        <v>-38.4</v>
      </c>
      <c r="S13" s="149">
        <v>-40.271000000000001</v>
      </c>
      <c r="T13" s="149">
        <v>-37.587233272059279</v>
      </c>
      <c r="U13" s="149">
        <v>-57.227380842002006</v>
      </c>
      <c r="V13" s="149">
        <v>-42.262063654999999</v>
      </c>
      <c r="W13" s="149">
        <f>-50177188.2091666*10^-6</f>
        <v>-50.177188209166601</v>
      </c>
      <c r="X13" s="149">
        <v>-45.720346061666596</v>
      </c>
      <c r="Y13" s="149">
        <v>-52.315892394964997</v>
      </c>
      <c r="Z13" s="149">
        <v>-43.51600000000002</v>
      </c>
      <c r="AA13" s="149">
        <f>-384.749-Z11-AA12</f>
        <v>-48.041000000000025</v>
      </c>
      <c r="AB13" s="149">
        <v>-47.234874390105823</v>
      </c>
    </row>
    <row r="14" spans="1:32" ht="15" thickBot="1">
      <c r="A14" s="173" t="s">
        <v>90</v>
      </c>
      <c r="B14" s="21">
        <v>0.374</v>
      </c>
      <c r="C14" s="17">
        <v>3.472</v>
      </c>
      <c r="D14" s="155"/>
      <c r="E14" s="155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9">
        <v>-0.3</v>
      </c>
      <c r="R14" s="149">
        <v>-0.2</v>
      </c>
      <c r="S14" s="149">
        <v>-9.6000000000000002E-2</v>
      </c>
      <c r="T14" s="149">
        <v>-1.4216885473668299E-2</v>
      </c>
      <c r="U14" s="149">
        <v>2.2216885473668346E-2</v>
      </c>
      <c r="V14" s="149">
        <v>-6.8348983216073977E-3</v>
      </c>
      <c r="W14" s="149">
        <f>363515.901185429*10^-6</f>
        <v>0.36351590118542898</v>
      </c>
      <c r="X14" s="149">
        <v>0.17122010336842999</v>
      </c>
      <c r="Y14" s="149">
        <v>-1.4585999533166598</v>
      </c>
      <c r="Z14" s="149">
        <v>0</v>
      </c>
      <c r="AA14" s="149">
        <v>0</v>
      </c>
      <c r="AB14" s="149">
        <v>0</v>
      </c>
    </row>
    <row r="15" spans="1:32" ht="15" thickBot="1">
      <c r="A15" s="173" t="s">
        <v>204</v>
      </c>
      <c r="B15" s="22">
        <v>-21.626999999999999</v>
      </c>
      <c r="C15" s="155">
        <v>-93.733000000000004</v>
      </c>
      <c r="D15" s="155"/>
      <c r="E15" s="155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</row>
    <row r="16" spans="1:32" ht="15" thickBot="1">
      <c r="A16" s="14" t="s">
        <v>92</v>
      </c>
      <c r="B16" s="20">
        <v>113.38800000000001</v>
      </c>
      <c r="C16" s="155">
        <v>106.18199999999999</v>
      </c>
      <c r="D16" s="154"/>
      <c r="E16" s="154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4">SUM(O7,O9)</f>
        <v>-49.400000000000034</v>
      </c>
      <c r="P16" s="20">
        <f t="shared" si="4"/>
        <v>-29.900000000000006</v>
      </c>
      <c r="Q16" s="151">
        <f t="shared" si="4"/>
        <v>19.799999999999955</v>
      </c>
      <c r="R16" s="151">
        <f t="shared" si="4"/>
        <v>-50.599999999999966</v>
      </c>
      <c r="S16" s="151">
        <f t="shared" si="4"/>
        <v>-62.650499999999994</v>
      </c>
      <c r="T16" s="151">
        <f t="shared" si="4"/>
        <v>-40.445483586792989</v>
      </c>
      <c r="U16" s="151">
        <f t="shared" si="4"/>
        <v>11.931880889545653</v>
      </c>
      <c r="V16" s="151">
        <f t="shared" si="4"/>
        <v>20.0516033029526</v>
      </c>
      <c r="W16" s="151">
        <f t="shared" si="4"/>
        <v>6.5526013105291838</v>
      </c>
      <c r="X16" s="151">
        <f t="shared" si="4"/>
        <v>64.921664947399194</v>
      </c>
      <c r="Y16" s="151">
        <f t="shared" si="4"/>
        <v>31.003286108831446</v>
      </c>
      <c r="Z16" s="151">
        <f t="shared" si="4"/>
        <v>31.126000000000005</v>
      </c>
      <c r="AA16" s="151">
        <f t="shared" si="4"/>
        <v>43.762724061867203</v>
      </c>
      <c r="AB16" s="151">
        <f t="shared" ref="AB16" si="5">SUM(AB7,AB9)</f>
        <v>86.260803152673958</v>
      </c>
    </row>
    <row r="17" spans="1:32" ht="15" thickBot="1">
      <c r="A17" s="17" t="s">
        <v>93</v>
      </c>
      <c r="B17" s="22">
        <v>-45.401000000000003</v>
      </c>
      <c r="C17" s="154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50">
        <v>-110.8</v>
      </c>
      <c r="R17" s="150">
        <v>-88.4</v>
      </c>
      <c r="S17" s="150">
        <v>-101.922</v>
      </c>
      <c r="T17" s="150">
        <v>-74.146268118719632</v>
      </c>
      <c r="U17" s="150">
        <v>-43.5</v>
      </c>
      <c r="V17" s="150">
        <v>-64.120319389211957</v>
      </c>
      <c r="W17" s="150">
        <v>-28.788549427487197</v>
      </c>
      <c r="X17" s="150">
        <v>-59.996734994579775</v>
      </c>
      <c r="Y17" s="150">
        <v>-65.028895447119282</v>
      </c>
      <c r="Z17" s="150">
        <v>-84.338000000000008</v>
      </c>
      <c r="AA17" s="150">
        <f>-158.985-Z17-2.89036589570037</f>
        <v>-77.537365895700376</v>
      </c>
      <c r="AB17" s="150">
        <v>-32.366771061283934</v>
      </c>
    </row>
    <row r="18" spans="1:32" s="13" customFormat="1" ht="15" thickBot="1">
      <c r="A18" s="14" t="s">
        <v>94</v>
      </c>
      <c r="B18" s="20">
        <v>67.986999999999995</v>
      </c>
      <c r="C18" s="18">
        <v>52.878</v>
      </c>
      <c r="D18" s="154"/>
      <c r="E18" s="154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6">SUM(O16:O17)</f>
        <v>-86.700000000000031</v>
      </c>
      <c r="P18" s="20">
        <f t="shared" si="6"/>
        <v>-88.9</v>
      </c>
      <c r="Q18" s="151">
        <f t="shared" si="6"/>
        <v>-91.000000000000043</v>
      </c>
      <c r="R18" s="151">
        <f t="shared" si="6"/>
        <v>-138.99999999999997</v>
      </c>
      <c r="S18" s="151">
        <f t="shared" si="6"/>
        <v>-164.57249999999999</v>
      </c>
      <c r="T18" s="151">
        <f t="shared" si="6"/>
        <v>-114.59175170551262</v>
      </c>
      <c r="U18" s="151">
        <f t="shared" si="6"/>
        <v>-31.568119110454347</v>
      </c>
      <c r="V18" s="151">
        <f t="shared" si="6"/>
        <v>-44.068716086259357</v>
      </c>
      <c r="W18" s="151">
        <f t="shared" si="6"/>
        <v>-22.235948116958014</v>
      </c>
      <c r="X18" s="151">
        <f t="shared" si="6"/>
        <v>4.9249299528194186</v>
      </c>
      <c r="Y18" s="151">
        <f t="shared" si="6"/>
        <v>-34.025609338287836</v>
      </c>
      <c r="Z18" s="151">
        <f t="shared" si="6"/>
        <v>-53.212000000000003</v>
      </c>
      <c r="AA18" s="151">
        <f t="shared" si="6"/>
        <v>-33.774641833833172</v>
      </c>
      <c r="AB18" s="151">
        <f t="shared" ref="AB18" si="7">SUM(AB16:AB17)</f>
        <v>53.894032091390024</v>
      </c>
      <c r="AC18" s="12"/>
      <c r="AD18" s="12"/>
      <c r="AE18" s="12"/>
      <c r="AF18" s="12"/>
    </row>
    <row r="19" spans="1:32" s="13" customFormat="1" ht="15" thickBot="1">
      <c r="A19" s="173" t="s">
        <v>95</v>
      </c>
      <c r="B19" s="21">
        <v>34.347000000000001</v>
      </c>
      <c r="C19" s="154">
        <v>-87.087999999999994</v>
      </c>
      <c r="D19" s="155"/>
      <c r="E19" s="155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9">
        <v>-14.2</v>
      </c>
      <c r="R19" s="149">
        <v>6</v>
      </c>
      <c r="S19" s="149">
        <v>8.1810000000000009</v>
      </c>
      <c r="T19" s="149">
        <v>3.2972884782575789</v>
      </c>
      <c r="U19" s="149">
        <v>-21.3</v>
      </c>
      <c r="V19" s="149">
        <v>-0.74145307250000037</v>
      </c>
      <c r="W19" s="149">
        <f>-6534275.29249999*10^-6</f>
        <v>-6.5342752924999896</v>
      </c>
      <c r="X19" s="149">
        <v>-3.4254493383333298</v>
      </c>
      <c r="Y19" s="149">
        <v>-12.956969280619099</v>
      </c>
      <c r="Z19" s="149">
        <v>-2.8210000000000002</v>
      </c>
      <c r="AA19" s="149">
        <f>-5.715-Z19</f>
        <v>-2.8939999999999997</v>
      </c>
      <c r="AB19" s="149">
        <v>19.568266738624384</v>
      </c>
      <c r="AC19" s="12"/>
      <c r="AD19" s="12"/>
      <c r="AE19" s="12"/>
      <c r="AF19" s="12"/>
    </row>
    <row r="20" spans="1:32" s="13" customFormat="1" ht="15" thickBot="1">
      <c r="A20" s="14" t="s">
        <v>96</v>
      </c>
      <c r="B20" s="20">
        <v>33.64</v>
      </c>
      <c r="C20" s="17">
        <v>34.483999999999995</v>
      </c>
      <c r="D20" s="154"/>
      <c r="E20" s="154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8">SUM(O18:O19)</f>
        <v>-89.500000000000028</v>
      </c>
      <c r="P20" s="20">
        <f t="shared" si="8"/>
        <v>-92.800000000000011</v>
      </c>
      <c r="Q20" s="20">
        <f t="shared" si="8"/>
        <v>-105.20000000000005</v>
      </c>
      <c r="R20" s="20">
        <f t="shared" si="8"/>
        <v>-132.99999999999997</v>
      </c>
      <c r="S20" s="20">
        <f t="shared" si="8"/>
        <v>-156.39149999999998</v>
      </c>
      <c r="T20" s="20">
        <f t="shared" si="8"/>
        <v>-111.29446322725504</v>
      </c>
      <c r="U20" s="20">
        <f t="shared" si="8"/>
        <v>-52.868119110454344</v>
      </c>
      <c r="V20" s="20">
        <f t="shared" si="8"/>
        <v>-44.810169158759358</v>
      </c>
      <c r="W20" s="20">
        <f t="shared" si="8"/>
        <v>-28.770223409458005</v>
      </c>
      <c r="X20" s="20">
        <f t="shared" si="8"/>
        <v>1.4994806144860888</v>
      </c>
      <c r="Y20" s="20">
        <f t="shared" si="8"/>
        <v>-46.982578618906935</v>
      </c>
      <c r="Z20" s="20">
        <f t="shared" si="8"/>
        <v>-56.033000000000001</v>
      </c>
      <c r="AA20" s="20">
        <f t="shared" ref="AA20:AB20" si="9">SUM(AA18:AA19)</f>
        <v>-36.668641833833171</v>
      </c>
      <c r="AB20" s="20">
        <f t="shared" si="9"/>
        <v>73.462298830014404</v>
      </c>
      <c r="AC20" s="12"/>
      <c r="AD20" s="12"/>
      <c r="AE20" s="12"/>
      <c r="AF20" s="12"/>
    </row>
    <row r="21" spans="1:32" s="13" customFormat="1" ht="15" thickBot="1">
      <c r="A21" s="19" t="s">
        <v>97</v>
      </c>
      <c r="B21" s="23">
        <v>34.268000000000001</v>
      </c>
      <c r="C21" s="154">
        <v>34.691999999999993</v>
      </c>
      <c r="D21" s="156"/>
      <c r="E21" s="156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10">O20</f>
        <v>-89.500000000000028</v>
      </c>
      <c r="P21" s="23">
        <f t="shared" si="10"/>
        <v>-92.800000000000011</v>
      </c>
      <c r="Q21" s="150">
        <f t="shared" si="10"/>
        <v>-105.20000000000005</v>
      </c>
      <c r="R21" s="150">
        <f t="shared" si="10"/>
        <v>-132.99999999999997</v>
      </c>
      <c r="S21" s="150">
        <f t="shared" si="10"/>
        <v>-156.39149999999998</v>
      </c>
      <c r="T21" s="150">
        <f t="shared" si="10"/>
        <v>-111.29446322725504</v>
      </c>
      <c r="U21" s="150">
        <f t="shared" si="10"/>
        <v>-52.868119110454344</v>
      </c>
      <c r="V21" s="150">
        <f t="shared" si="10"/>
        <v>-44.810169158759358</v>
      </c>
      <c r="W21" s="150">
        <f t="shared" si="10"/>
        <v>-28.770223409458005</v>
      </c>
      <c r="X21" s="150">
        <f t="shared" si="10"/>
        <v>1.4994806144860888</v>
      </c>
      <c r="Y21" s="150">
        <f t="shared" si="10"/>
        <v>-46.982578618906935</v>
      </c>
      <c r="Z21" s="150">
        <f t="shared" ref="Z21" si="11">Z20</f>
        <v>-56.033000000000001</v>
      </c>
      <c r="AA21" s="150">
        <f t="shared" ref="AA21:AB21" si="12">AA20</f>
        <v>-36.668641833833171</v>
      </c>
      <c r="AB21" s="150">
        <f t="shared" si="12"/>
        <v>73.462298830014404</v>
      </c>
      <c r="AC21" s="12"/>
      <c r="AD21" s="12"/>
      <c r="AE21" s="12"/>
      <c r="AF21" s="12"/>
    </row>
    <row r="22" spans="1:32">
      <c r="A22" s="19" t="s">
        <v>98</v>
      </c>
      <c r="B22" s="24">
        <v>-0.52800000000000002</v>
      </c>
      <c r="C22" s="156">
        <v>-0.30799999999999994</v>
      </c>
      <c r="D22" s="156"/>
      <c r="E22" s="156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  <c r="AB22" s="153">
        <v>0</v>
      </c>
    </row>
    <row r="23" spans="1:32">
      <c r="C23" s="156"/>
      <c r="F23"/>
      <c r="G23"/>
      <c r="H23"/>
      <c r="I23"/>
      <c r="J23"/>
      <c r="K23"/>
      <c r="N23"/>
      <c r="O23"/>
      <c r="Q23" s="145"/>
      <c r="R23" s="145"/>
      <c r="S23" s="145"/>
      <c r="T23" s="145"/>
      <c r="V23" s="145"/>
      <c r="W23" s="145"/>
      <c r="X23" s="145"/>
      <c r="Y23" s="145"/>
      <c r="Z23" s="145"/>
      <c r="AA23" s="145"/>
      <c r="AB23" s="145"/>
    </row>
    <row r="24" spans="1:32">
      <c r="F24"/>
      <c r="G24"/>
      <c r="H24"/>
      <c r="I24"/>
      <c r="J24"/>
      <c r="K24"/>
      <c r="N24"/>
      <c r="O24"/>
      <c r="Q24" s="145"/>
      <c r="R24" s="145"/>
      <c r="S24" s="145"/>
      <c r="T24" s="145"/>
      <c r="V24" s="145"/>
      <c r="W24" s="145"/>
      <c r="X24" s="145"/>
      <c r="Y24" s="145"/>
      <c r="Z24" s="145"/>
      <c r="AA24" s="145"/>
      <c r="AB24" s="145"/>
    </row>
    <row r="25" spans="1:32">
      <c r="Q25" s="145"/>
      <c r="R25" s="145"/>
      <c r="S25" s="145"/>
      <c r="T25" s="145"/>
      <c r="V25" s="145"/>
      <c r="W25" s="145"/>
      <c r="X25" s="145"/>
      <c r="Y25" s="145"/>
      <c r="Z25" s="145"/>
      <c r="AA25" s="145"/>
      <c r="AB25" s="145"/>
    </row>
    <row r="26" spans="1:32">
      <c r="Q26" s="145"/>
      <c r="R26" s="145"/>
      <c r="S26" s="145"/>
      <c r="T26" s="145"/>
      <c r="V26" s="145"/>
      <c r="W26" s="145"/>
      <c r="X26" s="145"/>
      <c r="Y26" s="145"/>
      <c r="Z26" s="145"/>
      <c r="AA26" s="145"/>
      <c r="AB26" s="145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Corp_Indicators</vt:lpstr>
      <vt:lpstr>Corp_Stores</vt:lpstr>
      <vt:lpstr>Corp_SI</vt:lpstr>
      <vt:lpstr>Corp_BS</vt:lpstr>
      <vt:lpstr>Corp_CFS</vt:lpstr>
      <vt:lpstr>BR_Indicators</vt:lpstr>
      <vt:lpstr>BR_IS</vt:lpstr>
      <vt:lpstr>BR_BS</vt:lpstr>
      <vt:lpstr>AR_Indicadores</vt:lpstr>
      <vt:lpstr>AR_IS</vt:lpstr>
      <vt:lpstr>AR_BS</vt:lpstr>
      <vt:lpstr>AR_BS!Titulos_de_impressao</vt:lpstr>
      <vt:lpstr>AR_Indicadores!Titulos_de_impressao</vt:lpstr>
      <vt:lpstr>AR_IS!Titulos_de_impressao</vt:lpstr>
      <vt:lpstr>BR_BS!Titulos_de_impressao</vt:lpstr>
      <vt:lpstr>BR_Indicators!Titulos_de_impressao</vt:lpstr>
      <vt:lpstr>BR_IS!Titulos_de_impressao</vt:lpstr>
      <vt:lpstr>Corp_BS!Titulos_de_impressao</vt:lpstr>
      <vt:lpstr>Corp_CFS!Titulos_de_impressao</vt:lpstr>
      <vt:lpstr>Corp_Indicators!Titulos_de_impressao</vt:lpstr>
      <vt:lpstr>Corp_SI!Titulos_de_impressao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Ryuichi Nishimura</cp:lastModifiedBy>
  <cp:revision/>
  <dcterms:created xsi:type="dcterms:W3CDTF">2021-06-30T17:52:26Z</dcterms:created>
  <dcterms:modified xsi:type="dcterms:W3CDTF">2025-11-12T11:43:03Z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