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par.sharepoint.com/sites/DEP/Shared Documents/PROJETOS/PPP SOUZA AGUIAR/3. Modelagem/PACK TCM (Segunda Diligência)/"/>
    </mc:Choice>
  </mc:AlternateContent>
  <xr:revisionPtr revIDLastSave="0" documentId="14_{898FC855-8A4F-4229-9BC1-ED18FC0959AB}" xr6:coauthVersionLast="47" xr6:coauthVersionMax="47" xr10:uidLastSave="{00000000-0000-0000-0000-000000000000}"/>
  <bookViews>
    <workbookView xWindow="-120" yWindow="-120" windowWidth="29040" windowHeight="15840" activeTab="1" xr2:uid="{D99B23BB-6C43-49C6-AED4-DC5FCE57AEC6}"/>
  </bookViews>
  <sheets>
    <sheet name="OBRAS" sheetId="1" r:id="rId1"/>
    <sheet name="reinvestimentos" sheetId="2" r:id="rId2"/>
    <sheet name="CAPEX EQUI REVISADO" sheetId="3" r:id="rId3"/>
    <sheet name="Word" sheetId="4" r:id="rId4"/>
    <sheet name="Planilha1" sheetId="5" state="hidden" r:id="rId5"/>
    <sheet name="Planilha2" sheetId="6" state="hidden" r:id="rId6"/>
  </sheets>
  <definedNames>
    <definedName name="_xlnm._FilterDatabase" localSheetId="2" hidden="1">'CAPEX EQUI REVISADO'!$G$1:$G$261</definedName>
    <definedName name="_xlnm._FilterDatabase" localSheetId="0" hidden="1">OBRAS!$E$1:$E$60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5" i="1" l="1"/>
  <c r="AD25" i="1"/>
  <c r="AE25" i="1"/>
  <c r="AF25" i="1"/>
  <c r="AG25" i="1"/>
  <c r="AH25" i="1"/>
  <c r="AI25" i="1"/>
  <c r="AJ25" i="1"/>
  <c r="F53" i="1" l="1"/>
  <c r="D38" i="1"/>
  <c r="F38" i="1"/>
  <c r="D40" i="1"/>
  <c r="F36" i="1"/>
  <c r="D34" i="1" l="1"/>
  <c r="D48" i="1"/>
  <c r="B48" i="1"/>
  <c r="B50" i="1" s="1"/>
  <c r="F10" i="1"/>
  <c r="F12" i="1"/>
  <c r="F6" i="1"/>
  <c r="D26" i="1" l="1"/>
  <c r="D24" i="1" l="1"/>
  <c r="D50" i="1" l="1"/>
  <c r="K10" i="2"/>
  <c r="F34" i="2"/>
  <c r="D34" i="2"/>
  <c r="B6" i="2"/>
  <c r="C34" i="2" s="1"/>
  <c r="C35" i="2" s="1"/>
  <c r="AR46" i="1"/>
  <c r="AR44" i="1"/>
  <c r="AR48" i="1"/>
  <c r="G50" i="1" l="1"/>
  <c r="F28" i="1"/>
  <c r="F8" i="1"/>
  <c r="Y22" i="4"/>
  <c r="Y21" i="4"/>
  <c r="Y20" i="4"/>
  <c r="R19" i="4"/>
  <c r="Y19" i="4" s="1"/>
  <c r="D13" i="4"/>
  <c r="C13" i="4"/>
  <c r="B13" i="4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D166" i="3"/>
  <c r="F166" i="3" s="1"/>
  <c r="D165" i="3"/>
  <c r="F165" i="3" s="1"/>
  <c r="D164" i="3"/>
  <c r="F164" i="3" s="1"/>
  <c r="F163" i="3"/>
  <c r="F162" i="3"/>
  <c r="F161" i="3"/>
  <c r="F160" i="3"/>
  <c r="F159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E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D46" i="3"/>
  <c r="F46" i="3" s="1"/>
  <c r="F45" i="3"/>
  <c r="F44" i="3"/>
  <c r="F43" i="3"/>
  <c r="F42" i="3"/>
  <c r="F41" i="3"/>
  <c r="F40" i="3"/>
  <c r="F39" i="3"/>
  <c r="F38" i="3"/>
  <c r="F37" i="3"/>
  <c r="F36" i="3"/>
  <c r="D35" i="3"/>
  <c r="F35" i="3" s="1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32" i="1"/>
  <c r="F48" i="1"/>
  <c r="F46" i="1"/>
  <c r="F44" i="1"/>
  <c r="F40" i="1"/>
  <c r="F34" i="1"/>
  <c r="F20" i="1"/>
  <c r="F18" i="1"/>
  <c r="F16" i="1"/>
  <c r="F14" i="1"/>
  <c r="U17" i="1" l="1"/>
  <c r="T17" i="1"/>
  <c r="V17" i="1"/>
  <c r="V49" i="1"/>
  <c r="U49" i="1"/>
  <c r="O49" i="1"/>
  <c r="P49" i="1"/>
  <c r="AA49" i="1"/>
  <c r="Q49" i="1"/>
  <c r="Z49" i="1"/>
  <c r="R49" i="1"/>
  <c r="Y49" i="1"/>
  <c r="S49" i="1"/>
  <c r="X49" i="1"/>
  <c r="T49" i="1"/>
  <c r="W49" i="1"/>
  <c r="AN45" i="1"/>
  <c r="AM45" i="1"/>
  <c r="AO47" i="1"/>
  <c r="AN47" i="1"/>
  <c r="AM47" i="1"/>
  <c r="AL47" i="1"/>
  <c r="R20" i="4"/>
  <c r="D158" i="3"/>
  <c r="F158" i="3" s="1"/>
  <c r="F239" i="3" s="1"/>
  <c r="K17" i="2"/>
  <c r="R17" i="2" s="1"/>
  <c r="Y17" i="2" s="1"/>
  <c r="K20" i="2"/>
  <c r="Y20" i="2" s="1"/>
  <c r="K21" i="2"/>
  <c r="Y21" i="2" s="1"/>
  <c r="R21" i="2"/>
  <c r="K18" i="2"/>
  <c r="R18" i="2" s="1"/>
  <c r="Y18" i="2" s="1"/>
  <c r="K19" i="2"/>
  <c r="Y19" i="2" s="1"/>
  <c r="Y9" i="2"/>
  <c r="AE9" i="2" s="1"/>
  <c r="K11" i="2"/>
  <c r="U11" i="2" s="1"/>
  <c r="AE11" i="2" s="1"/>
  <c r="U10" i="2"/>
  <c r="AE10" i="2" s="1"/>
  <c r="K8" i="2"/>
  <c r="U8" i="2" s="1"/>
  <c r="AE8" i="2" s="1"/>
  <c r="K5" i="2"/>
  <c r="U5" i="2" s="1"/>
  <c r="AE5" i="2" s="1"/>
  <c r="I7" i="2"/>
  <c r="N7" i="2" s="1"/>
  <c r="S7" i="2" s="1"/>
  <c r="Y7" i="2" s="1"/>
  <c r="AD7" i="2" s="1"/>
  <c r="I9" i="2"/>
  <c r="N9" i="2" s="1"/>
  <c r="F11" i="2"/>
  <c r="P11" i="2" s="1"/>
  <c r="Z11" i="2" s="1"/>
  <c r="D12" i="2"/>
  <c r="C12" i="2"/>
  <c r="AR51" i="1"/>
  <c r="AK41" i="1"/>
  <c r="AQ37" i="1"/>
  <c r="AO13" i="1"/>
  <c r="H47" i="1"/>
  <c r="AP7" i="1"/>
  <c r="AN7" i="1"/>
  <c r="AM7" i="1"/>
  <c r="AE7" i="1"/>
  <c r="AD7" i="1"/>
  <c r="AB7" i="1"/>
  <c r="T7" i="1"/>
  <c r="S7" i="1"/>
  <c r="R7" i="1"/>
  <c r="AN52" i="1"/>
  <c r="I9" i="1"/>
  <c r="AF49" i="1"/>
  <c r="AK37" i="1"/>
  <c r="AK35" i="1"/>
  <c r="AE33" i="1"/>
  <c r="AD21" i="1"/>
  <c r="Z19" i="1"/>
  <c r="AO7" i="1"/>
  <c r="AK39" i="1"/>
  <c r="AI29" i="1"/>
  <c r="O13" i="1"/>
  <c r="AM41" i="1"/>
  <c r="R19" i="2" l="1"/>
  <c r="F42" i="1"/>
  <c r="AL43" i="1" s="1"/>
  <c r="F22" i="1"/>
  <c r="AC23" i="1" s="1"/>
  <c r="F26" i="1"/>
  <c r="AI27" i="1" s="1"/>
  <c r="F30" i="1"/>
  <c r="AI31" i="1" s="1"/>
  <c r="F24" i="1"/>
  <c r="R20" i="2"/>
  <c r="AQ9" i="1"/>
  <c r="V7" i="1"/>
  <c r="AF7" i="1"/>
  <c r="AQ7" i="1"/>
  <c r="AI9" i="1"/>
  <c r="X19" i="1"/>
  <c r="AG29" i="1"/>
  <c r="L7" i="1"/>
  <c r="W7" i="1"/>
  <c r="AH7" i="1"/>
  <c r="H21" i="1"/>
  <c r="AD9" i="1"/>
  <c r="AC21" i="1"/>
  <c r="Z33" i="1"/>
  <c r="AD49" i="1"/>
  <c r="N7" i="1"/>
  <c r="X7" i="1"/>
  <c r="AI7" i="1"/>
  <c r="AA9" i="1"/>
  <c r="AC33" i="1"/>
  <c r="AL49" i="1"/>
  <c r="N9" i="1"/>
  <c r="AL9" i="1"/>
  <c r="O7" i="1"/>
  <c r="Z7" i="1"/>
  <c r="AJ7" i="1"/>
  <c r="H33" i="1"/>
  <c r="V9" i="1"/>
  <c r="AH33" i="1"/>
  <c r="K9" i="1"/>
  <c r="P7" i="1"/>
  <c r="AA7" i="1"/>
  <c r="AL7" i="1"/>
  <c r="H37" i="1"/>
  <c r="S9" i="1"/>
  <c r="AI37" i="1"/>
  <c r="AL52" i="1"/>
  <c r="Y13" i="1"/>
  <c r="H9" i="1"/>
  <c r="H41" i="1"/>
  <c r="AO9" i="1"/>
  <c r="Y9" i="1"/>
  <c r="Q9" i="1"/>
  <c r="W13" i="1"/>
  <c r="M7" i="1"/>
  <c r="U7" i="1"/>
  <c r="AC7" i="1"/>
  <c r="AK7" i="1"/>
  <c r="AN9" i="1"/>
  <c r="AF9" i="1"/>
  <c r="X9" i="1"/>
  <c r="P9" i="1"/>
  <c r="AL13" i="1"/>
  <c r="AD13" i="1"/>
  <c r="V13" i="1"/>
  <c r="N13" i="1"/>
  <c r="AA19" i="1"/>
  <c r="AJ29" i="1"/>
  <c r="AF33" i="1"/>
  <c r="AL35" i="1"/>
  <c r="AL37" i="1"/>
  <c r="AL39" i="1"/>
  <c r="AN41" i="1"/>
  <c r="AG49" i="1"/>
  <c r="AO52" i="1"/>
  <c r="AG13" i="1"/>
  <c r="I13" i="1"/>
  <c r="AI35" i="1"/>
  <c r="H13" i="1"/>
  <c r="H29" i="1"/>
  <c r="H45" i="1"/>
  <c r="AM9" i="1"/>
  <c r="AE9" i="1"/>
  <c r="W9" i="1"/>
  <c r="O9" i="1"/>
  <c r="AK13" i="1"/>
  <c r="AC13" i="1"/>
  <c r="U13" i="1"/>
  <c r="M13" i="1"/>
  <c r="T19" i="1"/>
  <c r="AB19" i="1"/>
  <c r="AH27" i="1"/>
  <c r="AK29" i="1"/>
  <c r="Y33" i="1"/>
  <c r="AG33" i="1"/>
  <c r="AM35" i="1"/>
  <c r="AM37" i="1"/>
  <c r="AM39" i="1"/>
  <c r="AO41" i="1"/>
  <c r="AH49" i="1"/>
  <c r="AH52" i="1"/>
  <c r="AP52" i="1"/>
  <c r="T13" i="1"/>
  <c r="AC19" i="1"/>
  <c r="AN37" i="1"/>
  <c r="AN39" i="1"/>
  <c r="AP41" i="1"/>
  <c r="AI49" i="1"/>
  <c r="AI52" i="1"/>
  <c r="AQ52" i="1"/>
  <c r="AJ13" i="1"/>
  <c r="H17" i="1"/>
  <c r="H49" i="1"/>
  <c r="U9" i="1"/>
  <c r="AQ13" i="1"/>
  <c r="AI13" i="1"/>
  <c r="AA13" i="1"/>
  <c r="S13" i="1"/>
  <c r="K13" i="1"/>
  <c r="V19" i="1"/>
  <c r="AD19" i="1"/>
  <c r="AA23" i="1"/>
  <c r="AA33" i="1"/>
  <c r="AI33" i="1"/>
  <c r="AO35" i="1"/>
  <c r="AO37" i="1"/>
  <c r="AO39" i="1"/>
  <c r="AJ43" i="1"/>
  <c r="AB49" i="1"/>
  <c r="AJ49" i="1"/>
  <c r="AJ52" i="1"/>
  <c r="AB13" i="1"/>
  <c r="L13" i="1"/>
  <c r="U19" i="1"/>
  <c r="AN35" i="1"/>
  <c r="AK9" i="1"/>
  <c r="AC9" i="1"/>
  <c r="M9" i="1"/>
  <c r="Q7" i="1"/>
  <c r="Y7" i="1"/>
  <c r="AG7" i="1"/>
  <c r="H19" i="1"/>
  <c r="H35" i="1"/>
  <c r="H52" i="1"/>
  <c r="AJ9" i="1"/>
  <c r="AB9" i="1"/>
  <c r="T9" i="1"/>
  <c r="L9" i="1"/>
  <c r="AP13" i="1"/>
  <c r="AH13" i="1"/>
  <c r="Z13" i="1"/>
  <c r="R13" i="1"/>
  <c r="J13" i="1"/>
  <c r="W19" i="1"/>
  <c r="AB21" i="1"/>
  <c r="AB33" i="1"/>
  <c r="AJ33" i="1"/>
  <c r="AP35" i="1"/>
  <c r="AP37" i="1"/>
  <c r="AJ41" i="1"/>
  <c r="AC49" i="1"/>
  <c r="AK49" i="1"/>
  <c r="AK52" i="1"/>
  <c r="Q13" i="1"/>
  <c r="H23" i="1"/>
  <c r="H39" i="1"/>
  <c r="AP9" i="1"/>
  <c r="AH9" i="1"/>
  <c r="Z9" i="1"/>
  <c r="R9" i="1"/>
  <c r="J9" i="1"/>
  <c r="AN13" i="1"/>
  <c r="AF13" i="1"/>
  <c r="X13" i="1"/>
  <c r="P13" i="1"/>
  <c r="Y19" i="1"/>
  <c r="AH29" i="1"/>
  <c r="AD33" i="1"/>
  <c r="AJ35" i="1"/>
  <c r="AJ37" i="1"/>
  <c r="AJ39" i="1"/>
  <c r="AL41" i="1"/>
  <c r="AE49" i="1"/>
  <c r="AM49" i="1"/>
  <c r="AM52" i="1"/>
  <c r="AR47" i="1"/>
  <c r="AS47" i="1" s="1"/>
  <c r="AG9" i="1"/>
  <c r="AM13" i="1"/>
  <c r="AE13" i="1"/>
  <c r="AJ23" i="1" l="1"/>
  <c r="AD23" i="1"/>
  <c r="AR21" i="1"/>
  <c r="AS21" i="1" s="1"/>
  <c r="W23" i="1"/>
  <c r="AJ27" i="1"/>
  <c r="AI23" i="1"/>
  <c r="AM43" i="1"/>
  <c r="AK43" i="1"/>
  <c r="AO43" i="1"/>
  <c r="AP43" i="1"/>
  <c r="H43" i="1"/>
  <c r="AK27" i="1"/>
  <c r="X23" i="1"/>
  <c r="Y23" i="1"/>
  <c r="AB23" i="1"/>
  <c r="AM25" i="1"/>
  <c r="AL25" i="1"/>
  <c r="AD31" i="1"/>
  <c r="AH31" i="1"/>
  <c r="AE31" i="1"/>
  <c r="AF31" i="1"/>
  <c r="H31" i="1"/>
  <c r="AJ31" i="1"/>
  <c r="AG31" i="1"/>
  <c r="F50" i="1"/>
  <c r="H27" i="1"/>
  <c r="AG27" i="1"/>
  <c r="Z23" i="1"/>
  <c r="AR45" i="1"/>
  <c r="AS45" i="1" s="1"/>
  <c r="H25" i="1"/>
  <c r="AN25" i="1"/>
  <c r="AR49" i="1"/>
  <c r="AS49" i="1" s="1"/>
  <c r="AN43" i="1"/>
  <c r="AR9" i="1"/>
  <c r="AS9" i="1" s="1"/>
  <c r="AR7" i="1"/>
  <c r="AS7" i="1" s="1"/>
  <c r="AR17" i="1"/>
  <c r="AS17" i="1" s="1"/>
  <c r="AR37" i="1"/>
  <c r="AS37" i="1" s="1"/>
  <c r="AR52" i="1"/>
  <c r="AS52" i="1" s="1"/>
  <c r="AR29" i="1"/>
  <c r="AS29" i="1" s="1"/>
  <c r="AB11" i="1"/>
  <c r="M11" i="1"/>
  <c r="U11" i="1"/>
  <c r="U53" i="1" s="1"/>
  <c r="AC11" i="1"/>
  <c r="AC53" i="1" s="1"/>
  <c r="AK11" i="1"/>
  <c r="AL11" i="1"/>
  <c r="O11" i="1"/>
  <c r="W11" i="1"/>
  <c r="AE11" i="1"/>
  <c r="AM11" i="1"/>
  <c r="P11" i="1"/>
  <c r="AN11" i="1"/>
  <c r="I11" i="1"/>
  <c r="Y11" i="1"/>
  <c r="AO11" i="1"/>
  <c r="X11" i="1"/>
  <c r="AF11" i="1"/>
  <c r="AG11" i="1"/>
  <c r="Q11" i="1"/>
  <c r="Q53" i="1" s="1"/>
  <c r="J11" i="1"/>
  <c r="R11" i="1"/>
  <c r="R53" i="1" s="1"/>
  <c r="Z11" i="1"/>
  <c r="AH11" i="1"/>
  <c r="AP11" i="1"/>
  <c r="V11" i="1"/>
  <c r="V53" i="1" s="1"/>
  <c r="K11" i="1"/>
  <c r="S11" i="1"/>
  <c r="S53" i="1" s="1"/>
  <c r="AA11" i="1"/>
  <c r="AA53" i="1" s="1"/>
  <c r="AI11" i="1"/>
  <c r="AQ11" i="1"/>
  <c r="AQ53" i="1" s="1"/>
  <c r="H11" i="1"/>
  <c r="L11" i="1"/>
  <c r="T11" i="1"/>
  <c r="T53" i="1" s="1"/>
  <c r="AJ11" i="1"/>
  <c r="N11" i="1"/>
  <c r="AD11" i="1"/>
  <c r="AR39" i="1"/>
  <c r="AS39" i="1" s="1"/>
  <c r="AR13" i="1"/>
  <c r="AS13" i="1" s="1"/>
  <c r="AR19" i="1"/>
  <c r="AS19" i="1" s="1"/>
  <c r="AR41" i="1"/>
  <c r="AS41" i="1" s="1"/>
  <c r="AR33" i="1"/>
  <c r="AS33" i="1" s="1"/>
  <c r="AR35" i="1"/>
  <c r="AS35" i="1" s="1"/>
  <c r="O15" i="1"/>
  <c r="P15" i="1"/>
  <c r="J15" i="1"/>
  <c r="I15" i="1"/>
  <c r="K15" i="1"/>
  <c r="L15" i="1"/>
  <c r="H15" i="1"/>
  <c r="M15" i="1"/>
  <c r="N15" i="1"/>
  <c r="AR27" i="1" l="1"/>
  <c r="AS27" i="1" s="1"/>
  <c r="AM53" i="1"/>
  <c r="AB53" i="1"/>
  <c r="W53" i="1"/>
  <c r="AR43" i="1"/>
  <c r="AS43" i="1" s="1"/>
  <c r="AP53" i="1"/>
  <c r="AO53" i="1"/>
  <c r="AJ53" i="1"/>
  <c r="AF53" i="1"/>
  <c r="AR31" i="1"/>
  <c r="AS31" i="1" s="1"/>
  <c r="Y53" i="1"/>
  <c r="AR23" i="1"/>
  <c r="AS23" i="1" s="1"/>
  <c r="X53" i="1"/>
  <c r="AG53" i="1"/>
  <c r="Z53" i="1"/>
  <c r="AL53" i="1"/>
  <c r="AR25" i="1"/>
  <c r="AS25" i="1" s="1"/>
  <c r="AI53" i="1"/>
  <c r="AK53" i="1"/>
  <c r="AN53" i="1"/>
  <c r="AH53" i="1"/>
  <c r="AD53" i="1"/>
  <c r="AE53" i="1"/>
  <c r="L53" i="1"/>
  <c r="M53" i="1"/>
  <c r="P53" i="1"/>
  <c r="J53" i="1"/>
  <c r="H53" i="1"/>
  <c r="N53" i="1"/>
  <c r="O53" i="1"/>
  <c r="AR15" i="1"/>
  <c r="AS15" i="1" s="1"/>
  <c r="AR11" i="1"/>
  <c r="AS11" i="1" s="1"/>
  <c r="I53" i="1"/>
  <c r="I54" i="1" s="1"/>
  <c r="K53" i="1"/>
  <c r="AR42" i="1"/>
  <c r="AR40" i="1"/>
  <c r="AR38" i="1"/>
  <c r="AR36" i="1"/>
  <c r="AR34" i="1"/>
  <c r="AR32" i="1"/>
  <c r="AR30" i="1"/>
  <c r="AR28" i="1"/>
  <c r="AR26" i="1"/>
  <c r="AR24" i="1"/>
  <c r="AR22" i="1"/>
  <c r="AR20" i="1"/>
  <c r="AR18" i="1"/>
  <c r="AR16" i="1"/>
  <c r="AR14" i="1"/>
  <c r="AR12" i="1"/>
  <c r="AR10" i="1"/>
  <c r="AR8" i="1"/>
  <c r="AR6" i="1"/>
  <c r="AR4" i="1"/>
  <c r="AR3" i="1"/>
  <c r="J54" i="1" l="1"/>
  <c r="K54" i="1" s="1"/>
  <c r="L54" i="1" s="1"/>
  <c r="M54" i="1" s="1"/>
  <c r="N54" i="1" s="1"/>
  <c r="O54" i="1" s="1"/>
  <c r="P54" i="1" s="1"/>
  <c r="Q54" i="1" s="1"/>
  <c r="R54" i="1" s="1"/>
  <c r="S54" i="1" s="1"/>
  <c r="T54" i="1" s="1"/>
  <c r="U54" i="1" s="1"/>
  <c r="V54" i="1" s="1"/>
  <c r="W54" i="1" s="1"/>
  <c r="X54" i="1" s="1"/>
  <c r="Y54" i="1" s="1"/>
  <c r="Z54" i="1" s="1"/>
  <c r="AA54" i="1" s="1"/>
  <c r="AB54" i="1" s="1"/>
  <c r="AC54" i="1" s="1"/>
  <c r="AD54" i="1" s="1"/>
  <c r="AE54" i="1" s="1"/>
  <c r="AF54" i="1" s="1"/>
  <c r="AG54" i="1" s="1"/>
  <c r="AH54" i="1" s="1"/>
  <c r="AI54" i="1" s="1"/>
  <c r="AJ54" i="1" s="1"/>
  <c r="AK54" i="1" s="1"/>
  <c r="AL54" i="1" s="1"/>
  <c r="AM54" i="1" s="1"/>
  <c r="AN54" i="1" s="1"/>
  <c r="AO54" i="1" s="1"/>
  <c r="AP54" i="1" s="1"/>
  <c r="AQ54" i="1" s="1"/>
  <c r="I6" i="2" l="1"/>
  <c r="N6" i="2" s="1"/>
  <c r="S6" i="2" s="1"/>
  <c r="Y6" i="2" s="1"/>
  <c r="AD6" i="2" s="1"/>
  <c r="B12" i="2"/>
</calcChain>
</file>

<file path=xl/sharedStrings.xml><?xml version="1.0" encoding="utf-8"?>
<sst xmlns="http://schemas.openxmlformats.org/spreadsheetml/2006/main" count="891" uniqueCount="298">
  <si>
    <t>ITENS</t>
  </si>
  <si>
    <t>FASE 1</t>
  </si>
  <si>
    <t>FASE 2</t>
  </si>
  <si>
    <t>FASE 3</t>
  </si>
  <si>
    <t>REFORMA MATERNIDADE</t>
  </si>
  <si>
    <t>1o.  ano</t>
  </si>
  <si>
    <t>2o.  ano</t>
  </si>
  <si>
    <t>3o.  ano</t>
  </si>
  <si>
    <t>FASE</t>
  </si>
  <si>
    <t>DEMOLIÇÃO CER / CONSTRUÇÃO BLOCO GARAGEM</t>
  </si>
  <si>
    <t xml:space="preserve">                                                                                período de aquisição e fabricação dos elevadores a serem substituídos </t>
  </si>
  <si>
    <t>CONSTRUÇÃO CABINE ELÉTRICA 2 / GRUPO-GERADOR NOVO</t>
  </si>
  <si>
    <t>REFORMA CABINE ELÉTRICA 1 / GRUPO GERADOR NOVO</t>
  </si>
  <si>
    <t>CONSTRUÇÃO ABRIGO DE RESÍDUOS - bloco externo</t>
  </si>
  <si>
    <t>CONSTRUÇÃO AMBULATÓRIO-RESIDENTES - bloco externo</t>
  </si>
  <si>
    <t>REFORMA SUBSOLO Geral</t>
  </si>
  <si>
    <t>ETAPAS</t>
  </si>
  <si>
    <t>TOTAL</t>
  </si>
  <si>
    <t xml:space="preserve">CHMSA - CRONOGRAMA  DE REINVESTIMENTOS </t>
  </si>
  <si>
    <t>EQUIPAMENTOS</t>
  </si>
  <si>
    <t>ANOS</t>
  </si>
  <si>
    <t>SUBSTITUIÇÃO DOS EQUIPAMENTOS ELETROMÉDICOS ANCORADOS</t>
  </si>
  <si>
    <t>SUBSTITUIÇÃO DOS EQUIPAMENTOS CME</t>
  </si>
  <si>
    <t>SUBSTITUIÇÃO EQUIPAMENTOS DE TI</t>
  </si>
  <si>
    <t>SUBSTITUIÇÃO DE ELETRODOMÉSTICOS E TELEVISORES</t>
  </si>
  <si>
    <t>SUBSTITUIÇÃO DE MOBILIÁRIO CORPORATIVO</t>
  </si>
  <si>
    <t>SUBSTITUIÇÃO DOS EQUIPAMENTOS SND</t>
  </si>
  <si>
    <t xml:space="preserve">       36 meses </t>
  </si>
  <si>
    <t xml:space="preserve">                                                      REINVESTIMENTOS</t>
  </si>
  <si>
    <t>OBRAS - REFORMAS E EQUIPAMENTOS VINCULADOS AO EDIFÍCIO*</t>
  </si>
  <si>
    <t>PORCENTAGEM DE REINVESTIMENTOS SOBRE O TOTAL DA CONSTRUÇÃO  - ANOS</t>
  </si>
  <si>
    <t>CER</t>
  </si>
  <si>
    <t>HOSPITAL MATERNIDADE M. AMÉLIA BUARQUE DE HOLANDA</t>
  </si>
  <si>
    <t>AMBULATÓRIO/RESIDENCIAS</t>
  </si>
  <si>
    <t>PRÉDIO DA GARAGEM</t>
  </si>
  <si>
    <t xml:space="preserve">* TRATAM-SE DE REFORMAS ESTRUTURAIS PARA  NOVAS TECNOLOGIAS - P. EX.  EQUIPAMENTOS DE AR CONDICIONADO </t>
  </si>
  <si>
    <t xml:space="preserve">OU  ADEQUAÇÕES FÍSICAS NECESSÁRIAS PARA INSTALAÇÃO DE NOVAS TECNOLOGIAS MÉDICAS. </t>
  </si>
  <si>
    <t>MANUTENÇÃO PREDIAL SEGUE TRATADA NO OPEX : PINTURA / INSTALAÇÕES HIDRÁULICAS/ INSTALAÇÕES ELÉTRICAS/ AR CONDICIONADO/ ELEVADORES</t>
  </si>
  <si>
    <t xml:space="preserve">                                           ANEXO 1 - CRONOGRAMA DE EXECUÇÃO DAS OBRAS DO CHMSA</t>
  </si>
  <si>
    <t xml:space="preserve">SUBSTITUIÇÃO DOS EQUIPAMENTOS ELETROMÉDICOS </t>
  </si>
  <si>
    <t>SUBSTITUIÇÃO DE MOBILIÁRIO HOSPITALAR</t>
  </si>
  <si>
    <t xml:space="preserve">  FASE 1/FASE 2/FASE3  -  CRONOGRAMA NA ABA OBRAS</t>
  </si>
  <si>
    <t xml:space="preserve">HOSPITAL  MUNICIPAL SOUZA AGUIAR e anexos </t>
  </si>
  <si>
    <t>UNIDADE</t>
  </si>
  <si>
    <t>CODIGO SIGEM</t>
  </si>
  <si>
    <t>QUANTIDADE</t>
  </si>
  <si>
    <t>PREÇO UNITÁRIO</t>
  </si>
  <si>
    <t>HMSA</t>
  </si>
  <si>
    <t>Agitador de Plaquetas</t>
  </si>
  <si>
    <t>HMABH</t>
  </si>
  <si>
    <t>Amnioscópio</t>
  </si>
  <si>
    <t>Analisador de Composição Corporal</t>
  </si>
  <si>
    <t>Analisador de Gases Respiratórios/Hemogasômetro</t>
  </si>
  <si>
    <t>Aparelho de Anestesia com Monitor Multiparâmetros</t>
  </si>
  <si>
    <t>Aparelho de Anestesia para Ressonância Magnética</t>
  </si>
  <si>
    <t>Aparelho de Raios X - Fixo Digital</t>
  </si>
  <si>
    <t>CER CENTRO</t>
  </si>
  <si>
    <t>Aparelho de Raios X - Móvel</t>
  </si>
  <si>
    <t>Aparelho para Fototerapia (icterícia/neonatologia)</t>
  </si>
  <si>
    <t>Arco Cirúrgico</t>
  </si>
  <si>
    <t>ARCO CIRÚRGICO - COM SUBTRAÇÃO DE IMAGEM E ROADMAP</t>
  </si>
  <si>
    <t>cotação 001</t>
  </si>
  <si>
    <t>CHMSA</t>
  </si>
  <si>
    <t>Armário</t>
  </si>
  <si>
    <t>Armários de Aço de 2 corpos - vestiário</t>
  </si>
  <si>
    <t>cotação 002</t>
  </si>
  <si>
    <t>Armários de Aço de 4 corpos- vestiário</t>
  </si>
  <si>
    <t>Aspirador de Secreções Elétrico Móvel</t>
  </si>
  <si>
    <t>Aspirador Ultrassônico/ Bisturi Ultrassônico</t>
  </si>
  <si>
    <t>Autoclave Horizontal de Mesa (até 75 litros)</t>
  </si>
  <si>
    <t>Autoclave Hospitalar Horizontal (de 500 litros)</t>
  </si>
  <si>
    <t>Autoclave Vertical</t>
  </si>
  <si>
    <t>Balança Analítica de Precisão</t>
  </si>
  <si>
    <t>Balança Antropométrica Adulto</t>
  </si>
  <si>
    <t>Balança Antropométrica Infantil</t>
  </si>
  <si>
    <t>BALANÇA ELETRÔNICA PARA CADEIRANTE</t>
  </si>
  <si>
    <t>cotação 003</t>
  </si>
  <si>
    <t>Bancos para Vestiários</t>
  </si>
  <si>
    <t>Banho-Maria</t>
  </si>
  <si>
    <t>Banho-Maria para Lactário</t>
  </si>
  <si>
    <t>Banqueta</t>
  </si>
  <si>
    <t>Banqueta para Parto Vertical</t>
  </si>
  <si>
    <t>Berço Aquecido</t>
  </si>
  <si>
    <t>Berço para Recém Nascido</t>
  </si>
  <si>
    <t>Bilirrubinômetro</t>
  </si>
  <si>
    <t>Biombo</t>
  </si>
  <si>
    <t>BIPAP</t>
  </si>
  <si>
    <t>Bisturi Elétrico (até 150 W)</t>
  </si>
  <si>
    <t xml:space="preserve">BOLA DE BOBATH </t>
  </si>
  <si>
    <t>cotação 004</t>
  </si>
  <si>
    <t>Cadeira de Banho/ Higiênica</t>
  </si>
  <si>
    <t>CER  + HMSA</t>
  </si>
  <si>
    <t>Cadeira de Rodas Adulto</t>
  </si>
  <si>
    <t>Cadeira de Rodas para Obeso</t>
  </si>
  <si>
    <t>Cadeira de Rodas Pediátrica</t>
  </si>
  <si>
    <t>Cadeira Odontológica Completa (equipo/ sugador/ refletor)</t>
  </si>
  <si>
    <t>Cadeira Oftalmológica com coluna</t>
  </si>
  <si>
    <t>Cadeira Otorrinológica</t>
  </si>
  <si>
    <t>Cadeira para Coleta de Sangue</t>
  </si>
  <si>
    <t>CAMA HOSPITALAR INFANTIL, COM GRADE, MANUAL</t>
  </si>
  <si>
    <t>cotação 007</t>
  </si>
  <si>
    <t>Cama Hospitalar Tipo Fawler Elétrica</t>
  </si>
  <si>
    <t>CAMA MACA-LEITO ELÉTRICA COM BALANÇA</t>
  </si>
  <si>
    <t>cotação 006</t>
  </si>
  <si>
    <t>Cama PPP</t>
  </si>
  <si>
    <t>Câmara de Conservação para Transporte de Bolsas de Sangue</t>
  </si>
  <si>
    <t>CÂMARA DE CONSERVAÇÃO REAGENTE</t>
  </si>
  <si>
    <t>cotação 008</t>
  </si>
  <si>
    <t>Câmara para Conservação de Hemoderivados/ Imuno/ Termolábeis</t>
  </si>
  <si>
    <t>Camas individuais e/ou tipo Beliches em madeira laqueada branco</t>
  </si>
  <si>
    <t>Capela de Fluxo Laminar</t>
  </si>
  <si>
    <t>Cardiotocógrafo</t>
  </si>
  <si>
    <t xml:space="preserve">Cardioversor para unidade móvel </t>
  </si>
  <si>
    <t>Carro de Curativos</t>
  </si>
  <si>
    <t>Carro de Emergência</t>
  </si>
  <si>
    <t xml:space="preserve">HMSA </t>
  </si>
  <si>
    <t>Carro Maca Avançado</t>
  </si>
  <si>
    <t>Carro de Banho Neonatal</t>
  </si>
  <si>
    <t>cotação 009</t>
  </si>
  <si>
    <t>Central de Inclusão de Parafina</t>
  </si>
  <si>
    <t>Central de Monitoração para UTI</t>
  </si>
  <si>
    <t>Centrífuga Laboratorial</t>
  </si>
  <si>
    <t>Citocentrífuga</t>
  </si>
  <si>
    <t>Colorador Automático de Lâminas</t>
  </si>
  <si>
    <t>CONJUNTO DE CÂMERA / MICROCÂMERA (ENDOCOUPLE) FULL HD COM FONTE DE LUZ LED INTEGRADA, PARA EXAMES DIAGNÓSTICOS EM OTORRINOLARINGOLOGIA</t>
  </si>
  <si>
    <t>cotação 010</t>
  </si>
  <si>
    <t>CONJUNTO DE ENDOSCÓPIOS E CABO DE FIBRA ÓTICA PARA CIRURGIAS NASOSSINUSAL E OTOLÓGICA</t>
  </si>
  <si>
    <t>cotação 011</t>
  </si>
  <si>
    <t xml:space="preserve">CONJUNTO DE INSTRUMENTAL PARA VIDEO LAPAROSCOPIA ADULTA E PEDIATRICA </t>
  </si>
  <si>
    <t>CONJUNTO PARA ENUCLEAÇÃO ENDOSCÓPICA PRA PRÓSTATA</t>
  </si>
  <si>
    <t>CONJUNTO PARA MORCELADOR TECIDUAL - COM 3 CONJUNTOS ENDOSCÓPICOS</t>
  </si>
  <si>
    <t>CONTADOR DE CÉLULAS ELETRÔNICO</t>
  </si>
  <si>
    <t>cotação 012A</t>
  </si>
  <si>
    <t>Dermátomo</t>
  </si>
  <si>
    <t>DESCONGELADOR DE PLASMA</t>
  </si>
  <si>
    <t>cotação 012</t>
  </si>
  <si>
    <t>Detector Fetal</t>
  </si>
  <si>
    <t>Eletrocardiógrafo</t>
  </si>
  <si>
    <t>Eletroencefalógrafo</t>
  </si>
  <si>
    <t>Emissões Otoacústicas</t>
  </si>
  <si>
    <t>Escada com 2 degraus</t>
  </si>
  <si>
    <t>Esfigmomanômetro de Pedestal</t>
  </si>
  <si>
    <t>Espaldar em Madeira (Barra/ Escada de Ling)</t>
  </si>
  <si>
    <t>Estadiômetro</t>
  </si>
  <si>
    <t>Esterilizadora por Plasma de Peróxido de Hidrogênio - 100 litros</t>
  </si>
  <si>
    <t>Estufa de Cultura</t>
  </si>
  <si>
    <t>Estufa de Secagem e Esterilização</t>
  </si>
  <si>
    <t>FARMÁCIA -  unitarizadora de medicamentos</t>
  </si>
  <si>
    <t>Foco Cirúrgico de Solo Móvel</t>
  </si>
  <si>
    <t>Foco Cirúrgico de Teto com Câmera de Vídeo</t>
  </si>
  <si>
    <t>Foco Refletor Ambulatorial</t>
  </si>
  <si>
    <t>Fotóforo</t>
  </si>
  <si>
    <t>FOTOTERAPIA (BILISPOT)</t>
  </si>
  <si>
    <t>cotação 013</t>
  </si>
  <si>
    <t>Freezer Comum</t>
  </si>
  <si>
    <t>Freezer Laboratorial</t>
  </si>
  <si>
    <t>Freezer para Armazenamento de Hemocomponentes</t>
  </si>
  <si>
    <t>Frigobar 96 litros  - porta de vidro - para Postos de Enfermagem</t>
  </si>
  <si>
    <t xml:space="preserve">GABINETE DE DISPENSAÇÃO DE MEDICAÇÃO INTEGRADO  </t>
  </si>
  <si>
    <t>cotação 014</t>
  </si>
  <si>
    <t>GELADEIRA COMERCIAL 4 PORTAS EM INOX</t>
  </si>
  <si>
    <t>Incubadora de Transporte Neonatal</t>
  </si>
  <si>
    <t>cotação 015</t>
  </si>
  <si>
    <t>Incubadora Neonatal (estacionária)</t>
  </si>
  <si>
    <t>INTRUMENTAIS ENDOSCOPICOS PARA CIRURGIA UROLOGICA (CONJUNTO PARA CISTOSCOPIA RIGIDA E FLEXIVEL)</t>
  </si>
  <si>
    <t>cotação 016</t>
  </si>
  <si>
    <t>INTRUMENTAIS ENDOSCOPICOS PARA CIRURGIA UROLOGICA (CONJUNTO PARA RESSECÇÃO ENDOSCOPICA EM UROLOGIA)</t>
  </si>
  <si>
    <t>INTRUMENTAIS ENDOSCOPICOS PARA CIRURGIA UROLOGICA (URETERORENOSCOPIO DIGITAL FLEXÍVEL E ANALOGICO FLEXÍVEL)</t>
  </si>
  <si>
    <t>JARRA DE ANAEROBIOSE</t>
  </si>
  <si>
    <t>cotação 017</t>
  </si>
  <si>
    <t>Laringoscópio Adulto</t>
  </si>
  <si>
    <t>Laringoscópio Infantil</t>
  </si>
  <si>
    <t>Lavadora de Endoscópio</t>
  </si>
  <si>
    <t>Lavadora Termodesinfectora de 287 litros</t>
  </si>
  <si>
    <t>Lavadora Ultrassônica acima de 15 litros</t>
  </si>
  <si>
    <t>Litotriptor Extracorpóreo</t>
  </si>
  <si>
    <t>Litotriptor Intracorpóreo</t>
  </si>
  <si>
    <t xml:space="preserve">Máquina de Costura Industrial </t>
  </si>
  <si>
    <t>Maleta para coleta de sangue</t>
  </si>
  <si>
    <t>cotação 019</t>
  </si>
  <si>
    <t>Mesa Auxiliar</t>
  </si>
  <si>
    <t>Mesa Cirurgica Elétrica</t>
  </si>
  <si>
    <t>Mesa Cirúrgica Elétrica</t>
  </si>
  <si>
    <t>Mesa de Cabeceira com Refeição Acoplada</t>
  </si>
  <si>
    <t>Mesa de Exames</t>
  </si>
  <si>
    <t>Mesa de Mayo</t>
  </si>
  <si>
    <t xml:space="preserve">HMSA+ CER </t>
  </si>
  <si>
    <t>Microondas</t>
  </si>
  <si>
    <t>MICROSCÓPIO AMBULATORIAL PARA DIAGNÓSTICOS EM OTORRINOLARINGOLOGIA</t>
  </si>
  <si>
    <t>cotação 020</t>
  </si>
  <si>
    <t>Microscópio Cirúrgico</t>
  </si>
  <si>
    <t>Microscópio Cirúrgico Oftalmológico</t>
  </si>
  <si>
    <t>Microscópio Laboratorial</t>
  </si>
  <si>
    <t>Micrótomo</t>
  </si>
  <si>
    <t xml:space="preserve">Miudezas gerais para o funcionamento do complexo - p.ex. termometro, lanterna clínica, cestos de lixo inox </t>
  </si>
  <si>
    <t>global</t>
  </si>
  <si>
    <t xml:space="preserve">Mobiliário Corporativo  - valor global - Listagem no  Relatório de CAPEX </t>
  </si>
  <si>
    <t>cotação 021</t>
  </si>
  <si>
    <t>Monitor de Débito Contínuo (DC)</t>
  </si>
  <si>
    <t>Monitor Fetal FIXO</t>
  </si>
  <si>
    <t>cotação 022</t>
  </si>
  <si>
    <t>Monitor Multiparâmetros para UTI</t>
  </si>
  <si>
    <t>Monitores Multiparâmetros Mínimo  10” KIT ADULTO E NEONATAL</t>
  </si>
  <si>
    <t>Motor Elétrico Cirúrgico Odontológico</t>
  </si>
  <si>
    <t xml:space="preserve">NUTRIÇÃO E DIETÉTICA -  valor global - listagem no Relatório de CAPEX </t>
  </si>
  <si>
    <t>cotação 023</t>
  </si>
  <si>
    <t>Oftalmoscópio</t>
  </si>
  <si>
    <t>Otoscópio de Sistema Aberto</t>
  </si>
  <si>
    <t>Oxímetro de Pulso</t>
  </si>
  <si>
    <t>Placa Refrigerada</t>
  </si>
  <si>
    <t>Poltrona Hospitalar- INCLUSIVE OBESO</t>
  </si>
  <si>
    <t>Prateleiras de Aço - almoxarifado / arquivos mortos</t>
  </si>
  <si>
    <t>cotação 002 / 023</t>
  </si>
  <si>
    <t>Processadora de Tecidos (Histotécnico)</t>
  </si>
  <si>
    <t>Reanimador Pulmonar Manual Adulto (Ambu)</t>
  </si>
  <si>
    <t>Reanimador Pulmonar Manual Pediátrico (Ambu)</t>
  </si>
  <si>
    <t>Refrigerador 350 l</t>
  </si>
  <si>
    <t>Resfriador Rápido para Lactário</t>
  </si>
  <si>
    <t>Ressonância Nuclear Magnética 1,5 T</t>
  </si>
  <si>
    <t>Secadora de Traquéias</t>
  </si>
  <si>
    <t>Seladora</t>
  </si>
  <si>
    <t>Seladora Dielétrica para Bolsa de Sangue</t>
  </si>
  <si>
    <t>SELADORA ELETRONICA PARA PAPEL GRAU</t>
  </si>
  <si>
    <t>Serra para Gesso</t>
  </si>
  <si>
    <t>Sistema de Cirurgia Guiada por Imagem (Neuronavegador)</t>
  </si>
  <si>
    <t>Sistema de Microscopia Cirúrgica com Vídeo Angiografia</t>
  </si>
  <si>
    <t>SISTEMA DE OTOJATO</t>
  </si>
  <si>
    <t>cotação 024</t>
  </si>
  <si>
    <t>SISTEMA DE VÍDEO CIRURGIA ENDOSCÓPICA 4K COM 2 CONJUNTOS DE INTRUMENTAIS PARA NEUROCIRURGIA</t>
  </si>
  <si>
    <t>cotação 025</t>
  </si>
  <si>
    <t>Sistema de Vídeo Endoscopia Rígida</t>
  </si>
  <si>
    <t>SISTEMA DE VIDEOENDOSCOPIA DIGESTIVA FLEXÍVEL – ALTA E BAIXA - COM CROMOSCOPIA DIGITAL E COMPATIBILIDADE COM ECOENDOSCOPIA E ENTEROSCOPIA</t>
  </si>
  <si>
    <t>SISTEMA DE VIDEOENDOSCOPIA RESPIRATÓRIA BRONCOSCÓPIO FLEXÍVEL - COM CROMOSCOPIA DIGITAL</t>
  </si>
  <si>
    <t>SISTEMA DE VIDEOLAPAROSCOPIA 4K - COM CROMOSCOPIA E OU FLUORESCÊNCIA, COM INSTRUMENTAIS PARA LAPAROSCOPIA</t>
  </si>
  <si>
    <t>SISTEMA DE VIDEOLAPAROSCOPIA 4K - COM CROMOSCOPIA E OU FLUORESCENCIA, COM INSTRUMENTARIL PARA CIRURGIA ENDOSCOPICA PARA UROLOGIA</t>
  </si>
  <si>
    <t>SISTEMA DE VIDEOLAPAROSCOPIA 4K 3D- COM CROMOSCOPIOA E OU FLUORESCENCIA, COM INSTRUMENTAL PARA CIRURGIA LAPARAOSCOPICA PARA UROLOGIA</t>
  </si>
  <si>
    <t>Smart tv’s 55” para esperas e salas de reunião</t>
  </si>
  <si>
    <t>cotação 026</t>
  </si>
  <si>
    <t>SUPORTE DE CRANIO MAYFIELD</t>
  </si>
  <si>
    <t>cotação 027</t>
  </si>
  <si>
    <t>Suporte de Hamper</t>
  </si>
  <si>
    <t>CER + HMSA</t>
  </si>
  <si>
    <t>Suporte de Soro</t>
  </si>
  <si>
    <t>CER +HMSA</t>
  </si>
  <si>
    <t>Televisores 32” para enfermarias  e conforto médico</t>
  </si>
  <si>
    <t>Tomógrafo Computadorizado (32 Cortes)</t>
  </si>
  <si>
    <t>Tomógrafo Computadorizado (64 Cortes)</t>
  </si>
  <si>
    <t>Ultrassom Diagnóstico com Aplicação Transesofágica</t>
  </si>
  <si>
    <t>Ultrassom Diagnóstico sem Aplicação Transesofágica</t>
  </si>
  <si>
    <t>Ultrassonografia com Doppler  COM TRANDUTORES: TRANSVAGINAL, CONVEXO,LINEAR E CARDÍACO NEONATAL</t>
  </si>
  <si>
    <t>cotação 028</t>
  </si>
  <si>
    <t>Ultrassonografia com Doppler 4 D COM TRANDUTORES: TRANSVAGINAL, CONVEXO 4D,LINEAR E CARDÍACO NEONATAL</t>
  </si>
  <si>
    <t>Ventilador Pulmonar Pressométrico e Volumétrico</t>
  </si>
  <si>
    <t xml:space="preserve">Ventilador Pulmonar Pressométrico e Volumétrico ( inclusive de tranporte) </t>
  </si>
  <si>
    <t>Vídeo Laringoscópio</t>
  </si>
  <si>
    <t>OBRAS DE APOIO</t>
  </si>
  <si>
    <t>* VALOR ATUALIZADO JAN 2023</t>
  </si>
  <si>
    <t>VALOR / M²</t>
  </si>
  <si>
    <t>DATA-BASE FEV 22</t>
  </si>
  <si>
    <t>ATUALIZADO JAN 23</t>
  </si>
  <si>
    <t>AREA DE AMPLIAÇÃO</t>
  </si>
  <si>
    <t>ÁREA DE REFORMA</t>
  </si>
  <si>
    <t>VALOR  R$</t>
  </si>
  <si>
    <t>equip médico</t>
  </si>
  <si>
    <t>equip médico ancorado</t>
  </si>
  <si>
    <t xml:space="preserve">equip médico </t>
  </si>
  <si>
    <t>mobiliário hospitalar</t>
  </si>
  <si>
    <t>mobiliário corporativo</t>
  </si>
  <si>
    <t>equip medico</t>
  </si>
  <si>
    <t>esterilização</t>
  </si>
  <si>
    <t>mobiliario hospitalar</t>
  </si>
  <si>
    <t>mobiliario corporativo</t>
  </si>
  <si>
    <t>eletrodomestico</t>
  </si>
  <si>
    <t>nutrição e dietetica</t>
  </si>
  <si>
    <t>Total CAPEX 36 meses = R$ 115.155.117,01</t>
  </si>
  <si>
    <t>TIPOLOGIA</t>
  </si>
  <si>
    <t>CONSTR.e REF.para implantação do CER  - 1o. Pav. / SUBSOLO , INCLUSIVE ACESSO</t>
  </si>
  <si>
    <t>AREA</t>
  </si>
  <si>
    <t>TOTAL INVESTIMENTO</t>
  </si>
  <si>
    <t xml:space="preserve">AMPLIAÇÃO HSA TORRE HOSPITAL - 1o. ao 4o. Pav. </t>
  </si>
  <si>
    <t>SND (  1.118,09)+  CANTINA (147,24)  + DECK ( 156,91) + HALL PRINCIPAL (908,03) + CASA DE MÁQUINAS ( 251,48) + ELEVADORES E ESCADAS (190, 97) + CIRCULAÇÃO EM  CINZA , SHAFTS E JARDIM INTERNO (190,77 ) - 1o.  Pavimento HSA</t>
  </si>
  <si>
    <t xml:space="preserve">REFORMA CENTRAL DE MATERIAIS (334,18)  + CIRCULAÇÃO PARCIAL ( 41,84) - 3o. Pav. </t>
  </si>
  <si>
    <t xml:space="preserve">REFORMA UTI 4 - PEDIÁTRICA (360,15) / plantonistas (143,99) / urologia -com procedimento (96,90) / escadas e elevadores ( 190,97) , circulações (148,03)   - 3o. Pav. </t>
  </si>
  <si>
    <t xml:space="preserve">REFORMA NECROTÉRIO - Bloco Externo - 1º Pav. Bloco Externo </t>
  </si>
  <si>
    <t>REFORMA UTI Adulto - 1 e 2 (543,66) e UTI 3 (218,50) + PLANTONISTAS (166,86) + CIRCULAÇÃO  ( 66,71) / CONFORTO ( 245,72)  / HOSPITAL-DIA (268,51)/ HVAC (60,86)   2o. Pav.  / REFORMA 3º PAVIMENTO INTERNAÇÃO  (1.249,30)</t>
  </si>
  <si>
    <t xml:space="preserve">SADT ( 1.120,60 ) + circulações e shafts (257,95) + elevadores e escada ( 190,97)   - 2o. Pav. +  REFORMA CENTRO REGULADOR - 2o. Pav  Bloco Externo( 1.221,25 ) </t>
  </si>
  <si>
    <t>REFORMA CENTRO CIRÚRGICO ( 1.073,38) - 3o. Pav. + Reforma Parcial do 8º Pav. (430,68)</t>
  </si>
  <si>
    <t xml:space="preserve">REFORMA CENTRO REGULADOR  - 1o. Pav  Bloco Externo </t>
  </si>
  <si>
    <t xml:space="preserve">REFORMA PS ADULTO E PEDIÁTRICO ( inclusive circulações internas e casas de máquinas)   - 1o. Pav. </t>
  </si>
  <si>
    <t>REFORMA 8º PARCIAL ( 688,28) - substituição dos elevadores e  INTERNAÇÕES 7º E 6º pav.  ( 2 x 1.707,27) , construção torre de elevadores ( 290,40)</t>
  </si>
  <si>
    <t>REFORMA INTERNAÇÕES  4o. e 5o. Pav. ( 2 x 1.707,27)</t>
  </si>
  <si>
    <t>RESTAURO CAPELA ( 208,01)   +  2º PAV HSA - Casa de Máquinas - ampliação (29,18+183,21 ) + Mural Externo ( 132,06)    + Passarela - ampliação (164, 66)</t>
  </si>
  <si>
    <t xml:space="preserve">PAVIMENTAÇÃO E PAISAGISMO </t>
  </si>
  <si>
    <t>REFORMA ADMINISTRAÇÃO (950,32+ 340,05) + terraços (138,13) + CAFÉ (104,06) + AUDITÓRIO (243,50) + CENTRO DE ESTUDOS (498,51) + circulações (163,64)   - 2º PAV.</t>
  </si>
  <si>
    <t xml:space="preserve"> B</t>
  </si>
  <si>
    <t>ano 1</t>
  </si>
  <si>
    <t>ano 2</t>
  </si>
  <si>
    <t>ano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</si>
</sst>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&quot;R$&quot;\ #,##0.00"/>
    <numFmt numFmtId="168" formatCode="&quot;R$&quot;\ #,##0.00;[Red]&quot;R$&quot;\ #,##0.00"/>
    <numFmt numFmtId="169" formatCode="#,##0.00000000_ ;\-#,##0.00000000\ "/>
    <numFmt numFmtId="170" formatCode="_-* #,##0.00000000_-;\-* #,##0.00000000_-;_-* &quot;-&quot;????????_-;_-@_-"/>
    <numFmt numFmtId="171" formatCode="0.0%"/>
    <numFmt numFmtId="172" formatCode="_-* #,##0_-;\-* #,##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color rgb="FF000000"/>
      <name val="Calibri"/>
      <family val="2"/>
    </font>
    <font>
      <b/>
      <sz val="10"/>
      <color rgb="FF2C3940"/>
      <name val="Titillium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15" applyBorder="0"/>
    <xf numFmtId="0" fontId="2" fillId="0" borderId="4" applyBorder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8" borderId="0" applyNumberFormat="0" applyBorder="0" applyAlignment="0" applyProtection="0"/>
    <xf numFmtId="9" fontId="2" fillId="0" borderId="0" applyFont="0" applyFill="0" applyBorder="0" applyAlignment="0" applyProtection="0"/>
  </cellStyleXfs>
  <cellXfs count="255">
    <xf numFmtId="0" fontId="0" fillId="0" borderId="0" xfId="0"/>
    <xf numFmtId="0" fontId="0" fillId="5" borderId="15" xfId="0" applyFill="1" applyBorder="1"/>
    <xf numFmtId="0" fontId="0" fillId="5" borderId="17" xfId="0" applyFill="1" applyBorder="1"/>
    <xf numFmtId="0" fontId="0" fillId="0" borderId="19" xfId="0" applyBorder="1"/>
    <xf numFmtId="10" fontId="0" fillId="4" borderId="1" xfId="0" applyNumberFormat="1" applyFill="1" applyBorder="1"/>
    <xf numFmtId="10" fontId="0" fillId="2" borderId="1" xfId="0" applyNumberFormat="1" applyFill="1" applyBorder="1"/>
    <xf numFmtId="10" fontId="0" fillId="0" borderId="1" xfId="0" applyNumberFormat="1" applyBorder="1"/>
    <xf numFmtId="10" fontId="0" fillId="4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0" fontId="0" fillId="0" borderId="12" xfId="0" applyNumberFormat="1" applyBorder="1"/>
    <xf numFmtId="10" fontId="0" fillId="0" borderId="3" xfId="0" applyNumberFormat="1" applyBorder="1"/>
    <xf numFmtId="10" fontId="0" fillId="0" borderId="5" xfId="0" applyNumberFormat="1" applyBorder="1"/>
    <xf numFmtId="10" fontId="0" fillId="6" borderId="1" xfId="0" applyNumberFormat="1" applyFill="1" applyBorder="1"/>
    <xf numFmtId="10" fontId="0" fillId="6" borderId="1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7" borderId="15" xfId="0" applyFill="1" applyBorder="1"/>
    <xf numFmtId="0" fontId="0" fillId="7" borderId="17" xfId="0" applyFill="1" applyBorder="1"/>
    <xf numFmtId="0" fontId="0" fillId="0" borderId="1" xfId="0" applyBorder="1"/>
    <xf numFmtId="166" fontId="0" fillId="0" borderId="0" xfId="0" applyNumberFormat="1"/>
    <xf numFmtId="166" fontId="0" fillId="0" borderId="0" xfId="3" applyFont="1"/>
    <xf numFmtId="0" fontId="0" fillId="7" borderId="0" xfId="0" applyFill="1"/>
    <xf numFmtId="166" fontId="0" fillId="0" borderId="0" xfId="3" applyFont="1" applyFill="1" applyBorder="1"/>
    <xf numFmtId="166" fontId="0" fillId="7" borderId="0" xfId="3" applyFont="1" applyFill="1" applyBorder="1"/>
    <xf numFmtId="0" fontId="0" fillId="7" borderId="30" xfId="0" applyFill="1" applyBorder="1"/>
    <xf numFmtId="166" fontId="0" fillId="7" borderId="17" xfId="3" applyFont="1" applyFill="1" applyBorder="1"/>
    <xf numFmtId="166" fontId="0" fillId="7" borderId="18" xfId="3" applyFont="1" applyFill="1" applyBorder="1"/>
    <xf numFmtId="10" fontId="0" fillId="2" borderId="3" xfId="0" applyNumberFormat="1" applyFill="1" applyBorder="1" applyAlignment="1">
      <alignment horizontal="center"/>
    </xf>
    <xf numFmtId="166" fontId="0" fillId="0" borderId="0" xfId="3" applyFont="1" applyBorder="1"/>
    <xf numFmtId="166" fontId="0" fillId="0" borderId="1" xfId="3" applyFont="1" applyBorder="1"/>
    <xf numFmtId="166" fontId="0" fillId="5" borderId="17" xfId="3" applyFont="1" applyFill="1" applyBorder="1"/>
    <xf numFmtId="166" fontId="0" fillId="2" borderId="1" xfId="3" applyFont="1" applyFill="1" applyBorder="1" applyAlignment="1">
      <alignment horizontal="center"/>
    </xf>
    <xf numFmtId="166" fontId="0" fillId="6" borderId="1" xfId="3" applyFont="1" applyFill="1" applyBorder="1"/>
    <xf numFmtId="166" fontId="0" fillId="6" borderId="1" xfId="3" applyFont="1" applyFill="1" applyBorder="1" applyAlignment="1">
      <alignment horizontal="center"/>
    </xf>
    <xf numFmtId="166" fontId="0" fillId="2" borderId="1" xfId="3" applyFont="1" applyFill="1" applyBorder="1"/>
    <xf numFmtId="9" fontId="0" fillId="0" borderId="0" xfId="0" applyNumberFormat="1"/>
    <xf numFmtId="0" fontId="0" fillId="0" borderId="13" xfId="0" applyBorder="1"/>
    <xf numFmtId="0" fontId="0" fillId="0" borderId="9" xfId="0" applyBorder="1" applyAlignment="1">
      <alignment horizontal="center"/>
    </xf>
    <xf numFmtId="166" fontId="0" fillId="0" borderId="5" xfId="3" applyFont="1" applyBorder="1"/>
    <xf numFmtId="0" fontId="0" fillId="0" borderId="5" xfId="0" applyBorder="1"/>
    <xf numFmtId="166" fontId="0" fillId="5" borderId="18" xfId="3" applyFont="1" applyFill="1" applyBorder="1"/>
    <xf numFmtId="0" fontId="0" fillId="0" borderId="10" xfId="0" applyBorder="1" applyAlignment="1">
      <alignment horizontal="center"/>
    </xf>
    <xf numFmtId="0" fontId="1" fillId="3" borderId="1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4" fillId="8" borderId="33" xfId="5" applyBorder="1"/>
    <xf numFmtId="0" fontId="4" fillId="8" borderId="34" xfId="5" applyBorder="1"/>
    <xf numFmtId="0" fontId="4" fillId="8" borderId="35" xfId="5" applyBorder="1"/>
    <xf numFmtId="0" fontId="0" fillId="2" borderId="36" xfId="0" applyFill="1" applyBorder="1"/>
    <xf numFmtId="0" fontId="0" fillId="2" borderId="34" xfId="0" applyFill="1" applyBorder="1"/>
    <xf numFmtId="0" fontId="0" fillId="0" borderId="34" xfId="0" applyBorder="1"/>
    <xf numFmtId="0" fontId="0" fillId="0" borderId="37" xfId="0" applyBorder="1"/>
    <xf numFmtId="9" fontId="4" fillId="8" borderId="38" xfId="5" applyNumberFormat="1" applyBorder="1"/>
    <xf numFmtId="0" fontId="4" fillId="8" borderId="1" xfId="5" applyBorder="1"/>
    <xf numFmtId="0" fontId="4" fillId="8" borderId="39" xfId="5" applyBorder="1"/>
    <xf numFmtId="0" fontId="0" fillId="2" borderId="5" xfId="0" applyFill="1" applyBorder="1"/>
    <xf numFmtId="9" fontId="0" fillId="2" borderId="1" xfId="0" applyNumberFormat="1" applyFill="1" applyBorder="1"/>
    <xf numFmtId="9" fontId="4" fillId="8" borderId="1" xfId="5" applyNumberFormat="1" applyBorder="1"/>
    <xf numFmtId="0" fontId="4" fillId="8" borderId="38" xfId="5" applyBorder="1"/>
    <xf numFmtId="0" fontId="0" fillId="2" borderId="1" xfId="0" applyFill="1" applyBorder="1"/>
    <xf numFmtId="0" fontId="0" fillId="2" borderId="41" xfId="0" applyFill="1" applyBorder="1"/>
    <xf numFmtId="0" fontId="0" fillId="2" borderId="40" xfId="0" applyFill="1" applyBorder="1"/>
    <xf numFmtId="9" fontId="0" fillId="2" borderId="40" xfId="0" applyNumberFormat="1" applyFill="1" applyBorder="1"/>
    <xf numFmtId="0" fontId="0" fillId="10" borderId="13" xfId="0" applyFill="1" applyBorder="1"/>
    <xf numFmtId="0" fontId="0" fillId="10" borderId="30" xfId="0" applyFill="1" applyBorder="1"/>
    <xf numFmtId="0" fontId="0" fillId="10" borderId="16" xfId="0" applyFill="1" applyBorder="1"/>
    <xf numFmtId="0" fontId="4" fillId="2" borderId="0" xfId="5" applyFill="1" applyBorder="1"/>
    <xf numFmtId="0" fontId="0" fillId="10" borderId="9" xfId="0" applyFill="1" applyBorder="1" applyAlignment="1">
      <alignment horizontal="left" vertical="center"/>
    </xf>
    <xf numFmtId="0" fontId="0" fillId="10" borderId="31" xfId="0" applyFill="1" applyBorder="1"/>
    <xf numFmtId="0" fontId="0" fillId="10" borderId="10" xfId="0" applyFill="1" applyBorder="1"/>
    <xf numFmtId="0" fontId="1" fillId="3" borderId="15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9" fontId="0" fillId="2" borderId="5" xfId="0" applyNumberFormat="1" applyFill="1" applyBorder="1"/>
    <xf numFmtId="9" fontId="0" fillId="2" borderId="43" xfId="0" applyNumberFormat="1" applyFill="1" applyBorder="1"/>
    <xf numFmtId="9" fontId="0" fillId="2" borderId="3" xfId="0" applyNumberFormat="1" applyFill="1" applyBorder="1"/>
    <xf numFmtId="9" fontId="0" fillId="2" borderId="44" xfId="0" applyNumberFormat="1" applyFill="1" applyBorder="1"/>
    <xf numFmtId="9" fontId="0" fillId="2" borderId="45" xfId="0" applyNumberFormat="1" applyFill="1" applyBorder="1"/>
    <xf numFmtId="9" fontId="0" fillId="2" borderId="2" xfId="0" applyNumberFormat="1" applyFill="1" applyBorder="1"/>
    <xf numFmtId="0" fontId="1" fillId="0" borderId="0" xfId="0" applyFont="1"/>
    <xf numFmtId="167" fontId="0" fillId="0" borderId="0" xfId="0" applyNumberFormat="1"/>
    <xf numFmtId="167" fontId="4" fillId="2" borderId="0" xfId="5" applyNumberFormat="1" applyFill="1" applyBorder="1"/>
    <xf numFmtId="167" fontId="0" fillId="9" borderId="40" xfId="0" applyNumberFormat="1" applyFill="1" applyBorder="1"/>
    <xf numFmtId="167" fontId="0" fillId="9" borderId="1" xfId="0" applyNumberFormat="1" applyFill="1" applyBorder="1"/>
    <xf numFmtId="164" fontId="0" fillId="9" borderId="1" xfId="0" applyNumberFormat="1" applyFill="1" applyBorder="1"/>
    <xf numFmtId="167" fontId="0" fillId="9" borderId="34" xfId="0" applyNumberFormat="1" applyFill="1" applyBorder="1"/>
    <xf numFmtId="164" fontId="0" fillId="9" borderId="40" xfId="0" applyNumberFormat="1" applyFill="1" applyBorder="1"/>
    <xf numFmtId="0" fontId="1" fillId="0" borderId="7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/>
    <xf numFmtId="167" fontId="4" fillId="8" borderId="34" xfId="5" applyNumberFormat="1" applyBorder="1"/>
    <xf numFmtId="167" fontId="4" fillId="8" borderId="1" xfId="5" applyNumberFormat="1" applyBorder="1"/>
    <xf numFmtId="164" fontId="4" fillId="8" borderId="1" xfId="5" applyNumberFormat="1" applyBorder="1"/>
    <xf numFmtId="167" fontId="0" fillId="4" borderId="1" xfId="0" applyNumberFormat="1" applyFill="1" applyBorder="1"/>
    <xf numFmtId="167" fontId="0" fillId="4" borderId="2" xfId="0" applyNumberFormat="1" applyFill="1" applyBorder="1"/>
    <xf numFmtId="167" fontId="0" fillId="4" borderId="34" xfId="0" applyNumberFormat="1" applyFill="1" applyBorder="1"/>
    <xf numFmtId="167" fontId="0" fillId="4" borderId="3" xfId="0" applyNumberFormat="1" applyFill="1" applyBorder="1"/>
    <xf numFmtId="0" fontId="4" fillId="8" borderId="40" xfId="5" applyBorder="1"/>
    <xf numFmtId="164" fontId="4" fillId="8" borderId="44" xfId="5" applyNumberFormat="1" applyBorder="1"/>
    <xf numFmtId="164" fontId="4" fillId="8" borderId="40" xfId="5" applyNumberFormat="1" applyBorder="1"/>
    <xf numFmtId="0" fontId="0" fillId="13" borderId="1" xfId="0" applyFill="1" applyBorder="1"/>
    <xf numFmtId="167" fontId="0" fillId="0" borderId="1" xfId="0" applyNumberFormat="1" applyBorder="1"/>
    <xf numFmtId="168" fontId="0" fillId="2" borderId="52" xfId="0" applyNumberFormat="1" applyFill="1" applyBorder="1"/>
    <xf numFmtId="164" fontId="0" fillId="0" borderId="1" xfId="0" applyNumberFormat="1" applyBorder="1"/>
    <xf numFmtId="167" fontId="0" fillId="0" borderId="17" xfId="0" applyNumberFormat="1" applyBorder="1"/>
    <xf numFmtId="167" fontId="0" fillId="2" borderId="1" xfId="0" applyNumberFormat="1" applyFill="1" applyBorder="1"/>
    <xf numFmtId="0" fontId="0" fillId="13" borderId="1" xfId="0" applyFill="1" applyBorder="1" applyAlignment="1">
      <alignment wrapText="1"/>
    </xf>
    <xf numFmtId="168" fontId="6" fillId="0" borderId="1" xfId="0" applyNumberFormat="1" applyFont="1" applyBorder="1"/>
    <xf numFmtId="168" fontId="6" fillId="2" borderId="3" xfId="0" applyNumberFormat="1" applyFont="1" applyFill="1" applyBorder="1"/>
    <xf numFmtId="168" fontId="6" fillId="2" borderId="0" xfId="0" applyNumberFormat="1" applyFont="1" applyFill="1"/>
    <xf numFmtId="167" fontId="0" fillId="0" borderId="32" xfId="0" applyNumberFormat="1" applyBorder="1"/>
    <xf numFmtId="167" fontId="0" fillId="0" borderId="5" xfId="0" applyNumberFormat="1" applyBorder="1"/>
    <xf numFmtId="0" fontId="0" fillId="14" borderId="1" xfId="0" applyFill="1" applyBorder="1"/>
    <xf numFmtId="167" fontId="0" fillId="14" borderId="1" xfId="0" applyNumberFormat="1" applyFill="1" applyBorder="1"/>
    <xf numFmtId="0" fontId="0" fillId="2" borderId="1" xfId="0" applyFill="1" applyBorder="1" applyAlignment="1">
      <alignment wrapText="1"/>
    </xf>
    <xf numFmtId="167" fontId="0" fillId="2" borderId="0" xfId="0" applyNumberFormat="1" applyFill="1"/>
    <xf numFmtId="0" fontId="0" fillId="0" borderId="0" xfId="0" applyAlignment="1">
      <alignment wrapText="1"/>
    </xf>
    <xf numFmtId="167" fontId="0" fillId="10" borderId="46" xfId="0" applyNumberFormat="1" applyFill="1" applyBorder="1" applyAlignment="1">
      <alignment wrapText="1"/>
    </xf>
    <xf numFmtId="0" fontId="0" fillId="10" borderId="3" xfId="0" applyFill="1" applyBorder="1" applyAlignment="1">
      <alignment wrapText="1"/>
    </xf>
    <xf numFmtId="167" fontId="0" fillId="10" borderId="46" xfId="0" applyNumberFormat="1" applyFill="1" applyBorder="1"/>
    <xf numFmtId="0" fontId="0" fillId="10" borderId="3" xfId="0" applyFill="1" applyBorder="1"/>
    <xf numFmtId="167" fontId="0" fillId="10" borderId="47" xfId="0" applyNumberFormat="1" applyFill="1" applyBorder="1"/>
    <xf numFmtId="167" fontId="0" fillId="10" borderId="50" xfId="0" applyNumberFormat="1" applyFill="1" applyBorder="1"/>
    <xf numFmtId="9" fontId="0" fillId="2" borderId="36" xfId="6" applyFont="1" applyFill="1" applyBorder="1"/>
    <xf numFmtId="9" fontId="0" fillId="2" borderId="34" xfId="6" applyFont="1" applyFill="1" applyBorder="1"/>
    <xf numFmtId="9" fontId="0" fillId="0" borderId="34" xfId="6" applyFont="1" applyBorder="1"/>
    <xf numFmtId="9" fontId="0" fillId="9" borderId="34" xfId="6" applyFont="1" applyFill="1" applyBorder="1"/>
    <xf numFmtId="9" fontId="0" fillId="2" borderId="5" xfId="6" applyFont="1" applyFill="1" applyBorder="1"/>
    <xf numFmtId="9" fontId="0" fillId="2" borderId="1" xfId="6" applyFont="1" applyFill="1" applyBorder="1"/>
    <xf numFmtId="9" fontId="0" fillId="0" borderId="1" xfId="6" applyFont="1" applyBorder="1"/>
    <xf numFmtId="9" fontId="0" fillId="9" borderId="1" xfId="6" applyFont="1" applyFill="1" applyBorder="1"/>
    <xf numFmtId="9" fontId="5" fillId="9" borderId="5" xfId="6" applyFont="1" applyFill="1" applyBorder="1"/>
    <xf numFmtId="9" fontId="0" fillId="2" borderId="41" xfId="6" applyFont="1" applyFill="1" applyBorder="1"/>
    <xf numFmtId="9" fontId="0" fillId="9" borderId="40" xfId="6" applyFont="1" applyFill="1" applyBorder="1"/>
    <xf numFmtId="9" fontId="0" fillId="2" borderId="40" xfId="6" applyFont="1" applyFill="1" applyBorder="1"/>
    <xf numFmtId="9" fontId="0" fillId="4" borderId="34" xfId="6" applyFont="1" applyFill="1" applyBorder="1"/>
    <xf numFmtId="0" fontId="0" fillId="0" borderId="15" xfId="0" applyBorder="1" applyAlignment="1">
      <alignment horizontal="center" vertical="center"/>
    </xf>
    <xf numFmtId="0" fontId="0" fillId="5" borderId="13" xfId="0" applyFill="1" applyBorder="1"/>
    <xf numFmtId="10" fontId="0" fillId="0" borderId="1" xfId="3" applyNumberFormat="1" applyFont="1" applyBorder="1"/>
    <xf numFmtId="166" fontId="0" fillId="15" borderId="6" xfId="0" applyNumberFormat="1" applyFill="1" applyBorder="1"/>
    <xf numFmtId="0" fontId="0" fillId="15" borderId="9" xfId="0" applyFill="1" applyBorder="1"/>
    <xf numFmtId="0" fontId="0" fillId="15" borderId="11" xfId="0" applyFill="1" applyBorder="1"/>
    <xf numFmtId="0" fontId="0" fillId="15" borderId="8" xfId="0" applyFill="1" applyBorder="1"/>
    <xf numFmtId="0" fontId="0" fillId="0" borderId="15" xfId="0" applyBorder="1" applyAlignment="1">
      <alignment horizontal="center"/>
    </xf>
    <xf numFmtId="4" fontId="0" fillId="7" borderId="0" xfId="0" applyNumberFormat="1" applyFill="1"/>
    <xf numFmtId="4" fontId="0" fillId="7" borderId="0" xfId="3" applyNumberFormat="1" applyFont="1" applyFill="1" applyBorder="1"/>
    <xf numFmtId="4" fontId="0" fillId="5" borderId="14" xfId="0" applyNumberFormat="1" applyFill="1" applyBorder="1"/>
    <xf numFmtId="4" fontId="0" fillId="5" borderId="17" xfId="0" applyNumberFormat="1" applyFill="1" applyBorder="1"/>
    <xf numFmtId="4" fontId="0" fillId="5" borderId="14" xfId="3" applyNumberFormat="1" applyFont="1" applyFill="1" applyBorder="1"/>
    <xf numFmtId="4" fontId="0" fillId="5" borderId="17" xfId="3" applyNumberFormat="1" applyFont="1" applyFill="1" applyBorder="1"/>
    <xf numFmtId="4" fontId="0" fillId="5" borderId="9" xfId="3" applyNumberFormat="1" applyFont="1" applyFill="1" applyBorder="1"/>
    <xf numFmtId="4" fontId="0" fillId="5" borderId="18" xfId="3" applyNumberFormat="1" applyFont="1" applyFill="1" applyBorder="1"/>
    <xf numFmtId="4" fontId="0" fillId="5" borderId="13" xfId="0" applyNumberFormat="1" applyFill="1" applyBorder="1"/>
    <xf numFmtId="4" fontId="0" fillId="5" borderId="15" xfId="0" applyNumberFormat="1" applyFill="1" applyBorder="1"/>
    <xf numFmtId="4" fontId="0" fillId="5" borderId="18" xfId="0" applyNumberFormat="1" applyFill="1" applyBorder="1"/>
    <xf numFmtId="4" fontId="0" fillId="5" borderId="16" xfId="0" applyNumberFormat="1" applyFill="1" applyBorder="1"/>
    <xf numFmtId="4" fontId="0" fillId="5" borderId="10" xfId="3" applyNumberFormat="1" applyFont="1" applyFill="1" applyBorder="1"/>
    <xf numFmtId="4" fontId="8" fillId="0" borderId="0" xfId="0" applyNumberFormat="1" applyFont="1"/>
    <xf numFmtId="0" fontId="0" fillId="2" borderId="4" xfId="0" applyFill="1" applyBorder="1"/>
    <xf numFmtId="0" fontId="9" fillId="0" borderId="1" xfId="0" applyFont="1" applyBorder="1"/>
    <xf numFmtId="4" fontId="0" fillId="7" borderId="17" xfId="0" applyNumberFormat="1" applyFill="1" applyBorder="1"/>
    <xf numFmtId="166" fontId="0" fillId="0" borderId="1" xfId="0" applyNumberFormat="1" applyBorder="1"/>
    <xf numFmtId="166" fontId="0" fillId="15" borderId="0" xfId="0" applyNumberFormat="1" applyFill="1"/>
    <xf numFmtId="0" fontId="0" fillId="7" borderId="15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4" fontId="0" fillId="7" borderId="14" xfId="0" applyNumberFormat="1" applyFill="1" applyBorder="1" applyAlignment="1">
      <alignment horizontal="center"/>
    </xf>
    <xf numFmtId="0" fontId="0" fillId="2" borderId="0" xfId="0" applyFill="1"/>
    <xf numFmtId="4" fontId="0" fillId="7" borderId="15" xfId="0" applyNumberFormat="1" applyFill="1" applyBorder="1"/>
    <xf numFmtId="4" fontId="0" fillId="7" borderId="17" xfId="3" applyNumberFormat="1" applyFont="1" applyFill="1" applyBorder="1"/>
    <xf numFmtId="166" fontId="0" fillId="15" borderId="6" xfId="0" applyNumberFormat="1" applyFill="1" applyBorder="1" applyAlignment="1">
      <alignment horizontal="left"/>
    </xf>
    <xf numFmtId="4" fontId="0" fillId="15" borderId="6" xfId="0" applyNumberFormat="1" applyFill="1" applyBorder="1"/>
    <xf numFmtId="4" fontId="0" fillId="7" borderId="17" xfId="0" applyNumberFormat="1" applyFill="1" applyBorder="1" applyAlignment="1">
      <alignment horizontal="right"/>
    </xf>
    <xf numFmtId="166" fontId="0" fillId="4" borderId="1" xfId="3" applyFont="1" applyFill="1" applyBorder="1"/>
    <xf numFmtId="4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67" fontId="0" fillId="0" borderId="0" xfId="0" applyNumberFormat="1" applyAlignment="1">
      <alignment horizontal="right"/>
    </xf>
    <xf numFmtId="164" fontId="7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166" fontId="1" fillId="0" borderId="0" xfId="0" applyNumberFormat="1" applyFont="1"/>
    <xf numFmtId="171" fontId="0" fillId="4" borderId="3" xfId="0" applyNumberFormat="1" applyFill="1" applyBorder="1" applyAlignment="1">
      <alignment horizontal="center"/>
    </xf>
    <xf numFmtId="171" fontId="0" fillId="4" borderId="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171" fontId="0" fillId="0" borderId="0" xfId="6" applyNumberFormat="1" applyFont="1"/>
    <xf numFmtId="9" fontId="0" fillId="4" borderId="1" xfId="0" applyNumberFormat="1" applyFill="1" applyBorder="1" applyAlignment="1">
      <alignment horizontal="center"/>
    </xf>
    <xf numFmtId="172" fontId="0" fillId="0" borderId="0" xfId="0" applyNumberFormat="1"/>
    <xf numFmtId="166" fontId="0" fillId="12" borderId="16" xfId="3" applyFont="1" applyFill="1" applyBorder="1" applyAlignment="1">
      <alignment vertical="center"/>
    </xf>
    <xf numFmtId="166" fontId="0" fillId="12" borderId="53" xfId="3" applyFont="1" applyFill="1" applyBorder="1" applyAlignment="1">
      <alignment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66" fontId="0" fillId="12" borderId="10" xfId="3" applyFont="1" applyFill="1" applyBorder="1" applyAlignment="1">
      <alignment vertical="center"/>
    </xf>
    <xf numFmtId="0" fontId="0" fillId="0" borderId="15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5" borderId="13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5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/>
    </xf>
    <xf numFmtId="0" fontId="0" fillId="5" borderId="20" xfId="0" applyFill="1" applyBorder="1" applyAlignment="1">
      <alignment horizontal="left" vertical="center"/>
    </xf>
    <xf numFmtId="166" fontId="0" fillId="5" borderId="15" xfId="3" applyFont="1" applyFill="1" applyBorder="1" applyAlignment="1">
      <alignment vertical="center"/>
    </xf>
    <xf numFmtId="166" fontId="0" fillId="5" borderId="17" xfId="3" applyFont="1" applyFill="1" applyBorder="1" applyAlignment="1">
      <alignment vertical="center"/>
    </xf>
    <xf numFmtId="0" fontId="0" fillId="0" borderId="18" xfId="0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166" fontId="0" fillId="15" borderId="7" xfId="3" applyFont="1" applyFill="1" applyBorder="1" applyAlignment="1">
      <alignment horizontal="left"/>
    </xf>
    <xf numFmtId="166" fontId="0" fillId="15" borderId="11" xfId="3" applyFont="1" applyFill="1" applyBorder="1" applyAlignment="1">
      <alignment horizontal="left"/>
    </xf>
    <xf numFmtId="166" fontId="0" fillId="15" borderId="8" xfId="3" applyFont="1" applyFill="1" applyBorder="1" applyAlignment="1">
      <alignment horizontal="left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3" borderId="48" xfId="0" applyFill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1" fillId="11" borderId="30" xfId="0" applyFont="1" applyFill="1" applyBorder="1" applyAlignment="1">
      <alignment horizontal="center" vertical="center"/>
    </xf>
    <xf numFmtId="0" fontId="1" fillId="11" borderId="51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11" borderId="31" xfId="0" applyFont="1" applyFill="1" applyBorder="1" applyAlignment="1">
      <alignment horizontal="center" vertical="center"/>
    </xf>
    <xf numFmtId="167" fontId="0" fillId="10" borderId="46" xfId="0" applyNumberForma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167" fontId="0" fillId="10" borderId="46" xfId="0" applyNumberFormat="1" applyFill="1" applyBorder="1" applyAlignment="1">
      <alignment horizontal="center" wrapText="1"/>
    </xf>
    <xf numFmtId="0" fontId="0" fillId="10" borderId="3" xfId="0" applyFill="1" applyBorder="1" applyAlignment="1">
      <alignment horizontal="center" wrapText="1"/>
    </xf>
    <xf numFmtId="167" fontId="0" fillId="10" borderId="47" xfId="0" applyNumberFormat="1" applyFill="1" applyBorder="1" applyAlignment="1">
      <alignment horizontal="center"/>
    </xf>
    <xf numFmtId="167" fontId="0" fillId="10" borderId="50" xfId="0" applyNumberFormat="1" applyFill="1" applyBorder="1" applyAlignment="1">
      <alignment horizontal="center"/>
    </xf>
    <xf numFmtId="0" fontId="1" fillId="3" borderId="48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</cellXfs>
  <cellStyles count="7">
    <cellStyle name="Estilo 1" xfId="1" xr:uid="{2CA6854D-0DA1-4EA4-AAA1-5F84A22B4139}"/>
    <cellStyle name="Estilo 2" xfId="2" xr:uid="{23F83374-9394-4C5F-93C7-0C364DA0A2AE}"/>
    <cellStyle name="Moeda 2" xfId="4" xr:uid="{648CB886-D205-4231-846C-243BA1FA0C04}"/>
    <cellStyle name="Neutro" xfId="5" builtinId="28"/>
    <cellStyle name="Normal" xfId="0" builtinId="0"/>
    <cellStyle name="Porcentagem" xfId="6" builtinId="5"/>
    <cellStyle name="Vírgula" xfId="3" builtinId="3"/>
  </cellStyles>
  <dxfs count="0"/>
  <tableStyles count="0" defaultTableStyle="TableStyleMedium2" defaultPivotStyle="PivotStyleLight16"/>
  <colors>
    <mruColors>
      <color rgb="FFCCCCFF"/>
      <color rgb="FFFFFFCC"/>
      <color rgb="FFFFCCFF"/>
      <color rgb="FFFF6699"/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33</xdr:col>
      <xdr:colOff>484138</xdr:colOff>
      <xdr:row>15</xdr:row>
      <xdr:rowOff>28575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C9DC011-09BE-33BE-5F44-C03DDB9C8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600938" cy="2886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66675</xdr:rowOff>
    </xdr:from>
    <xdr:to>
      <xdr:col>26</xdr:col>
      <xdr:colOff>7172</xdr:colOff>
      <xdr:row>12</xdr:row>
      <xdr:rowOff>171449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08AC645-60E6-78BA-1AA3-97C7ED1BB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6675"/>
          <a:ext cx="15828197" cy="23907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BF059-C73C-47E0-B9A2-51F4EBE8CF57}">
  <sheetPr>
    <pageSetUpPr fitToPage="1"/>
  </sheetPr>
  <dimension ref="A1:AS71"/>
  <sheetViews>
    <sheetView topLeftCell="A53" zoomScale="80" zoomScaleNormal="80" workbookViewId="0">
      <selection activeCell="A58" sqref="A58"/>
    </sheetView>
  </sheetViews>
  <sheetFormatPr defaultRowHeight="15"/>
  <cols>
    <col min="1" max="1" width="6.42578125" bestFit="1" customWidth="1"/>
    <col min="2" max="2" width="14.5703125" customWidth="1"/>
    <col min="3" max="3" width="17.42578125" customWidth="1"/>
    <col min="4" max="4" width="9.5703125" customWidth="1"/>
    <col min="5" max="5" width="16.5703125" customWidth="1"/>
    <col min="6" max="6" width="18.5703125" customWidth="1"/>
    <col min="7" max="7" width="67.5703125" customWidth="1"/>
    <col min="8" max="8" width="8.140625" customWidth="1"/>
    <col min="9" max="44" width="18.5703125" customWidth="1"/>
    <col min="45" max="45" width="13.28515625" bestFit="1" customWidth="1"/>
  </cols>
  <sheetData>
    <row r="1" spans="1:45">
      <c r="A1" s="186" t="s">
        <v>38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</row>
    <row r="2" spans="1:45">
      <c r="A2" s="186"/>
      <c r="B2" s="186"/>
      <c r="C2" s="186"/>
      <c r="D2" s="186"/>
      <c r="E2" s="186"/>
      <c r="F2" s="186"/>
      <c r="G2" s="186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</row>
    <row r="3" spans="1:45" ht="15.75" thickBot="1">
      <c r="B3" s="176"/>
      <c r="D3" s="176"/>
      <c r="F3" s="21"/>
      <c r="H3" t="s">
        <v>295</v>
      </c>
      <c r="I3" t="s">
        <v>295</v>
      </c>
      <c r="J3" t="s">
        <v>295</v>
      </c>
      <c r="K3" t="s">
        <v>295</v>
      </c>
      <c r="L3" t="s">
        <v>295</v>
      </c>
      <c r="M3" t="s">
        <v>295</v>
      </c>
      <c r="N3" t="s">
        <v>295</v>
      </c>
      <c r="O3" t="s">
        <v>295</v>
      </c>
      <c r="P3" t="s">
        <v>295</v>
      </c>
      <c r="Q3" t="s">
        <v>295</v>
      </c>
      <c r="R3" t="s">
        <v>295</v>
      </c>
      <c r="S3" t="s">
        <v>295</v>
      </c>
      <c r="T3" t="s">
        <v>296</v>
      </c>
      <c r="U3" t="s">
        <v>296</v>
      </c>
      <c r="V3" t="s">
        <v>296</v>
      </c>
      <c r="W3" t="s">
        <v>296</v>
      </c>
      <c r="X3" t="s">
        <v>296</v>
      </c>
      <c r="Y3" t="s">
        <v>296</v>
      </c>
      <c r="Z3" t="s">
        <v>296</v>
      </c>
      <c r="AA3" t="s">
        <v>296</v>
      </c>
      <c r="AB3" t="s">
        <v>296</v>
      </c>
      <c r="AC3" t="s">
        <v>296</v>
      </c>
      <c r="AD3" t="s">
        <v>296</v>
      </c>
      <c r="AE3" t="s">
        <v>296</v>
      </c>
      <c r="AF3" t="s">
        <v>297</v>
      </c>
      <c r="AG3" t="s">
        <v>297</v>
      </c>
      <c r="AH3" t="s">
        <v>297</v>
      </c>
      <c r="AI3" t="s">
        <v>297</v>
      </c>
      <c r="AJ3" t="s">
        <v>297</v>
      </c>
      <c r="AK3" t="s">
        <v>297</v>
      </c>
      <c r="AL3" t="s">
        <v>297</v>
      </c>
      <c r="AM3" t="s">
        <v>297</v>
      </c>
      <c r="AN3" t="s">
        <v>297</v>
      </c>
      <c r="AO3" t="s">
        <v>297</v>
      </c>
      <c r="AP3" t="s">
        <v>297</v>
      </c>
      <c r="AQ3" t="s">
        <v>297</v>
      </c>
      <c r="AR3" s="37">
        <f t="shared" ref="AR3:AR48" si="0">SUM(H3:AQ3)</f>
        <v>0</v>
      </c>
    </row>
    <row r="4" spans="1:45" ht="15.75" thickBot="1">
      <c r="A4" s="208" t="s">
        <v>8</v>
      </c>
      <c r="B4" s="206" t="s">
        <v>260</v>
      </c>
      <c r="C4" s="142" t="s">
        <v>257</v>
      </c>
      <c r="D4" s="206" t="s">
        <v>261</v>
      </c>
      <c r="E4" s="142" t="s">
        <v>257</v>
      </c>
      <c r="F4" s="149" t="s">
        <v>262</v>
      </c>
      <c r="G4" s="38"/>
      <c r="H4" s="203" t="s">
        <v>5</v>
      </c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5"/>
      <c r="T4" s="203" t="s">
        <v>6</v>
      </c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3" t="s">
        <v>7</v>
      </c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5"/>
      <c r="AR4" s="37">
        <f>SUM(H4:AQ4)</f>
        <v>0</v>
      </c>
    </row>
    <row r="5" spans="1:45" ht="15.75" thickBot="1">
      <c r="A5" s="209"/>
      <c r="B5" s="207"/>
      <c r="C5" s="43" t="s">
        <v>258</v>
      </c>
      <c r="D5" s="210"/>
      <c r="E5" s="43" t="s">
        <v>258</v>
      </c>
      <c r="F5" s="14" t="s">
        <v>259</v>
      </c>
      <c r="G5" s="39" t="s">
        <v>16</v>
      </c>
      <c r="H5" s="15">
        <v>1</v>
      </c>
      <c r="I5" s="16">
        <v>2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7">
        <v>12</v>
      </c>
      <c r="T5" s="15">
        <v>1</v>
      </c>
      <c r="U5" s="16">
        <v>2</v>
      </c>
      <c r="V5" s="16">
        <v>3</v>
      </c>
      <c r="W5" s="16">
        <v>4</v>
      </c>
      <c r="X5" s="16">
        <v>5</v>
      </c>
      <c r="Y5" s="16">
        <v>6</v>
      </c>
      <c r="Z5" s="16">
        <v>7</v>
      </c>
      <c r="AA5" s="16">
        <v>8</v>
      </c>
      <c r="AB5" s="16">
        <v>9</v>
      </c>
      <c r="AC5" s="16">
        <v>10</v>
      </c>
      <c r="AD5" s="16">
        <v>11</v>
      </c>
      <c r="AE5" s="17">
        <v>12</v>
      </c>
      <c r="AF5" s="15">
        <v>1</v>
      </c>
      <c r="AG5" s="16">
        <v>2</v>
      </c>
      <c r="AH5" s="16">
        <v>3</v>
      </c>
      <c r="AI5" s="16">
        <v>4</v>
      </c>
      <c r="AJ5" s="16">
        <v>5</v>
      </c>
      <c r="AK5" s="16">
        <v>6</v>
      </c>
      <c r="AL5" s="16">
        <v>7</v>
      </c>
      <c r="AM5" s="16">
        <v>8</v>
      </c>
      <c r="AN5" s="16">
        <v>9</v>
      </c>
      <c r="AO5" s="16">
        <v>10</v>
      </c>
      <c r="AP5" s="16">
        <v>11</v>
      </c>
      <c r="AQ5" s="17">
        <v>12</v>
      </c>
      <c r="AR5" s="37"/>
    </row>
    <row r="6" spans="1:45">
      <c r="A6" s="1"/>
      <c r="B6" s="177">
        <v>5919.44</v>
      </c>
      <c r="C6" s="150">
        <v>9074.8799999999992</v>
      </c>
      <c r="D6" s="143"/>
      <c r="E6" s="1"/>
      <c r="F6" s="198">
        <f>(B6*C6+B7*C7)*1.09</f>
        <v>60408930.735915996</v>
      </c>
      <c r="G6" s="212" t="s">
        <v>279</v>
      </c>
      <c r="H6" s="9"/>
      <c r="I6" s="10"/>
      <c r="J6" s="10"/>
      <c r="K6" s="29"/>
      <c r="L6" s="192">
        <v>1.0158900705539887E-2</v>
      </c>
      <c r="M6" s="192">
        <v>0.02</v>
      </c>
      <c r="N6" s="192">
        <v>0.03</v>
      </c>
      <c r="O6" s="192">
        <v>0.05</v>
      </c>
      <c r="P6" s="192">
        <v>0.05</v>
      </c>
      <c r="Q6" s="192">
        <v>0.05</v>
      </c>
      <c r="R6" s="192">
        <v>0.05</v>
      </c>
      <c r="S6" s="192">
        <v>5.5E-2</v>
      </c>
      <c r="T6" s="192">
        <v>7.0000000000000007E-2</v>
      </c>
      <c r="U6" s="192">
        <v>0.08</v>
      </c>
      <c r="V6" s="192">
        <v>8.5000000000000006E-2</v>
      </c>
      <c r="W6" s="192">
        <v>0.05</v>
      </c>
      <c r="X6" s="192">
        <v>0.05</v>
      </c>
      <c r="Y6" s="192">
        <v>0.05</v>
      </c>
      <c r="Z6" s="192">
        <v>0.05</v>
      </c>
      <c r="AA6" s="192">
        <v>0.05</v>
      </c>
      <c r="AB6" s="192">
        <v>0.05</v>
      </c>
      <c r="AC6" s="192">
        <v>0.05</v>
      </c>
      <c r="AD6" s="192">
        <v>0.05</v>
      </c>
      <c r="AE6" s="192">
        <v>0.04</v>
      </c>
      <c r="AF6" s="193">
        <v>9.8410992944597542E-3</v>
      </c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37">
        <f t="shared" si="0"/>
        <v>1</v>
      </c>
    </row>
    <row r="7" spans="1:45" ht="15.75" thickBot="1">
      <c r="A7" s="2"/>
      <c r="B7" s="166">
        <v>268.06</v>
      </c>
      <c r="C7" s="150">
        <v>6352.42</v>
      </c>
      <c r="D7" s="152"/>
      <c r="E7" s="153"/>
      <c r="F7" s="199"/>
      <c r="G7" s="213"/>
      <c r="H7" s="11"/>
      <c r="I7" s="6"/>
      <c r="J7" s="6"/>
      <c r="K7" s="6"/>
      <c r="L7" s="31">
        <f t="shared" ref="L7:AQ7" si="1">$F6*L6</f>
        <v>613688.32907400723</v>
      </c>
      <c r="M7" s="31">
        <f t="shared" si="1"/>
        <v>1208178.6147183198</v>
      </c>
      <c r="N7" s="31">
        <f t="shared" si="1"/>
        <v>1812267.9220774798</v>
      </c>
      <c r="O7" s="31">
        <f t="shared" si="1"/>
        <v>3020446.5367958001</v>
      </c>
      <c r="P7" s="31">
        <f t="shared" si="1"/>
        <v>3020446.5367958001</v>
      </c>
      <c r="Q7" s="31">
        <f t="shared" si="1"/>
        <v>3020446.5367958001</v>
      </c>
      <c r="R7" s="31">
        <f t="shared" si="1"/>
        <v>3020446.5367958001</v>
      </c>
      <c r="S7" s="31">
        <f t="shared" si="1"/>
        <v>3322491.1904753796</v>
      </c>
      <c r="T7" s="31">
        <f t="shared" si="1"/>
        <v>4228625.1515141204</v>
      </c>
      <c r="U7" s="31">
        <f t="shared" si="1"/>
        <v>4832714.4588732794</v>
      </c>
      <c r="V7" s="31">
        <f t="shared" si="1"/>
        <v>5134759.1125528598</v>
      </c>
      <c r="W7" s="31">
        <f t="shared" si="1"/>
        <v>3020446.5367958001</v>
      </c>
      <c r="X7" s="31">
        <f t="shared" si="1"/>
        <v>3020446.5367958001</v>
      </c>
      <c r="Y7" s="31">
        <f t="shared" si="1"/>
        <v>3020446.5367958001</v>
      </c>
      <c r="Z7" s="31">
        <f t="shared" si="1"/>
        <v>3020446.5367958001</v>
      </c>
      <c r="AA7" s="31">
        <f t="shared" si="1"/>
        <v>3020446.5367958001</v>
      </c>
      <c r="AB7" s="31">
        <f t="shared" si="1"/>
        <v>3020446.5367958001</v>
      </c>
      <c r="AC7" s="31">
        <f t="shared" si="1"/>
        <v>3020446.5367958001</v>
      </c>
      <c r="AD7" s="31">
        <f t="shared" si="1"/>
        <v>3020446.5367958001</v>
      </c>
      <c r="AE7" s="31">
        <f t="shared" si="1"/>
        <v>2416357.2294366397</v>
      </c>
      <c r="AF7" s="31">
        <f t="shared" si="1"/>
        <v>594490.28564429109</v>
      </c>
      <c r="AG7" s="31">
        <f t="shared" si="1"/>
        <v>0</v>
      </c>
      <c r="AH7" s="31">
        <f t="shared" si="1"/>
        <v>0</v>
      </c>
      <c r="AI7" s="31">
        <f t="shared" si="1"/>
        <v>0</v>
      </c>
      <c r="AJ7" s="31">
        <f t="shared" si="1"/>
        <v>0</v>
      </c>
      <c r="AK7" s="31">
        <f t="shared" si="1"/>
        <v>0</v>
      </c>
      <c r="AL7" s="31">
        <f t="shared" si="1"/>
        <v>0</v>
      </c>
      <c r="AM7" s="31">
        <f t="shared" si="1"/>
        <v>0</v>
      </c>
      <c r="AN7" s="31">
        <f t="shared" si="1"/>
        <v>0</v>
      </c>
      <c r="AO7" s="31">
        <f t="shared" si="1"/>
        <v>0</v>
      </c>
      <c r="AP7" s="31">
        <f t="shared" si="1"/>
        <v>0</v>
      </c>
      <c r="AQ7" s="31">
        <f t="shared" si="1"/>
        <v>0</v>
      </c>
      <c r="AR7" s="30">
        <f>SUM(I7:AQ7)</f>
        <v>60408930.735916004</v>
      </c>
      <c r="AS7" s="21">
        <f>AR7-F6</f>
        <v>0</v>
      </c>
    </row>
    <row r="8" spans="1:45">
      <c r="A8" s="2"/>
      <c r="B8" s="166">
        <v>922.9</v>
      </c>
      <c r="C8" s="150">
        <v>9074.8799999999992</v>
      </c>
      <c r="D8" s="154">
        <v>700</v>
      </c>
      <c r="E8" s="153">
        <v>6821.3</v>
      </c>
      <c r="F8" s="198">
        <f>(B8*C8+D8*E8)*1.09</f>
        <v>14333627.259680001</v>
      </c>
      <c r="G8" s="232" t="s">
        <v>276</v>
      </c>
      <c r="H8" s="11"/>
      <c r="I8" s="6"/>
      <c r="J8" s="6"/>
      <c r="K8" s="5"/>
      <c r="L8" s="5"/>
      <c r="M8" s="5"/>
      <c r="N8" s="5"/>
      <c r="O8" s="4">
        <v>0.05</v>
      </c>
      <c r="P8" s="4">
        <v>0.05</v>
      </c>
      <c r="Q8" s="4">
        <v>7.0000000000000007E-2</v>
      </c>
      <c r="R8" s="4">
        <v>0.125</v>
      </c>
      <c r="S8" s="4">
        <v>0.16</v>
      </c>
      <c r="T8" s="4">
        <v>0.2</v>
      </c>
      <c r="U8" s="4">
        <v>0.2</v>
      </c>
      <c r="V8" s="4">
        <v>0.14499999999999999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31"/>
      <c r="AK8" s="31"/>
      <c r="AL8" s="31"/>
      <c r="AM8" s="31"/>
      <c r="AN8" s="31"/>
      <c r="AO8" s="31"/>
      <c r="AP8" s="31"/>
      <c r="AQ8" s="31"/>
      <c r="AR8" s="37">
        <f t="shared" si="0"/>
        <v>1</v>
      </c>
    </row>
    <row r="9" spans="1:45" s="22" customFormat="1" ht="15.75" thickBot="1">
      <c r="A9" s="32"/>
      <c r="B9" s="178"/>
      <c r="C9" s="151"/>
      <c r="D9" s="154"/>
      <c r="E9" s="155"/>
      <c r="F9" s="211"/>
      <c r="G9" s="233"/>
      <c r="H9" s="40">
        <f>$F8*H8</f>
        <v>0</v>
      </c>
      <c r="I9" s="31">
        <f t="shared" ref="I9:AQ9" si="2">$F8*I8</f>
        <v>0</v>
      </c>
      <c r="J9" s="31">
        <f t="shared" si="2"/>
        <v>0</v>
      </c>
      <c r="K9" s="31">
        <f t="shared" si="2"/>
        <v>0</v>
      </c>
      <c r="L9" s="31">
        <f t="shared" si="2"/>
        <v>0</v>
      </c>
      <c r="M9" s="31">
        <f t="shared" si="2"/>
        <v>0</v>
      </c>
      <c r="N9" s="31">
        <f t="shared" si="2"/>
        <v>0</v>
      </c>
      <c r="O9" s="31">
        <f t="shared" si="2"/>
        <v>716681.36298400012</v>
      </c>
      <c r="P9" s="31">
        <f t="shared" si="2"/>
        <v>716681.36298400012</v>
      </c>
      <c r="Q9" s="31">
        <f t="shared" si="2"/>
        <v>1003353.9081776001</v>
      </c>
      <c r="R9" s="31">
        <f t="shared" si="2"/>
        <v>1791703.4074600001</v>
      </c>
      <c r="S9" s="31">
        <f t="shared" si="2"/>
        <v>2293380.3615488</v>
      </c>
      <c r="T9" s="31">
        <f t="shared" si="2"/>
        <v>2866725.4519360005</v>
      </c>
      <c r="U9" s="31">
        <f t="shared" si="2"/>
        <v>2866725.4519360005</v>
      </c>
      <c r="V9" s="31">
        <f t="shared" si="2"/>
        <v>2078375.9526535999</v>
      </c>
      <c r="W9" s="31">
        <f t="shared" si="2"/>
        <v>0</v>
      </c>
      <c r="X9" s="31">
        <f t="shared" si="2"/>
        <v>0</v>
      </c>
      <c r="Y9" s="31">
        <f t="shared" si="2"/>
        <v>0</v>
      </c>
      <c r="Z9" s="31">
        <f t="shared" si="2"/>
        <v>0</v>
      </c>
      <c r="AA9" s="31">
        <f t="shared" si="2"/>
        <v>0</v>
      </c>
      <c r="AB9" s="31">
        <f t="shared" si="2"/>
        <v>0</v>
      </c>
      <c r="AC9" s="31">
        <f t="shared" si="2"/>
        <v>0</v>
      </c>
      <c r="AD9" s="31">
        <f t="shared" si="2"/>
        <v>0</v>
      </c>
      <c r="AE9" s="31">
        <f t="shared" si="2"/>
        <v>0</v>
      </c>
      <c r="AF9" s="31">
        <f t="shared" si="2"/>
        <v>0</v>
      </c>
      <c r="AG9" s="31">
        <f t="shared" si="2"/>
        <v>0</v>
      </c>
      <c r="AH9" s="31">
        <f t="shared" si="2"/>
        <v>0</v>
      </c>
      <c r="AI9" s="31">
        <f t="shared" si="2"/>
        <v>0</v>
      </c>
      <c r="AJ9" s="31">
        <f t="shared" si="2"/>
        <v>0</v>
      </c>
      <c r="AK9" s="31">
        <f t="shared" si="2"/>
        <v>0</v>
      </c>
      <c r="AL9" s="31">
        <f t="shared" si="2"/>
        <v>0</v>
      </c>
      <c r="AM9" s="31">
        <f t="shared" si="2"/>
        <v>0</v>
      </c>
      <c r="AN9" s="31">
        <f t="shared" si="2"/>
        <v>0</v>
      </c>
      <c r="AO9" s="31">
        <f t="shared" si="2"/>
        <v>0</v>
      </c>
      <c r="AP9" s="31">
        <f t="shared" si="2"/>
        <v>0</v>
      </c>
      <c r="AQ9" s="31">
        <f t="shared" si="2"/>
        <v>0</v>
      </c>
      <c r="AR9" s="30">
        <f>SUM(I9:AQ9)</f>
        <v>14333627.259680001</v>
      </c>
      <c r="AS9" s="21">
        <f>AR9-F8</f>
        <v>0</v>
      </c>
    </row>
    <row r="10" spans="1:45" ht="35.450000000000003" customHeight="1">
      <c r="A10" s="2"/>
      <c r="B10" s="166"/>
      <c r="C10" s="150"/>
      <c r="D10" s="154">
        <v>2963.49</v>
      </c>
      <c r="E10" s="153">
        <v>5803.2049999999999</v>
      </c>
      <c r="F10" s="198">
        <f>(B11*C11+D10*E10)*1.09</f>
        <v>18745536.584140502</v>
      </c>
      <c r="G10" s="220" t="s">
        <v>280</v>
      </c>
      <c r="H10" s="11"/>
      <c r="I10" s="6"/>
      <c r="J10" s="6"/>
      <c r="K10" s="7">
        <v>0.05</v>
      </c>
      <c r="L10" s="7">
        <v>0.15</v>
      </c>
      <c r="M10" s="7">
        <v>0.2</v>
      </c>
      <c r="N10" s="7">
        <v>0.25</v>
      </c>
      <c r="O10" s="7">
        <v>0.2</v>
      </c>
      <c r="P10" s="7">
        <v>0.15</v>
      </c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37">
        <f t="shared" si="0"/>
        <v>1</v>
      </c>
    </row>
    <row r="11" spans="1:45" s="22" customFormat="1" ht="38.1" customHeight="1" thickBot="1">
      <c r="A11" s="32"/>
      <c r="B11" s="27"/>
      <c r="C11" s="151"/>
      <c r="D11" s="154"/>
      <c r="E11" s="155"/>
      <c r="F11" s="199"/>
      <c r="G11" s="221"/>
      <c r="H11" s="40">
        <f>$F10*H10</f>
        <v>0</v>
      </c>
      <c r="I11" s="31">
        <f t="shared" ref="I11:AQ11" si="3">$F10*I10</f>
        <v>0</v>
      </c>
      <c r="J11" s="31">
        <f t="shared" si="3"/>
        <v>0</v>
      </c>
      <c r="K11" s="31">
        <f t="shared" si="3"/>
        <v>937276.82920702512</v>
      </c>
      <c r="L11" s="31">
        <f t="shared" si="3"/>
        <v>2811830.487621075</v>
      </c>
      <c r="M11" s="31">
        <f t="shared" si="3"/>
        <v>3749107.3168281005</v>
      </c>
      <c r="N11" s="31">
        <f t="shared" si="3"/>
        <v>4686384.1460351255</v>
      </c>
      <c r="O11" s="31">
        <f t="shared" si="3"/>
        <v>3749107.3168281005</v>
      </c>
      <c r="P11" s="31">
        <f t="shared" si="3"/>
        <v>2811830.487621075</v>
      </c>
      <c r="Q11" s="31">
        <f t="shared" si="3"/>
        <v>0</v>
      </c>
      <c r="R11" s="31">
        <f t="shared" si="3"/>
        <v>0</v>
      </c>
      <c r="S11" s="31">
        <f t="shared" si="3"/>
        <v>0</v>
      </c>
      <c r="T11" s="31">
        <f t="shared" si="3"/>
        <v>0</v>
      </c>
      <c r="U11" s="31">
        <f t="shared" si="3"/>
        <v>0</v>
      </c>
      <c r="V11" s="31">
        <f t="shared" si="3"/>
        <v>0</v>
      </c>
      <c r="W11" s="31">
        <f t="shared" si="3"/>
        <v>0</v>
      </c>
      <c r="X11" s="31">
        <f t="shared" si="3"/>
        <v>0</v>
      </c>
      <c r="Y11" s="31">
        <f t="shared" si="3"/>
        <v>0</v>
      </c>
      <c r="Z11" s="31">
        <f t="shared" si="3"/>
        <v>0</v>
      </c>
      <c r="AA11" s="31">
        <f t="shared" si="3"/>
        <v>0</v>
      </c>
      <c r="AB11" s="31">
        <f t="shared" si="3"/>
        <v>0</v>
      </c>
      <c r="AC11" s="31">
        <f t="shared" si="3"/>
        <v>0</v>
      </c>
      <c r="AD11" s="31">
        <f t="shared" si="3"/>
        <v>0</v>
      </c>
      <c r="AE11" s="31">
        <f t="shared" si="3"/>
        <v>0</v>
      </c>
      <c r="AF11" s="31">
        <f t="shared" si="3"/>
        <v>0</v>
      </c>
      <c r="AG11" s="31">
        <f t="shared" si="3"/>
        <v>0</v>
      </c>
      <c r="AH11" s="31">
        <f t="shared" si="3"/>
        <v>0</v>
      </c>
      <c r="AI11" s="31">
        <f t="shared" si="3"/>
        <v>0</v>
      </c>
      <c r="AJ11" s="31">
        <f t="shared" si="3"/>
        <v>0</v>
      </c>
      <c r="AK11" s="31">
        <f t="shared" si="3"/>
        <v>0</v>
      </c>
      <c r="AL11" s="31">
        <f t="shared" si="3"/>
        <v>0</v>
      </c>
      <c r="AM11" s="31">
        <f t="shared" si="3"/>
        <v>0</v>
      </c>
      <c r="AN11" s="31">
        <f t="shared" si="3"/>
        <v>0</v>
      </c>
      <c r="AO11" s="31">
        <f t="shared" si="3"/>
        <v>0</v>
      </c>
      <c r="AP11" s="31">
        <f t="shared" si="3"/>
        <v>0</v>
      </c>
      <c r="AQ11" s="31">
        <f t="shared" si="3"/>
        <v>0</v>
      </c>
      <c r="AR11" s="30">
        <f>SUM(I11:AQ11)</f>
        <v>18745536.584140502</v>
      </c>
      <c r="AS11" s="21">
        <f>AR11-F10</f>
        <v>0</v>
      </c>
    </row>
    <row r="12" spans="1:45">
      <c r="A12" s="2" t="s">
        <v>1</v>
      </c>
      <c r="B12" s="27"/>
      <c r="C12" s="150"/>
      <c r="D12" s="152">
        <v>2790.7740000000003</v>
      </c>
      <c r="E12" s="153">
        <v>6821.3</v>
      </c>
      <c r="F12" s="198">
        <f>(B13*C13+D12*E12)*1.09</f>
        <v>20750010.287958007</v>
      </c>
      <c r="G12" s="220" t="s">
        <v>285</v>
      </c>
      <c r="H12" s="11"/>
      <c r="I12" s="6"/>
      <c r="J12" s="6"/>
      <c r="K12" s="6"/>
      <c r="L12" s="6"/>
      <c r="M12" s="6"/>
      <c r="N12" s="6"/>
      <c r="O12" s="4">
        <v>0.05</v>
      </c>
      <c r="P12" s="4">
        <v>0.05</v>
      </c>
      <c r="Q12" s="4">
        <v>0.05</v>
      </c>
      <c r="R12" s="4">
        <v>0.125</v>
      </c>
      <c r="S12" s="4">
        <v>0.125</v>
      </c>
      <c r="T12" s="4">
        <v>0.2</v>
      </c>
      <c r="U12" s="4">
        <v>0.2</v>
      </c>
      <c r="V12" s="4">
        <v>0.2</v>
      </c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37">
        <f t="shared" si="0"/>
        <v>1</v>
      </c>
    </row>
    <row r="13" spans="1:45" s="22" customFormat="1" ht="15.75" thickBot="1">
      <c r="A13" s="32"/>
      <c r="B13" s="178"/>
      <c r="C13" s="151"/>
      <c r="D13" s="154"/>
      <c r="E13" s="155"/>
      <c r="F13" s="199"/>
      <c r="G13" s="221"/>
      <c r="H13" s="40">
        <f>$F12*H12</f>
        <v>0</v>
      </c>
      <c r="I13" s="31">
        <f t="shared" ref="I13:AQ13" si="4">$F12*I12</f>
        <v>0</v>
      </c>
      <c r="J13" s="31">
        <f t="shared" si="4"/>
        <v>0</v>
      </c>
      <c r="K13" s="31">
        <f t="shared" si="4"/>
        <v>0</v>
      </c>
      <c r="L13" s="31">
        <f t="shared" si="4"/>
        <v>0</v>
      </c>
      <c r="M13" s="31">
        <f t="shared" si="4"/>
        <v>0</v>
      </c>
      <c r="N13" s="31">
        <f t="shared" si="4"/>
        <v>0</v>
      </c>
      <c r="O13" s="31">
        <f t="shared" si="4"/>
        <v>1037500.5143979004</v>
      </c>
      <c r="P13" s="31">
        <f t="shared" si="4"/>
        <v>1037500.5143979004</v>
      </c>
      <c r="Q13" s="31">
        <f t="shared" si="4"/>
        <v>1037500.5143979004</v>
      </c>
      <c r="R13" s="31">
        <f t="shared" si="4"/>
        <v>2593751.2859947509</v>
      </c>
      <c r="S13" s="31">
        <f t="shared" si="4"/>
        <v>2593751.2859947509</v>
      </c>
      <c r="T13" s="31">
        <f t="shared" si="4"/>
        <v>4150002.0575916017</v>
      </c>
      <c r="U13" s="31">
        <f t="shared" si="4"/>
        <v>4150002.0575916017</v>
      </c>
      <c r="V13" s="31">
        <f t="shared" si="4"/>
        <v>4150002.0575916017</v>
      </c>
      <c r="W13" s="31">
        <f t="shared" si="4"/>
        <v>0</v>
      </c>
      <c r="X13" s="31">
        <f t="shared" si="4"/>
        <v>0</v>
      </c>
      <c r="Y13" s="31">
        <f t="shared" si="4"/>
        <v>0</v>
      </c>
      <c r="Z13" s="31">
        <f t="shared" si="4"/>
        <v>0</v>
      </c>
      <c r="AA13" s="31">
        <f t="shared" si="4"/>
        <v>0</v>
      </c>
      <c r="AB13" s="31">
        <f t="shared" si="4"/>
        <v>0</v>
      </c>
      <c r="AC13" s="31">
        <f t="shared" si="4"/>
        <v>0</v>
      </c>
      <c r="AD13" s="31">
        <f t="shared" si="4"/>
        <v>0</v>
      </c>
      <c r="AE13" s="31">
        <f t="shared" si="4"/>
        <v>0</v>
      </c>
      <c r="AF13" s="31">
        <f t="shared" si="4"/>
        <v>0</v>
      </c>
      <c r="AG13" s="31">
        <f t="shared" si="4"/>
        <v>0</v>
      </c>
      <c r="AH13" s="31">
        <f t="shared" si="4"/>
        <v>0</v>
      </c>
      <c r="AI13" s="31">
        <f t="shared" si="4"/>
        <v>0</v>
      </c>
      <c r="AJ13" s="31">
        <f t="shared" si="4"/>
        <v>0</v>
      </c>
      <c r="AK13" s="31">
        <f t="shared" si="4"/>
        <v>0</v>
      </c>
      <c r="AL13" s="31">
        <f t="shared" si="4"/>
        <v>0</v>
      </c>
      <c r="AM13" s="31">
        <f t="shared" si="4"/>
        <v>0</v>
      </c>
      <c r="AN13" s="31">
        <f t="shared" si="4"/>
        <v>0</v>
      </c>
      <c r="AO13" s="31">
        <f t="shared" si="4"/>
        <v>0</v>
      </c>
      <c r="AP13" s="31">
        <f t="shared" si="4"/>
        <v>0</v>
      </c>
      <c r="AQ13" s="31">
        <f t="shared" si="4"/>
        <v>0</v>
      </c>
      <c r="AR13" s="30">
        <f>SUM(I13:AQ13)</f>
        <v>20750010.287958007</v>
      </c>
      <c r="AS13" s="21">
        <f>AR13-F12</f>
        <v>0</v>
      </c>
    </row>
    <row r="14" spans="1:45">
      <c r="A14" s="2"/>
      <c r="B14" s="166">
        <v>687.3</v>
      </c>
      <c r="C14" s="150">
        <v>9074.8799999999992</v>
      </c>
      <c r="D14" s="152"/>
      <c r="E14" s="153"/>
      <c r="F14" s="198">
        <f>(B14*C14+D14*E14)*1.09</f>
        <v>6798509.8761599995</v>
      </c>
      <c r="G14" s="212" t="s">
        <v>14</v>
      </c>
      <c r="H14" s="11"/>
      <c r="I14" s="4">
        <v>0.125</v>
      </c>
      <c r="J14" s="4">
        <v>0.125</v>
      </c>
      <c r="K14" s="4">
        <v>0.125</v>
      </c>
      <c r="L14" s="4">
        <v>0.125</v>
      </c>
      <c r="M14" s="4">
        <v>0.125</v>
      </c>
      <c r="N14" s="4">
        <v>0.125</v>
      </c>
      <c r="O14" s="4">
        <v>0.125</v>
      </c>
      <c r="P14" s="4">
        <v>0.125</v>
      </c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37">
        <f t="shared" si="0"/>
        <v>1</v>
      </c>
    </row>
    <row r="15" spans="1:45" s="22" customFormat="1" ht="15.75" thickBot="1">
      <c r="A15" s="32"/>
      <c r="B15" s="27"/>
      <c r="C15" s="25"/>
      <c r="D15" s="154"/>
      <c r="E15" s="155"/>
      <c r="F15" s="199"/>
      <c r="G15" s="213"/>
      <c r="H15" s="40">
        <f>$F14*H14</f>
        <v>0</v>
      </c>
      <c r="I15" s="31">
        <f t="shared" ref="I15:P15" si="5">$F14*I14</f>
        <v>849813.73451999994</v>
      </c>
      <c r="J15" s="31">
        <f t="shared" si="5"/>
        <v>849813.73451999994</v>
      </c>
      <c r="K15" s="31">
        <f t="shared" si="5"/>
        <v>849813.73451999994</v>
      </c>
      <c r="L15" s="31">
        <f t="shared" si="5"/>
        <v>849813.73451999994</v>
      </c>
      <c r="M15" s="31">
        <f t="shared" si="5"/>
        <v>849813.73451999994</v>
      </c>
      <c r="N15" s="31">
        <f t="shared" si="5"/>
        <v>849813.73451999994</v>
      </c>
      <c r="O15" s="31">
        <f t="shared" si="5"/>
        <v>849813.73451999994</v>
      </c>
      <c r="P15" s="31">
        <f t="shared" si="5"/>
        <v>849813.73451999994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0">
        <f>SUM(I15:AQ15)</f>
        <v>6798509.8761599977</v>
      </c>
      <c r="AS15" s="21">
        <f>AR15-F14</f>
        <v>0</v>
      </c>
    </row>
    <row r="16" spans="1:45">
      <c r="A16" s="2"/>
      <c r="B16" s="27">
        <v>213.33</v>
      </c>
      <c r="C16" s="25">
        <v>6352.42</v>
      </c>
      <c r="D16" s="152"/>
      <c r="E16" s="153"/>
      <c r="F16" s="198">
        <f>(B16*C16+D16*E16)*1.09</f>
        <v>1477126.3168740002</v>
      </c>
      <c r="G16" s="212" t="s">
        <v>13</v>
      </c>
      <c r="H16" s="11"/>
      <c r="I16" s="6"/>
      <c r="J16" s="6"/>
      <c r="K16" s="6"/>
      <c r="L16" s="6"/>
      <c r="M16" s="6"/>
      <c r="N16" s="6"/>
      <c r="O16" s="6"/>
      <c r="P16" s="8"/>
      <c r="Q16" s="8"/>
      <c r="R16" s="8"/>
      <c r="S16" s="8"/>
      <c r="T16" s="7">
        <v>0.3</v>
      </c>
      <c r="U16" s="7">
        <v>0.35</v>
      </c>
      <c r="V16" s="7">
        <v>0.35</v>
      </c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37">
        <f t="shared" si="0"/>
        <v>0.99999999999999989</v>
      </c>
    </row>
    <row r="17" spans="1:45" s="22" customFormat="1" ht="15.75" thickBot="1">
      <c r="A17" s="32"/>
      <c r="B17" s="27"/>
      <c r="C17" s="25"/>
      <c r="D17" s="154"/>
      <c r="E17" s="155"/>
      <c r="F17" s="199"/>
      <c r="G17" s="213"/>
      <c r="H17" s="40">
        <f>$F16*H16</f>
        <v>0</v>
      </c>
      <c r="I17" s="31"/>
      <c r="J17" s="31"/>
      <c r="K17" s="31"/>
      <c r="L17" s="31"/>
      <c r="M17" s="31"/>
      <c r="N17" s="31"/>
      <c r="O17" s="31"/>
      <c r="P17" s="33"/>
      <c r="Q17" s="36"/>
      <c r="R17" s="36"/>
      <c r="S17" s="36"/>
      <c r="T17" s="31">
        <f>$F16*T16</f>
        <v>443137.89506220008</v>
      </c>
      <c r="U17" s="31">
        <f>$F16*U16</f>
        <v>516994.21090590005</v>
      </c>
      <c r="V17" s="31">
        <f>$F16*V16</f>
        <v>516994.21090590005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0">
        <f>SUM(I17:AQ17)</f>
        <v>1477126.3168740002</v>
      </c>
      <c r="AS17" s="21">
        <f>AR17-F16</f>
        <v>0</v>
      </c>
    </row>
    <row r="18" spans="1:45">
      <c r="A18" s="2"/>
      <c r="B18" s="27">
        <v>80</v>
      </c>
      <c r="C18" s="25">
        <v>6352.42</v>
      </c>
      <c r="D18" s="152"/>
      <c r="E18" s="153"/>
      <c r="F18" s="198">
        <f>(B18*C18+D18*E18)*1.09</f>
        <v>553931.02399999998</v>
      </c>
      <c r="G18" s="212" t="s">
        <v>11</v>
      </c>
      <c r="H18" s="11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7">
        <v>0.125</v>
      </c>
      <c r="U18" s="7">
        <v>0.125</v>
      </c>
      <c r="V18" s="7">
        <v>0.125</v>
      </c>
      <c r="W18" s="7">
        <v>0.125</v>
      </c>
      <c r="X18" s="7">
        <v>0.125</v>
      </c>
      <c r="Y18" s="7">
        <v>0.125</v>
      </c>
      <c r="Z18" s="7">
        <v>0.125</v>
      </c>
      <c r="AA18" s="7">
        <v>0.125</v>
      </c>
      <c r="AB18" s="8"/>
      <c r="AC18" s="8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37">
        <f t="shared" si="0"/>
        <v>1</v>
      </c>
    </row>
    <row r="19" spans="1:45" s="22" customFormat="1" ht="15.75" thickBot="1">
      <c r="A19" s="42"/>
      <c r="B19" s="28"/>
      <c r="C19" s="25"/>
      <c r="D19" s="156"/>
      <c r="E19" s="157"/>
      <c r="F19" s="199"/>
      <c r="G19" s="213"/>
      <c r="H19" s="40">
        <f>$F18*H18</f>
        <v>0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>
        <f t="shared" ref="T19:AD19" si="6">$F18*T18</f>
        <v>69241.377999999997</v>
      </c>
      <c r="U19" s="31">
        <f t="shared" si="6"/>
        <v>69241.377999999997</v>
      </c>
      <c r="V19" s="31">
        <f t="shared" si="6"/>
        <v>69241.377999999997</v>
      </c>
      <c r="W19" s="31">
        <f t="shared" si="6"/>
        <v>69241.377999999997</v>
      </c>
      <c r="X19" s="31">
        <f t="shared" si="6"/>
        <v>69241.377999999997</v>
      </c>
      <c r="Y19" s="31">
        <f t="shared" si="6"/>
        <v>69241.377999999997</v>
      </c>
      <c r="Z19" s="31">
        <f t="shared" si="6"/>
        <v>69241.377999999997</v>
      </c>
      <c r="AA19" s="31">
        <f t="shared" si="6"/>
        <v>69241.377999999997</v>
      </c>
      <c r="AB19" s="31">
        <f t="shared" si="6"/>
        <v>0</v>
      </c>
      <c r="AC19" s="31">
        <f t="shared" si="6"/>
        <v>0</v>
      </c>
      <c r="AD19" s="31">
        <f t="shared" si="6"/>
        <v>0</v>
      </c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0">
        <f>SUM(I19:AQ19)</f>
        <v>553931.02400000009</v>
      </c>
      <c r="AS19" s="21">
        <f>AR19-F18</f>
        <v>0</v>
      </c>
    </row>
    <row r="20" spans="1:45">
      <c r="A20" s="1"/>
      <c r="B20" s="18"/>
      <c r="C20" s="26"/>
      <c r="D20" s="158">
        <v>183.21</v>
      </c>
      <c r="E20" s="159">
        <v>4774.91</v>
      </c>
      <c r="F20" s="198">
        <f>(B20*C20+D20*E20)*1.09</f>
        <v>953544.27459900011</v>
      </c>
      <c r="G20" s="212" t="s">
        <v>12</v>
      </c>
      <c r="H20" s="11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7">
        <v>0.3</v>
      </c>
      <c r="AC20" s="7">
        <v>0.35</v>
      </c>
      <c r="AD20" s="7">
        <v>0.35</v>
      </c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37">
        <f t="shared" si="0"/>
        <v>0.99999999999999989</v>
      </c>
    </row>
    <row r="21" spans="1:45" s="22" customFormat="1" ht="15.75" thickBot="1">
      <c r="A21" s="32"/>
      <c r="B21" s="27"/>
      <c r="C21" s="25"/>
      <c r="D21" s="154"/>
      <c r="E21" s="155"/>
      <c r="F21" s="199"/>
      <c r="G21" s="213"/>
      <c r="H21" s="40">
        <f>$F20*H20</f>
        <v>0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>
        <f>$F20*AB20</f>
        <v>286063.28237970005</v>
      </c>
      <c r="AC21" s="31">
        <f>$F20*AC20</f>
        <v>333740.49610965</v>
      </c>
      <c r="AD21" s="31">
        <f>$F20*AD20</f>
        <v>333740.49610965</v>
      </c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0">
        <f>SUM(I21:AQ21)</f>
        <v>953544.27459900011</v>
      </c>
      <c r="AS21" s="21">
        <f>AR21-F20</f>
        <v>0</v>
      </c>
    </row>
    <row r="22" spans="1:45">
      <c r="A22" s="2"/>
      <c r="B22" s="19"/>
      <c r="C22" s="23"/>
      <c r="D22" s="152">
        <v>2963.49</v>
      </c>
      <c r="E22" s="153">
        <v>6821.3</v>
      </c>
      <c r="F22" s="198">
        <f>(B22*C22+D22*E22)*1.09</f>
        <v>22034191.227329999</v>
      </c>
      <c r="G22" s="220" t="s">
        <v>288</v>
      </c>
      <c r="H22" s="11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7">
        <v>0.1</v>
      </c>
      <c r="X22" s="7">
        <v>0.1</v>
      </c>
      <c r="Y22" s="7">
        <v>0.15</v>
      </c>
      <c r="Z22" s="7">
        <v>0.15</v>
      </c>
      <c r="AA22" s="7">
        <v>0.15</v>
      </c>
      <c r="AB22" s="7">
        <v>0.15</v>
      </c>
      <c r="AC22" s="7">
        <v>0.1</v>
      </c>
      <c r="AD22" s="7">
        <v>0.1</v>
      </c>
      <c r="AE22" s="8"/>
      <c r="AF22" s="8"/>
      <c r="AG22" s="8"/>
      <c r="AH22" s="8"/>
      <c r="AI22" s="6"/>
      <c r="AJ22" s="6"/>
      <c r="AK22" s="6"/>
      <c r="AL22" s="6"/>
      <c r="AM22" s="6"/>
      <c r="AN22" s="6"/>
      <c r="AO22" s="6"/>
      <c r="AP22" s="6"/>
      <c r="AQ22" s="6"/>
      <c r="AR22" s="37">
        <f t="shared" si="0"/>
        <v>1</v>
      </c>
    </row>
    <row r="23" spans="1:45" s="22" customFormat="1" ht="15.75" thickBot="1">
      <c r="A23" s="32"/>
      <c r="B23" s="27"/>
      <c r="C23" s="25"/>
      <c r="D23" s="154"/>
      <c r="E23" s="155"/>
      <c r="F23" s="199"/>
      <c r="G23" s="221"/>
      <c r="H23" s="40">
        <f>$F22*H22</f>
        <v>0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>
        <f t="shared" ref="W23:AJ23" si="7">$F22*W22</f>
        <v>2203419.1227330002</v>
      </c>
      <c r="X23" s="31">
        <f t="shared" si="7"/>
        <v>2203419.1227330002</v>
      </c>
      <c r="Y23" s="31">
        <f t="shared" si="7"/>
        <v>3305128.6840994996</v>
      </c>
      <c r="Z23" s="31">
        <f t="shared" si="7"/>
        <v>3305128.6840994996</v>
      </c>
      <c r="AA23" s="31">
        <f t="shared" si="7"/>
        <v>3305128.6840994996</v>
      </c>
      <c r="AB23" s="31">
        <f t="shared" si="7"/>
        <v>3305128.6840994996</v>
      </c>
      <c r="AC23" s="31">
        <f t="shared" si="7"/>
        <v>2203419.1227330002</v>
      </c>
      <c r="AD23" s="31">
        <f t="shared" si="7"/>
        <v>2203419.1227330002</v>
      </c>
      <c r="AE23" s="36"/>
      <c r="AF23" s="36"/>
      <c r="AG23" s="36"/>
      <c r="AH23" s="36"/>
      <c r="AI23" s="31">
        <f t="shared" si="7"/>
        <v>0</v>
      </c>
      <c r="AJ23" s="31">
        <f t="shared" si="7"/>
        <v>0</v>
      </c>
      <c r="AK23" s="31"/>
      <c r="AL23" s="31"/>
      <c r="AM23" s="31"/>
      <c r="AN23" s="31"/>
      <c r="AO23" s="31"/>
      <c r="AP23" s="31"/>
      <c r="AQ23" s="31"/>
      <c r="AR23" s="30">
        <f>SUM(I23:AQ23)</f>
        <v>22034191.227329999</v>
      </c>
      <c r="AS23" s="21">
        <f>AR23-F22</f>
        <v>0</v>
      </c>
    </row>
    <row r="24" spans="1:45">
      <c r="A24" s="2"/>
      <c r="B24" s="166"/>
      <c r="C24" s="23"/>
      <c r="D24" s="152">
        <f>1073.38+430.68</f>
        <v>1504.0600000000002</v>
      </c>
      <c r="E24" s="153">
        <v>6821.3</v>
      </c>
      <c r="F24" s="198">
        <f>(B24*C24+D24*E24)*1.09</f>
        <v>11183012.481020004</v>
      </c>
      <c r="G24" s="220" t="s">
        <v>286</v>
      </c>
      <c r="H24" s="1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8"/>
      <c r="AA24" s="8"/>
      <c r="AB24" s="8"/>
      <c r="AC24" s="8"/>
      <c r="AD24" s="7">
        <v>0.05</v>
      </c>
      <c r="AE24" s="7">
        <v>0.125</v>
      </c>
      <c r="AF24" s="7">
        <v>0.125</v>
      </c>
      <c r="AG24" s="7">
        <v>0.2</v>
      </c>
      <c r="AH24" s="7">
        <v>0.2</v>
      </c>
      <c r="AI24" s="7">
        <v>0.125</v>
      </c>
      <c r="AJ24" s="7">
        <v>0.125</v>
      </c>
      <c r="AK24" s="7">
        <v>0.05</v>
      </c>
      <c r="AL24" s="8"/>
      <c r="AM24" s="6"/>
      <c r="AN24" s="6"/>
      <c r="AO24" s="6"/>
      <c r="AP24" s="6"/>
      <c r="AQ24" s="6"/>
      <c r="AR24" s="37">
        <f t="shared" si="0"/>
        <v>1</v>
      </c>
    </row>
    <row r="25" spans="1:45" s="22" customFormat="1" ht="15.75" thickBot="1">
      <c r="A25" s="32"/>
      <c r="B25" s="27"/>
      <c r="C25" s="25"/>
      <c r="D25" s="154"/>
      <c r="E25" s="155"/>
      <c r="F25" s="199"/>
      <c r="G25" s="221"/>
      <c r="H25" s="40">
        <f>$F24*H24</f>
        <v>0</v>
      </c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6"/>
      <c r="AA25" s="36"/>
      <c r="AB25" s="36"/>
      <c r="AC25" s="36"/>
      <c r="AD25" s="31">
        <f t="shared" ref="AD25:AJ25" si="8">$F24*AD24</f>
        <v>559150.62405100022</v>
      </c>
      <c r="AE25" s="31">
        <f t="shared" si="8"/>
        <v>1397876.5601275004</v>
      </c>
      <c r="AF25" s="31">
        <f t="shared" si="8"/>
        <v>1397876.5601275004</v>
      </c>
      <c r="AG25" s="31">
        <f t="shared" si="8"/>
        <v>2236602.4962040009</v>
      </c>
      <c r="AH25" s="31">
        <f t="shared" si="8"/>
        <v>2236602.4962040009</v>
      </c>
      <c r="AI25" s="31">
        <f t="shared" si="8"/>
        <v>1397876.5601275004</v>
      </c>
      <c r="AJ25" s="31">
        <f t="shared" si="8"/>
        <v>1397876.5601275004</v>
      </c>
      <c r="AK25" s="31">
        <f t="shared" ref="AK25" si="9">$F24*AK24</f>
        <v>559150.62405100022</v>
      </c>
      <c r="AL25" s="31">
        <f t="shared" ref="AL25:AN25" si="10">$F24*AL24</f>
        <v>0</v>
      </c>
      <c r="AM25" s="31">
        <f t="shared" si="10"/>
        <v>0</v>
      </c>
      <c r="AN25" s="31">
        <f t="shared" si="10"/>
        <v>0</v>
      </c>
      <c r="AO25" s="31"/>
      <c r="AP25" s="31"/>
      <c r="AQ25" s="31"/>
      <c r="AR25" s="30">
        <f>SUM(I25:AQ25)</f>
        <v>11183012.481020004</v>
      </c>
      <c r="AS25" s="21">
        <f>AR25-F24</f>
        <v>0</v>
      </c>
    </row>
    <row r="26" spans="1:45">
      <c r="A26" s="2" t="s">
        <v>2</v>
      </c>
      <c r="B26" s="19"/>
      <c r="C26" s="23"/>
      <c r="D26" s="152">
        <f>334.18+41.84</f>
        <v>376.02</v>
      </c>
      <c r="E26" s="153">
        <v>6821.3</v>
      </c>
      <c r="F26" s="198">
        <f>(B26*C26+D26*E26)*1.09</f>
        <v>2795790.2963399999</v>
      </c>
      <c r="G26" s="220" t="s">
        <v>281</v>
      </c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7">
        <v>0.25</v>
      </c>
      <c r="AH26" s="7">
        <v>0.25</v>
      </c>
      <c r="AI26" s="7">
        <v>0.25</v>
      </c>
      <c r="AJ26" s="7">
        <v>0.25</v>
      </c>
      <c r="AK26" s="6"/>
      <c r="AL26" s="6"/>
      <c r="AM26" s="6"/>
      <c r="AN26" s="6"/>
      <c r="AO26" s="6"/>
      <c r="AP26" s="6"/>
      <c r="AQ26" s="6"/>
      <c r="AR26" s="37">
        <f t="shared" si="0"/>
        <v>1</v>
      </c>
    </row>
    <row r="27" spans="1:45" s="22" customFormat="1" ht="15.75" thickBot="1">
      <c r="A27" s="32"/>
      <c r="B27" s="27"/>
      <c r="C27" s="25"/>
      <c r="D27" s="154"/>
      <c r="E27" s="155"/>
      <c r="F27" s="199"/>
      <c r="G27" s="221"/>
      <c r="H27" s="40">
        <f>$F26*H26</f>
        <v>0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>
        <f>$F26*AG26</f>
        <v>698947.57408499997</v>
      </c>
      <c r="AH27" s="31">
        <f>$F26*AH26</f>
        <v>698947.57408499997</v>
      </c>
      <c r="AI27" s="31">
        <f>$F26*AI26</f>
        <v>698947.57408499997</v>
      </c>
      <c r="AJ27" s="31">
        <f>$F26*AJ26</f>
        <v>698947.57408499997</v>
      </c>
      <c r="AK27" s="31">
        <f>$F26*AK26</f>
        <v>0</v>
      </c>
      <c r="AL27" s="31"/>
      <c r="AM27" s="31"/>
      <c r="AN27" s="31"/>
      <c r="AO27" s="31"/>
      <c r="AP27" s="31"/>
      <c r="AQ27" s="31"/>
      <c r="AR27" s="30">
        <f>SUM(I27:AQ27)</f>
        <v>2795790.2963399999</v>
      </c>
      <c r="AS27" s="21">
        <f>AR27-F26</f>
        <v>0</v>
      </c>
    </row>
    <row r="28" spans="1:45" ht="20.100000000000001" customHeight="1">
      <c r="A28" s="2"/>
      <c r="B28" s="19"/>
      <c r="C28" s="23"/>
      <c r="D28" s="152">
        <v>940.04</v>
      </c>
      <c r="E28" s="153">
        <v>6821.3</v>
      </c>
      <c r="F28" s="198">
        <f>(B28*C28+D28*E28)*1.09</f>
        <v>6989401.3886800008</v>
      </c>
      <c r="G28" s="220" t="s">
        <v>282</v>
      </c>
      <c r="H28" s="11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7">
        <v>0.25</v>
      </c>
      <c r="AH28" s="7">
        <v>0.25</v>
      </c>
      <c r="AI28" s="7">
        <v>0.25</v>
      </c>
      <c r="AJ28" s="7">
        <v>0.25</v>
      </c>
      <c r="AK28" s="6"/>
      <c r="AL28" s="6"/>
      <c r="AM28" s="6"/>
      <c r="AN28" s="6"/>
      <c r="AO28" s="6"/>
      <c r="AP28" s="6"/>
      <c r="AQ28" s="6"/>
      <c r="AR28" s="37">
        <f t="shared" si="0"/>
        <v>1</v>
      </c>
    </row>
    <row r="29" spans="1:45" s="22" customFormat="1" ht="18.600000000000001" customHeight="1" thickBot="1">
      <c r="A29" s="32"/>
      <c r="B29" s="27"/>
      <c r="C29" s="25"/>
      <c r="D29" s="154"/>
      <c r="E29" s="155"/>
      <c r="F29" s="199"/>
      <c r="G29" s="221"/>
      <c r="H29" s="40">
        <f>$F28*H28</f>
        <v>0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>
        <f>$F28*AG28</f>
        <v>1747350.3471700002</v>
      </c>
      <c r="AH29" s="31">
        <f>$F28*AH28</f>
        <v>1747350.3471700002</v>
      </c>
      <c r="AI29" s="31">
        <f>$F28*AI28</f>
        <v>1747350.3471700002</v>
      </c>
      <c r="AJ29" s="31">
        <f>$F28*AJ28</f>
        <v>1747350.3471700002</v>
      </c>
      <c r="AK29" s="31">
        <f>$F28*AK28</f>
        <v>0</v>
      </c>
      <c r="AL29" s="31"/>
      <c r="AM29" s="31"/>
      <c r="AN29" s="31"/>
      <c r="AO29" s="31"/>
      <c r="AP29" s="31"/>
      <c r="AQ29" s="31"/>
      <c r="AR29" s="30">
        <f>SUM(I29:AQ29)</f>
        <v>6989401.3886800008</v>
      </c>
      <c r="AS29" s="21">
        <f>AR29-F28</f>
        <v>0</v>
      </c>
    </row>
    <row r="30" spans="1:45">
      <c r="A30" s="2"/>
      <c r="B30" s="170">
        <v>290.39999999999998</v>
      </c>
      <c r="C30" s="181">
        <v>9074.8799999999992</v>
      </c>
      <c r="D30" s="152">
        <v>4102.82</v>
      </c>
      <c r="E30" s="153">
        <v>5803.2049999999999</v>
      </c>
      <c r="F30" s="198">
        <f>(B30*C30+D30*E30)*1.09</f>
        <v>28824887.252208997</v>
      </c>
      <c r="G30" s="220" t="s">
        <v>289</v>
      </c>
      <c r="H30" s="11"/>
      <c r="I30" s="6"/>
      <c r="J30" s="6"/>
      <c r="K30" s="12" t="s">
        <v>10</v>
      </c>
      <c r="L30" s="12"/>
      <c r="M30" s="12"/>
      <c r="N30" s="12"/>
      <c r="O30" s="12"/>
      <c r="P30" s="13"/>
      <c r="Q30" s="13"/>
      <c r="R30" s="13"/>
      <c r="S30" s="13"/>
      <c r="T30" s="13"/>
      <c r="U30" s="13"/>
      <c r="V30" s="12"/>
      <c r="W30" s="8"/>
      <c r="X30" s="8"/>
      <c r="Y30" s="8"/>
      <c r="Z30" s="8"/>
      <c r="AA30" s="8"/>
      <c r="AB30" s="8"/>
      <c r="AC30" s="5"/>
      <c r="AD30" s="7">
        <v>0.05</v>
      </c>
      <c r="AE30" s="7">
        <v>0.05</v>
      </c>
      <c r="AF30" s="7">
        <v>0.25</v>
      </c>
      <c r="AG30" s="7">
        <v>0.25</v>
      </c>
      <c r="AH30" s="7">
        <v>0.25</v>
      </c>
      <c r="AI30" s="7">
        <v>0.15</v>
      </c>
      <c r="AJ30" s="6"/>
      <c r="AK30" s="6"/>
      <c r="AL30" s="6"/>
      <c r="AM30" s="6"/>
      <c r="AN30" s="6"/>
      <c r="AO30" s="6"/>
      <c r="AP30" s="6"/>
      <c r="AQ30" s="6"/>
      <c r="AR30" s="37">
        <f t="shared" si="0"/>
        <v>1</v>
      </c>
    </row>
    <row r="31" spans="1:45" s="22" customFormat="1" ht="15.75" thickBot="1">
      <c r="A31" s="32"/>
      <c r="B31" s="27"/>
      <c r="C31" s="25"/>
      <c r="D31" s="154"/>
      <c r="E31" s="155"/>
      <c r="F31" s="199"/>
      <c r="G31" s="221"/>
      <c r="H31" s="40">
        <f>$F30*H30</f>
        <v>0</v>
      </c>
      <c r="I31" s="31"/>
      <c r="J31" s="31"/>
      <c r="K31" s="34"/>
      <c r="L31" s="34"/>
      <c r="M31" s="34"/>
      <c r="N31" s="34"/>
      <c r="O31" s="34"/>
      <c r="P31" s="35"/>
      <c r="Q31" s="35"/>
      <c r="R31" s="35"/>
      <c r="S31" s="35"/>
      <c r="T31" s="35"/>
      <c r="U31" s="35"/>
      <c r="V31" s="34"/>
      <c r="W31" s="33"/>
      <c r="X31" s="33"/>
      <c r="Y31" s="33"/>
      <c r="Z31" s="33"/>
      <c r="AA31" s="33"/>
      <c r="AB31" s="33"/>
      <c r="AC31" s="36"/>
      <c r="AD31" s="31">
        <f t="shared" ref="AD31:AJ31" si="11">$F30*AD30</f>
        <v>1441244.36261045</v>
      </c>
      <c r="AE31" s="31">
        <f t="shared" si="11"/>
        <v>1441244.36261045</v>
      </c>
      <c r="AF31" s="31">
        <f t="shared" si="11"/>
        <v>7206221.8130522491</v>
      </c>
      <c r="AG31" s="31">
        <f t="shared" si="11"/>
        <v>7206221.8130522491</v>
      </c>
      <c r="AH31" s="31">
        <f t="shared" si="11"/>
        <v>7206221.8130522491</v>
      </c>
      <c r="AI31" s="31">
        <f t="shared" si="11"/>
        <v>4323733.0878313491</v>
      </c>
      <c r="AJ31" s="31">
        <f t="shared" si="11"/>
        <v>0</v>
      </c>
      <c r="AK31" s="31"/>
      <c r="AL31" s="31"/>
      <c r="AM31" s="31"/>
      <c r="AN31" s="31"/>
      <c r="AO31" s="31"/>
      <c r="AP31" s="31"/>
      <c r="AQ31" s="31"/>
      <c r="AR31" s="30">
        <f>SUM(I31:AQ31)</f>
        <v>28824887.252208993</v>
      </c>
      <c r="AS31" s="21">
        <f>AR31-F30</f>
        <v>0</v>
      </c>
    </row>
    <row r="32" spans="1:45">
      <c r="A32" s="2"/>
      <c r="B32" s="170">
        <v>8822.3799999999992</v>
      </c>
      <c r="C32" s="25">
        <v>6352.42</v>
      </c>
      <c r="D32" s="152"/>
      <c r="E32" s="153"/>
      <c r="F32" s="198">
        <f>(B32*C32+D32*E32)*1.09</f>
        <v>61087374.843964003</v>
      </c>
      <c r="G32" s="212" t="s">
        <v>9</v>
      </c>
      <c r="H32" s="11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196">
        <v>4.7736831445023956E-2</v>
      </c>
      <c r="Z32" s="196">
        <v>4.7736831445023956E-2</v>
      </c>
      <c r="AA32" s="196">
        <v>9.7736831445023958E-2</v>
      </c>
      <c r="AB32" s="196">
        <v>0.1</v>
      </c>
      <c r="AC32" s="196">
        <v>0.1</v>
      </c>
      <c r="AD32" s="196">
        <v>0.1</v>
      </c>
      <c r="AE32" s="196">
        <v>0.1</v>
      </c>
      <c r="AF32" s="196">
        <v>0.1</v>
      </c>
      <c r="AG32" s="196">
        <v>0.1</v>
      </c>
      <c r="AH32" s="196">
        <v>0.1</v>
      </c>
      <c r="AI32" s="196">
        <v>5.6789505664928241E-2</v>
      </c>
      <c r="AJ32" s="196">
        <v>0.05</v>
      </c>
      <c r="AK32" s="6"/>
      <c r="AL32" s="6"/>
      <c r="AM32" s="6"/>
      <c r="AN32" s="6"/>
      <c r="AO32" s="6"/>
      <c r="AP32" s="6"/>
      <c r="AQ32" s="6"/>
      <c r="AR32" s="37">
        <f t="shared" si="0"/>
        <v>1</v>
      </c>
    </row>
    <row r="33" spans="1:45" s="22" customFormat="1" ht="15.75" thickBot="1">
      <c r="A33" s="42"/>
      <c r="B33" s="28"/>
      <c r="C33" s="25"/>
      <c r="D33" s="156"/>
      <c r="E33" s="160"/>
      <c r="F33" s="199"/>
      <c r="G33" s="213"/>
      <c r="H33" s="40">
        <f>$F32*H32</f>
        <v>0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>
        <f t="shared" ref="Y33:AJ33" si="12">$F32*Y32</f>
        <v>2916117.716345306</v>
      </c>
      <c r="Z33" s="31">
        <f t="shared" si="12"/>
        <v>2916117.716345306</v>
      </c>
      <c r="AA33" s="31">
        <f t="shared" si="12"/>
        <v>5970486.4585435065</v>
      </c>
      <c r="AB33" s="31">
        <f t="shared" si="12"/>
        <v>6108737.4843964009</v>
      </c>
      <c r="AC33" s="31">
        <f t="shared" si="12"/>
        <v>6108737.4843964009</v>
      </c>
      <c r="AD33" s="31">
        <f t="shared" si="12"/>
        <v>6108737.4843964009</v>
      </c>
      <c r="AE33" s="31">
        <f t="shared" si="12"/>
        <v>6108737.4843964009</v>
      </c>
      <c r="AF33" s="31">
        <f t="shared" si="12"/>
        <v>6108737.4843964009</v>
      </c>
      <c r="AG33" s="31">
        <f t="shared" si="12"/>
        <v>6108737.4843964009</v>
      </c>
      <c r="AH33" s="31">
        <f t="shared" si="12"/>
        <v>6108737.4843964009</v>
      </c>
      <c r="AI33" s="31">
        <f t="shared" si="12"/>
        <v>3469121.8197568888</v>
      </c>
      <c r="AJ33" s="31">
        <f t="shared" si="12"/>
        <v>3054368.7421982004</v>
      </c>
      <c r="AK33" s="31"/>
      <c r="AL33" s="31"/>
      <c r="AM33" s="31"/>
      <c r="AN33" s="31"/>
      <c r="AO33" s="31"/>
      <c r="AP33" s="31"/>
      <c r="AQ33" s="31"/>
      <c r="AR33" s="30">
        <f>SUM(I33:AQ33)</f>
        <v>61087374.843964003</v>
      </c>
      <c r="AS33" s="21">
        <f>AR33-F32</f>
        <v>0</v>
      </c>
    </row>
    <row r="34" spans="1:45">
      <c r="A34" s="200" t="s">
        <v>3</v>
      </c>
      <c r="B34" s="169"/>
      <c r="C34" s="172"/>
      <c r="D34" s="159">
        <f>2*1707.27</f>
        <v>3414.54</v>
      </c>
      <c r="E34" s="159">
        <v>5803.2049999999999</v>
      </c>
      <c r="F34" s="198">
        <f>(B34*C34+D34*E34)*1.09</f>
        <v>21598650.404762998</v>
      </c>
      <c r="G34" s="222" t="s">
        <v>290</v>
      </c>
      <c r="H34" s="11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8"/>
      <c r="AD34" s="8"/>
      <c r="AE34" s="8"/>
      <c r="AF34" s="8"/>
      <c r="AG34" s="8"/>
      <c r="AH34" s="8"/>
      <c r="AI34" s="6"/>
      <c r="AJ34" s="7">
        <v>0.15</v>
      </c>
      <c r="AK34" s="7">
        <v>0.15</v>
      </c>
      <c r="AL34" s="7">
        <v>0.2</v>
      </c>
      <c r="AM34" s="7">
        <v>0.2</v>
      </c>
      <c r="AN34" s="7">
        <v>0.15</v>
      </c>
      <c r="AO34" s="7">
        <v>0.15</v>
      </c>
      <c r="AP34" s="6"/>
      <c r="AQ34" s="6"/>
      <c r="AR34" s="37">
        <f t="shared" si="0"/>
        <v>1</v>
      </c>
    </row>
    <row r="35" spans="1:45" s="22" customFormat="1" ht="15.75" thickBot="1">
      <c r="A35" s="201"/>
      <c r="B35" s="170"/>
      <c r="C35" s="173"/>
      <c r="D35" s="155"/>
      <c r="E35" s="155"/>
      <c r="F35" s="199"/>
      <c r="G35" s="223"/>
      <c r="H35" s="40">
        <f>$F34*H34</f>
        <v>0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3"/>
      <c r="AD35" s="33"/>
      <c r="AE35" s="33"/>
      <c r="AF35" s="33"/>
      <c r="AG35" s="33"/>
      <c r="AH35" s="33"/>
      <c r="AI35" s="31">
        <f t="shared" ref="AI35:AP35" si="13">$F34*AI34</f>
        <v>0</v>
      </c>
      <c r="AJ35" s="31">
        <f t="shared" si="13"/>
        <v>3239797.5607144497</v>
      </c>
      <c r="AK35" s="31">
        <f t="shared" si="13"/>
        <v>3239797.5607144497</v>
      </c>
      <c r="AL35" s="31">
        <f t="shared" si="13"/>
        <v>4319730.0809525996</v>
      </c>
      <c r="AM35" s="31">
        <f t="shared" si="13"/>
        <v>4319730.0809525996</v>
      </c>
      <c r="AN35" s="31">
        <f t="shared" si="13"/>
        <v>3239797.5607144497</v>
      </c>
      <c r="AO35" s="31">
        <f t="shared" si="13"/>
        <v>3239797.5607144497</v>
      </c>
      <c r="AP35" s="31">
        <f t="shared" si="13"/>
        <v>0</v>
      </c>
      <c r="AQ35" s="31"/>
      <c r="AR35" s="30">
        <f>SUM(I35:AQ35)</f>
        <v>21598650.404762998</v>
      </c>
      <c r="AS35" s="21">
        <f>AR35-F34</f>
        <v>0</v>
      </c>
    </row>
    <row r="36" spans="1:45">
      <c r="A36" s="201"/>
      <c r="B36" s="170"/>
      <c r="C36" s="173"/>
      <c r="D36" s="153">
        <v>6869.63</v>
      </c>
      <c r="E36" s="153">
        <v>6821.3</v>
      </c>
      <c r="F36" s="198">
        <f>(D37*E37+D36*E36)*1.09</f>
        <v>56693658.648899511</v>
      </c>
      <c r="G36" s="227" t="s">
        <v>4</v>
      </c>
      <c r="H36" s="11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7">
        <v>0.125</v>
      </c>
      <c r="AK36" s="7">
        <v>0.125</v>
      </c>
      <c r="AL36" s="7">
        <v>0.125</v>
      </c>
      <c r="AM36" s="7">
        <v>0.125</v>
      </c>
      <c r="AN36" s="7">
        <v>0.125</v>
      </c>
      <c r="AO36" s="7">
        <v>0.125</v>
      </c>
      <c r="AP36" s="7">
        <v>0.125</v>
      </c>
      <c r="AQ36" s="7">
        <v>0.125</v>
      </c>
      <c r="AR36" s="37">
        <f t="shared" si="0"/>
        <v>1</v>
      </c>
    </row>
    <row r="37" spans="1:45" s="22" customFormat="1" ht="17.45" customHeight="1" thickBot="1">
      <c r="A37" s="201"/>
      <c r="B37" s="170"/>
      <c r="C37" s="173"/>
      <c r="D37" s="155">
        <v>887.91</v>
      </c>
      <c r="E37" s="153">
        <v>5803.2049999999999</v>
      </c>
      <c r="F37" s="199"/>
      <c r="G37" s="228"/>
      <c r="H37" s="40">
        <f>$F36*H36</f>
        <v>0</v>
      </c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>
        <f t="shared" ref="AI37:AQ37" si="14">$F36*AI36</f>
        <v>0</v>
      </c>
      <c r="AJ37" s="31">
        <f t="shared" si="14"/>
        <v>7086707.3311124388</v>
      </c>
      <c r="AK37" s="31">
        <f t="shared" si="14"/>
        <v>7086707.3311124388</v>
      </c>
      <c r="AL37" s="31">
        <f t="shared" si="14"/>
        <v>7086707.3311124388</v>
      </c>
      <c r="AM37" s="31">
        <f t="shared" si="14"/>
        <v>7086707.3311124388</v>
      </c>
      <c r="AN37" s="31">
        <f t="shared" si="14"/>
        <v>7086707.3311124388</v>
      </c>
      <c r="AO37" s="31">
        <f t="shared" si="14"/>
        <v>7086707.3311124388</v>
      </c>
      <c r="AP37" s="31">
        <f t="shared" si="14"/>
        <v>7086707.3311124388</v>
      </c>
      <c r="AQ37" s="31">
        <f t="shared" si="14"/>
        <v>7086707.3311124388</v>
      </c>
      <c r="AR37" s="30">
        <f>SUM(I37:AQ37)</f>
        <v>56693658.648899503</v>
      </c>
      <c r="AS37" s="21">
        <f>AR37-F36</f>
        <v>0</v>
      </c>
    </row>
    <row r="38" spans="1:45" ht="24.95" customHeight="1">
      <c r="A38" s="201"/>
      <c r="B38" s="170"/>
      <c r="C38" s="173"/>
      <c r="D38" s="153">
        <f>543.66+218.5+166.86+66.71+245.72+268.51+60.86+1249.3</f>
        <v>2820.12</v>
      </c>
      <c r="E38" s="153">
        <v>6821.3</v>
      </c>
      <c r="F38" s="198">
        <f>(B38*C38+D38*E38)*1.09</f>
        <v>20968204.16604</v>
      </c>
      <c r="G38" s="220" t="s">
        <v>284</v>
      </c>
      <c r="H38" s="11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7">
        <v>0.25</v>
      </c>
      <c r="AL38" s="7">
        <v>0.25</v>
      </c>
      <c r="AM38" s="7">
        <v>0.25</v>
      </c>
      <c r="AN38" s="7">
        <v>0.25</v>
      </c>
      <c r="AO38" s="6"/>
      <c r="AP38" s="6"/>
      <c r="AQ38" s="6"/>
      <c r="AR38" s="37">
        <f t="shared" si="0"/>
        <v>1</v>
      </c>
    </row>
    <row r="39" spans="1:45" s="22" customFormat="1" ht="30.95" customHeight="1" thickBot="1">
      <c r="A39" s="201"/>
      <c r="B39" s="170"/>
      <c r="C39" s="173"/>
      <c r="D39" s="155"/>
      <c r="E39" s="155"/>
      <c r="F39" s="199"/>
      <c r="G39" s="221"/>
      <c r="H39" s="40">
        <f>$F38*H38</f>
        <v>0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>
        <f t="shared" ref="AJ39:AO39" si="15">$F38*AJ38</f>
        <v>0</v>
      </c>
      <c r="AK39" s="31">
        <f t="shared" si="15"/>
        <v>5242051.0415099999</v>
      </c>
      <c r="AL39" s="31">
        <f t="shared" si="15"/>
        <v>5242051.0415099999</v>
      </c>
      <c r="AM39" s="31">
        <f t="shared" si="15"/>
        <v>5242051.0415099999</v>
      </c>
      <c r="AN39" s="31">
        <f t="shared" si="15"/>
        <v>5242051.0415099999</v>
      </c>
      <c r="AO39" s="31">
        <f t="shared" si="15"/>
        <v>0</v>
      </c>
      <c r="AP39" s="31"/>
      <c r="AQ39" s="31"/>
      <c r="AR39" s="30">
        <f>SUM(I39:AQ39)</f>
        <v>20968204.16604</v>
      </c>
      <c r="AS39" s="21">
        <f>AR39-F38</f>
        <v>0</v>
      </c>
    </row>
    <row r="40" spans="1:45" ht="27.6" customHeight="1">
      <c r="A40" s="201"/>
      <c r="B40" s="170"/>
      <c r="C40" s="173"/>
      <c r="D40" s="153">
        <f>950.32+340.05+138.13+104.06+243.5+163.64+498.51</f>
        <v>2438.21</v>
      </c>
      <c r="E40" s="153">
        <v>5803.2049999999999</v>
      </c>
      <c r="F40" s="198">
        <f>(B40*C40+D40*E40)*1.09</f>
        <v>15422881.384724502</v>
      </c>
      <c r="G40" s="220" t="s">
        <v>293</v>
      </c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7">
        <v>0.15</v>
      </c>
      <c r="AL40" s="7">
        <v>0.15</v>
      </c>
      <c r="AM40" s="7">
        <v>0.2</v>
      </c>
      <c r="AN40" s="7">
        <v>0.2</v>
      </c>
      <c r="AO40" s="7">
        <v>0.15</v>
      </c>
      <c r="AP40" s="7">
        <v>0.15</v>
      </c>
      <c r="AQ40" s="6"/>
      <c r="AR40" s="37">
        <f t="shared" si="0"/>
        <v>1</v>
      </c>
    </row>
    <row r="41" spans="1:45" s="22" customFormat="1" ht="27.6" customHeight="1" thickBot="1">
      <c r="A41" s="201"/>
      <c r="B41" s="170"/>
      <c r="C41" s="173"/>
      <c r="D41" s="155"/>
      <c r="E41" s="155"/>
      <c r="F41" s="199"/>
      <c r="G41" s="221"/>
      <c r="H41" s="40">
        <f>$F40*H40</f>
        <v>0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>
        <f t="shared" ref="AJ41:AP41" si="16">$F40*AJ40</f>
        <v>0</v>
      </c>
      <c r="AK41" s="31">
        <f t="shared" si="16"/>
        <v>2313432.2077086749</v>
      </c>
      <c r="AL41" s="31">
        <f t="shared" si="16"/>
        <v>2313432.2077086749</v>
      </c>
      <c r="AM41" s="31">
        <f t="shared" si="16"/>
        <v>3084576.2769449004</v>
      </c>
      <c r="AN41" s="31">
        <f t="shared" si="16"/>
        <v>3084576.2769449004</v>
      </c>
      <c r="AO41" s="31">
        <f t="shared" si="16"/>
        <v>2313432.2077086749</v>
      </c>
      <c r="AP41" s="31">
        <f t="shared" si="16"/>
        <v>2313432.2077086749</v>
      </c>
      <c r="AQ41" s="31"/>
      <c r="AR41" s="30">
        <f>SUM(I41:AQ41)</f>
        <v>15422881.384724502</v>
      </c>
      <c r="AS41" s="21">
        <f>AR41-F40</f>
        <v>0</v>
      </c>
    </row>
    <row r="42" spans="1:45">
      <c r="A42" s="201"/>
      <c r="B42" s="170"/>
      <c r="C42" s="173"/>
      <c r="D42" s="155">
        <v>619.17200000000003</v>
      </c>
      <c r="E42" s="153">
        <v>5803.2049999999999</v>
      </c>
      <c r="F42" s="198">
        <f>(B42*C42+D42*E42)*1.09</f>
        <v>3916568.4304234004</v>
      </c>
      <c r="G42" s="227" t="s">
        <v>287</v>
      </c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7">
        <v>0.15</v>
      </c>
      <c r="AL42" s="7">
        <v>0.15</v>
      </c>
      <c r="AM42" s="7">
        <v>0.2</v>
      </c>
      <c r="AN42" s="7">
        <v>0.2</v>
      </c>
      <c r="AO42" s="7">
        <v>0.15</v>
      </c>
      <c r="AP42" s="7">
        <v>0.15</v>
      </c>
      <c r="AQ42" s="6"/>
      <c r="AR42" s="37">
        <f t="shared" si="0"/>
        <v>1</v>
      </c>
    </row>
    <row r="43" spans="1:45" s="22" customFormat="1" ht="15.75" thickBot="1">
      <c r="A43" s="201"/>
      <c r="B43" s="170"/>
      <c r="C43" s="173"/>
      <c r="D43" s="155"/>
      <c r="E43" s="155"/>
      <c r="F43" s="199"/>
      <c r="G43" s="228"/>
      <c r="H43" s="40">
        <f>$F42*H42</f>
        <v>0</v>
      </c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>
        <f t="shared" ref="AJ43:AP43" si="17">$F42*AJ42</f>
        <v>0</v>
      </c>
      <c r="AK43" s="31">
        <f t="shared" si="17"/>
        <v>587485.26456351008</v>
      </c>
      <c r="AL43" s="31">
        <f t="shared" si="17"/>
        <v>587485.26456351008</v>
      </c>
      <c r="AM43" s="31">
        <f t="shared" si="17"/>
        <v>783313.68608468014</v>
      </c>
      <c r="AN43" s="31">
        <f t="shared" si="17"/>
        <v>783313.68608468014</v>
      </c>
      <c r="AO43" s="31">
        <f t="shared" si="17"/>
        <v>587485.26456351008</v>
      </c>
      <c r="AP43" s="31">
        <f t="shared" si="17"/>
        <v>587485.26456351008</v>
      </c>
      <c r="AQ43" s="31"/>
      <c r="AR43" s="30">
        <f>SUM(I43:AQ43)</f>
        <v>3916568.4304234008</v>
      </c>
      <c r="AS43" s="21">
        <f>AR43-F42</f>
        <v>0</v>
      </c>
    </row>
    <row r="44" spans="1:45">
      <c r="A44" s="201"/>
      <c r="B44" s="170"/>
      <c r="C44" s="173"/>
      <c r="D44" s="153">
        <v>477.84</v>
      </c>
      <c r="E44" s="153">
        <v>5803.2049999999999</v>
      </c>
      <c r="F44" s="198">
        <f>(B44*C44+D44*E44)*1.09</f>
        <v>3022573.7901479998</v>
      </c>
      <c r="G44" s="212" t="s">
        <v>283</v>
      </c>
      <c r="H44" s="11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8"/>
      <c r="U44" s="8"/>
      <c r="V44" s="8"/>
      <c r="W44" s="8"/>
      <c r="X44" s="8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7">
        <v>0.5</v>
      </c>
      <c r="AN44" s="7">
        <v>0.5</v>
      </c>
      <c r="AO44" s="6"/>
      <c r="AP44" s="6"/>
      <c r="AQ44" s="6"/>
      <c r="AR44" s="37">
        <f t="shared" si="0"/>
        <v>1</v>
      </c>
    </row>
    <row r="45" spans="1:45" s="22" customFormat="1" ht="15.75" thickBot="1">
      <c r="A45" s="201"/>
      <c r="B45" s="170"/>
      <c r="C45" s="173"/>
      <c r="D45" s="155"/>
      <c r="E45" s="155"/>
      <c r="F45" s="199"/>
      <c r="G45" s="213"/>
      <c r="H45" s="40">
        <f>$F44*H44</f>
        <v>0</v>
      </c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6"/>
      <c r="X45" s="36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>
        <f>F44/2</f>
        <v>1511286.8950739999</v>
      </c>
      <c r="AN45" s="31">
        <f>F44/2</f>
        <v>1511286.8950739999</v>
      </c>
      <c r="AO45" s="31"/>
      <c r="AP45" s="31"/>
      <c r="AQ45" s="31"/>
      <c r="AR45" s="30">
        <f>SUM(I45:AQ45)</f>
        <v>3022573.7901479998</v>
      </c>
      <c r="AS45" s="21">
        <f>AR45-F44</f>
        <v>0</v>
      </c>
    </row>
    <row r="46" spans="1:45">
      <c r="A46" s="201"/>
      <c r="B46" s="170"/>
      <c r="C46" s="173"/>
      <c r="D46" s="155">
        <v>4097.17</v>
      </c>
      <c r="E46" s="153">
        <v>4774.91</v>
      </c>
      <c r="F46" s="198">
        <f>(B46*C46+D46*E46)*1.09</f>
        <v>21324343.625123002</v>
      </c>
      <c r="G46" s="212" t="s">
        <v>15</v>
      </c>
      <c r="H46" s="11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6"/>
      <c r="AG46" s="6"/>
      <c r="AH46" s="6"/>
      <c r="AI46" s="6"/>
      <c r="AJ46" s="6"/>
      <c r="AK46" s="6"/>
      <c r="AL46" s="6">
        <v>0.25</v>
      </c>
      <c r="AM46" s="144">
        <v>0.25</v>
      </c>
      <c r="AN46" s="144">
        <v>0.25</v>
      </c>
      <c r="AO46" s="6">
        <v>0.25</v>
      </c>
      <c r="AP46" s="6"/>
      <c r="AQ46" s="6"/>
      <c r="AR46" s="37">
        <f t="shared" si="0"/>
        <v>1</v>
      </c>
    </row>
    <row r="47" spans="1:45" s="22" customFormat="1" ht="15.75" thickBot="1">
      <c r="A47" s="201"/>
      <c r="B47" s="170"/>
      <c r="C47" s="173"/>
      <c r="D47" s="155"/>
      <c r="E47" s="155"/>
      <c r="F47" s="199"/>
      <c r="G47" s="213"/>
      <c r="H47" s="40">
        <f>$F46*H46</f>
        <v>0</v>
      </c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1"/>
      <c r="AG47" s="31"/>
      <c r="AH47" s="31"/>
      <c r="AI47" s="31"/>
      <c r="AJ47" s="31"/>
      <c r="AK47" s="31"/>
      <c r="AL47" s="31">
        <f>F46*0.25</f>
        <v>5331085.9062807504</v>
      </c>
      <c r="AM47" s="31">
        <f>F46*0.25</f>
        <v>5331085.9062807504</v>
      </c>
      <c r="AN47" s="31">
        <f>F46*0.25</f>
        <v>5331085.9062807504</v>
      </c>
      <c r="AO47" s="31">
        <f>F46*0.25</f>
        <v>5331085.9062807504</v>
      </c>
      <c r="AP47" s="31"/>
      <c r="AQ47" s="31"/>
      <c r="AR47" s="30">
        <f>SUM(I47:AQ47)</f>
        <v>21324343.625123002</v>
      </c>
      <c r="AS47" s="21">
        <f>AR47-F46</f>
        <v>0</v>
      </c>
    </row>
    <row r="48" spans="1:45">
      <c r="A48" s="201"/>
      <c r="B48" s="170">
        <f>164.66+29.18+183.21</f>
        <v>377.05</v>
      </c>
      <c r="C48" s="175">
        <v>6352.42</v>
      </c>
      <c r="D48" s="155">
        <f>208.01+132</f>
        <v>340.01</v>
      </c>
      <c r="E48" s="153">
        <v>4774.91</v>
      </c>
      <c r="F48" s="198">
        <f>(B48*C48+D48*E48)*1.09</f>
        <v>4380379.8500090009</v>
      </c>
      <c r="G48" s="232" t="s">
        <v>291</v>
      </c>
      <c r="H48" s="11"/>
      <c r="I48" s="8"/>
      <c r="J48" s="8"/>
      <c r="K48" s="8"/>
      <c r="L48" s="8"/>
      <c r="M48" s="8"/>
      <c r="N48" s="8"/>
      <c r="O48" s="7">
        <v>0.04</v>
      </c>
      <c r="P48" s="7">
        <v>0.04</v>
      </c>
      <c r="Q48" s="7">
        <v>0.04</v>
      </c>
      <c r="R48" s="7">
        <v>0.04</v>
      </c>
      <c r="S48" s="7">
        <v>0.04</v>
      </c>
      <c r="T48" s="7">
        <v>0.04</v>
      </c>
      <c r="U48" s="7">
        <v>0.04</v>
      </c>
      <c r="V48" s="7">
        <v>0.04</v>
      </c>
      <c r="W48" s="7">
        <v>0.04</v>
      </c>
      <c r="X48" s="7">
        <v>0.04</v>
      </c>
      <c r="Y48" s="7">
        <v>0.04</v>
      </c>
      <c r="Z48" s="7">
        <v>0.04</v>
      </c>
      <c r="AA48" s="7">
        <v>0.04</v>
      </c>
      <c r="AB48" s="7">
        <v>0.04</v>
      </c>
      <c r="AC48" s="7">
        <v>0.04</v>
      </c>
      <c r="AD48" s="7">
        <v>0.04</v>
      </c>
      <c r="AE48" s="7">
        <v>0.04</v>
      </c>
      <c r="AF48" s="7">
        <v>0.04</v>
      </c>
      <c r="AG48" s="7">
        <v>0.04</v>
      </c>
      <c r="AH48" s="7">
        <v>0.04</v>
      </c>
      <c r="AI48" s="7">
        <v>0.04</v>
      </c>
      <c r="AJ48" s="7">
        <v>0.04</v>
      </c>
      <c r="AK48" s="7">
        <v>0.04</v>
      </c>
      <c r="AL48" s="7">
        <v>0.04</v>
      </c>
      <c r="AM48" s="7">
        <v>0.04</v>
      </c>
      <c r="AN48" s="5"/>
      <c r="AO48" s="5"/>
      <c r="AP48" s="5"/>
      <c r="AQ48" s="5"/>
      <c r="AR48" s="37">
        <f t="shared" si="0"/>
        <v>1.0000000000000002</v>
      </c>
    </row>
    <row r="49" spans="1:45" s="22" customFormat="1" ht="30.6" customHeight="1" thickBot="1">
      <c r="A49" s="202"/>
      <c r="B49" s="171"/>
      <c r="C49" s="174"/>
      <c r="D49" s="157"/>
      <c r="E49" s="157"/>
      <c r="F49" s="199"/>
      <c r="G49" s="234"/>
      <c r="H49" s="40">
        <f>$F48*H48</f>
        <v>0</v>
      </c>
      <c r="I49" s="36"/>
      <c r="J49" s="36"/>
      <c r="K49" s="36"/>
      <c r="L49" s="36"/>
      <c r="M49" s="36"/>
      <c r="N49" s="36"/>
      <c r="O49" s="31">
        <f t="shared" ref="O49:AM49" si="18">$F48*O48</f>
        <v>175215.19400036003</v>
      </c>
      <c r="P49" s="31">
        <f t="shared" si="18"/>
        <v>175215.19400036003</v>
      </c>
      <c r="Q49" s="31">
        <f t="shared" si="18"/>
        <v>175215.19400036003</v>
      </c>
      <c r="R49" s="31">
        <f t="shared" si="18"/>
        <v>175215.19400036003</v>
      </c>
      <c r="S49" s="31">
        <f t="shared" si="18"/>
        <v>175215.19400036003</v>
      </c>
      <c r="T49" s="31">
        <f t="shared" si="18"/>
        <v>175215.19400036003</v>
      </c>
      <c r="U49" s="31">
        <f t="shared" si="18"/>
        <v>175215.19400036003</v>
      </c>
      <c r="V49" s="31">
        <f t="shared" si="18"/>
        <v>175215.19400036003</v>
      </c>
      <c r="W49" s="31">
        <f t="shared" si="18"/>
        <v>175215.19400036003</v>
      </c>
      <c r="X49" s="31">
        <f t="shared" si="18"/>
        <v>175215.19400036003</v>
      </c>
      <c r="Y49" s="31">
        <f t="shared" si="18"/>
        <v>175215.19400036003</v>
      </c>
      <c r="Z49" s="31">
        <f t="shared" si="18"/>
        <v>175215.19400036003</v>
      </c>
      <c r="AA49" s="31">
        <f t="shared" si="18"/>
        <v>175215.19400036003</v>
      </c>
      <c r="AB49" s="31">
        <f t="shared" si="18"/>
        <v>175215.19400036003</v>
      </c>
      <c r="AC49" s="31">
        <f t="shared" si="18"/>
        <v>175215.19400036003</v>
      </c>
      <c r="AD49" s="31">
        <f t="shared" si="18"/>
        <v>175215.19400036003</v>
      </c>
      <c r="AE49" s="31">
        <f t="shared" si="18"/>
        <v>175215.19400036003</v>
      </c>
      <c r="AF49" s="31">
        <f t="shared" si="18"/>
        <v>175215.19400036003</v>
      </c>
      <c r="AG49" s="31">
        <f t="shared" si="18"/>
        <v>175215.19400036003</v>
      </c>
      <c r="AH49" s="31">
        <f t="shared" si="18"/>
        <v>175215.19400036003</v>
      </c>
      <c r="AI49" s="31">
        <f t="shared" si="18"/>
        <v>175215.19400036003</v>
      </c>
      <c r="AJ49" s="31">
        <f t="shared" si="18"/>
        <v>175215.19400036003</v>
      </c>
      <c r="AK49" s="31">
        <f t="shared" si="18"/>
        <v>175215.19400036003</v>
      </c>
      <c r="AL49" s="31">
        <f t="shared" si="18"/>
        <v>175215.19400036003</v>
      </c>
      <c r="AM49" s="31">
        <f t="shared" si="18"/>
        <v>175215.19400036003</v>
      </c>
      <c r="AN49" s="36"/>
      <c r="AO49" s="36"/>
      <c r="AP49" s="36"/>
      <c r="AQ49" s="36"/>
      <c r="AR49" s="21">
        <f>SUM(L49:AQ49)</f>
        <v>4380379.8500090009</v>
      </c>
      <c r="AS49" s="21">
        <f>AR49-F48</f>
        <v>0</v>
      </c>
    </row>
    <row r="50" spans="1:45" ht="15.75" thickBot="1">
      <c r="A50" s="146" t="s">
        <v>277</v>
      </c>
      <c r="B50" s="179">
        <f>SUM(B6:B49)</f>
        <v>17580.859999999997</v>
      </c>
      <c r="C50" s="147"/>
      <c r="D50" s="180">
        <f>SUM(D6:D49)</f>
        <v>38488.505999999994</v>
      </c>
      <c r="E50" s="148"/>
      <c r="F50" s="145">
        <f>SUM(F6:F49)</f>
        <v>404263134.149001</v>
      </c>
      <c r="G50" s="168">
        <f>B50+D50</f>
        <v>56069.365999999995</v>
      </c>
      <c r="H50" s="20"/>
      <c r="I50" s="167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</row>
    <row r="51" spans="1:45">
      <c r="A51" s="214" t="s">
        <v>255</v>
      </c>
      <c r="B51" s="215"/>
      <c r="C51" s="216"/>
      <c r="D51" s="153">
        <v>9788.35</v>
      </c>
      <c r="E51" s="161">
        <v>1315.92</v>
      </c>
      <c r="F51" s="224">
        <v>13487662.619999999</v>
      </c>
      <c r="G51" s="212" t="s">
        <v>292</v>
      </c>
      <c r="H51" s="41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>
        <v>0.1</v>
      </c>
      <c r="AI51" s="7">
        <v>0.1</v>
      </c>
      <c r="AJ51" s="7">
        <v>0.1</v>
      </c>
      <c r="AK51" s="7">
        <v>0.1</v>
      </c>
      <c r="AL51" s="7">
        <v>0.1</v>
      </c>
      <c r="AM51" s="7">
        <v>0.1</v>
      </c>
      <c r="AN51" s="7">
        <v>0.1</v>
      </c>
      <c r="AO51" s="7">
        <v>0.1</v>
      </c>
      <c r="AP51" s="7">
        <v>0.1</v>
      </c>
      <c r="AQ51" s="7">
        <v>0.1</v>
      </c>
      <c r="AR51" s="37">
        <f>SUM(H51:AQ51)</f>
        <v>0.99999999999999989</v>
      </c>
    </row>
    <row r="52" spans="1:45" s="22" customFormat="1" ht="15.75" thickBot="1">
      <c r="A52" s="217"/>
      <c r="B52" s="218"/>
      <c r="C52" s="219"/>
      <c r="D52" s="157"/>
      <c r="E52" s="162"/>
      <c r="F52" s="225"/>
      <c r="G52" s="226"/>
      <c r="H52" s="40">
        <f>$F51*H51</f>
        <v>0</v>
      </c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31">
        <f t="shared" ref="AH52:AQ52" si="19">$F51*AH51</f>
        <v>1348766.2620000001</v>
      </c>
      <c r="AI52" s="31">
        <f t="shared" si="19"/>
        <v>1348766.2620000001</v>
      </c>
      <c r="AJ52" s="31">
        <f t="shared" si="19"/>
        <v>1348766.2620000001</v>
      </c>
      <c r="AK52" s="31">
        <f t="shared" si="19"/>
        <v>1348766.2620000001</v>
      </c>
      <c r="AL52" s="31">
        <f t="shared" si="19"/>
        <v>1348766.2620000001</v>
      </c>
      <c r="AM52" s="31">
        <f t="shared" si="19"/>
        <v>1348766.2620000001</v>
      </c>
      <c r="AN52" s="31">
        <f t="shared" si="19"/>
        <v>1348766.2620000001</v>
      </c>
      <c r="AO52" s="31">
        <f t="shared" si="19"/>
        <v>1348766.2620000001</v>
      </c>
      <c r="AP52" s="31">
        <f t="shared" si="19"/>
        <v>1348766.2620000001</v>
      </c>
      <c r="AQ52" s="31">
        <f t="shared" si="19"/>
        <v>1348766.2620000001</v>
      </c>
      <c r="AR52" s="21">
        <f>SUM(L52:AQ52)</f>
        <v>13487662.620000001</v>
      </c>
      <c r="AS52" s="21">
        <f>AR52-F51</f>
        <v>0</v>
      </c>
    </row>
    <row r="53" spans="1:45" ht="15.75" thickBot="1">
      <c r="A53" s="229" t="s">
        <v>278</v>
      </c>
      <c r="B53" s="230"/>
      <c r="C53" s="230"/>
      <c r="D53" s="230"/>
      <c r="E53" s="231"/>
      <c r="F53" s="145">
        <f>F51+F50</f>
        <v>417750796.76900101</v>
      </c>
      <c r="H53" s="21">
        <f t="shared" ref="H53:S53" si="20">H7+H9+H11+H13+H15+H17+H19+H21+H23+H25+H27+H29+H31+H33+H35+H37+H39+H41+H43+H45+H47+H49+H52</f>
        <v>0</v>
      </c>
      <c r="I53" s="21">
        <f t="shared" si="20"/>
        <v>849813.73451999994</v>
      </c>
      <c r="J53" s="21">
        <f t="shared" si="20"/>
        <v>849813.73451999994</v>
      </c>
      <c r="K53" s="21">
        <f t="shared" si="20"/>
        <v>1787090.5637270249</v>
      </c>
      <c r="L53" s="21">
        <f t="shared" si="20"/>
        <v>4275332.5512150824</v>
      </c>
      <c r="M53" s="21">
        <f t="shared" si="20"/>
        <v>5807099.6660664193</v>
      </c>
      <c r="N53" s="21">
        <f t="shared" si="20"/>
        <v>7348465.8026326057</v>
      </c>
      <c r="O53" s="21">
        <f t="shared" si="20"/>
        <v>9548764.65952616</v>
      </c>
      <c r="P53" s="21">
        <f t="shared" si="20"/>
        <v>8611487.8303191345</v>
      </c>
      <c r="Q53" s="21">
        <f t="shared" si="20"/>
        <v>5236516.15337166</v>
      </c>
      <c r="R53" s="21">
        <f t="shared" si="20"/>
        <v>7581116.4242509101</v>
      </c>
      <c r="S53" s="21">
        <f t="shared" si="20"/>
        <v>8384838.0320192911</v>
      </c>
      <c r="T53" s="21">
        <f t="shared" ref="T53:AM53" si="21">T7+T9+T11+T13+T15+T17+T19+T21+T23+T25+T27+T29+T31+T33+T35+T37+T39+T41+T43+T45+T47+T49+T52</f>
        <v>11932947.128104284</v>
      </c>
      <c r="U53" s="21">
        <f t="shared" si="21"/>
        <v>12610892.751307143</v>
      </c>
      <c r="V53" s="21">
        <f t="shared" si="21"/>
        <v>12124587.905704321</v>
      </c>
      <c r="W53" s="21">
        <f t="shared" si="21"/>
        <v>5468322.2315291595</v>
      </c>
      <c r="X53" s="21">
        <f t="shared" si="21"/>
        <v>5468322.2315291595</v>
      </c>
      <c r="Y53" s="21">
        <f t="shared" si="21"/>
        <v>9486149.5092409663</v>
      </c>
      <c r="Z53" s="21">
        <f t="shared" si="21"/>
        <v>9486149.5092409663</v>
      </c>
      <c r="AA53" s="21">
        <f t="shared" si="21"/>
        <v>12540518.251439165</v>
      </c>
      <c r="AB53" s="21">
        <f t="shared" si="21"/>
        <v>12895591.181671761</v>
      </c>
      <c r="AC53" s="21">
        <f t="shared" si="21"/>
        <v>11841558.83403521</v>
      </c>
      <c r="AD53" s="21">
        <f t="shared" si="21"/>
        <v>13841953.820696661</v>
      </c>
      <c r="AE53" s="21">
        <f t="shared" si="21"/>
        <v>11539430.83057135</v>
      </c>
      <c r="AF53" s="21">
        <f t="shared" si="21"/>
        <v>15482541.337220803</v>
      </c>
      <c r="AG53" s="21">
        <f t="shared" si="21"/>
        <v>18173074.90890801</v>
      </c>
      <c r="AH53" s="21">
        <f t="shared" si="21"/>
        <v>19521841.170908011</v>
      </c>
      <c r="AI53" s="21">
        <f t="shared" si="21"/>
        <v>13161010.844971098</v>
      </c>
      <c r="AJ53" s="21">
        <f t="shared" si="21"/>
        <v>18749029.571407951</v>
      </c>
      <c r="AK53" s="21">
        <f t="shared" si="21"/>
        <v>20552605.485660434</v>
      </c>
      <c r="AL53" s="21">
        <f t="shared" si="21"/>
        <v>26404473.288128331</v>
      </c>
      <c r="AM53" s="21">
        <f t="shared" si="21"/>
        <v>28882732.673959725</v>
      </c>
      <c r="AN53" s="21">
        <f>AN7+AN9+AN11+AN13+AN15+AN17+AN19+AN21+AN23+AN25+AN27+AN29+AN31+AN33+AN35+AN37+AN39+AN41+AN43+AN45+AN47+AN49+AN52</f>
        <v>27627584.959721223</v>
      </c>
      <c r="AO53" s="21">
        <f>AO7+AO9+AO11+AO13+AO15+AO17+AO19+AO21+AO23+AO25+AO27+AO29+AO31+AO33+AO35+AO37+AO39+AO41+AO43+AO45+AO47+AO49+AO52</f>
        <v>19907274.532379828</v>
      </c>
      <c r="AP53" s="21">
        <f>AP7+AP9+AP11+AP13+AP15+AP17+AP19+AP21+AP23+AP25+AP27+AP29+AP31+AP33+AP35+AP37+AP39+AP41+AP43+AP45+AP47+AP49+AP52</f>
        <v>11336391.065384625</v>
      </c>
      <c r="AQ53" s="21">
        <f>AQ7+AQ9+AQ11+AQ13+AQ15+AQ17+AQ19+AQ21+AQ23+AQ25+AQ27+AQ29+AQ31+AQ33+AQ35+AQ37+AQ39+AQ41+AQ43+AQ45+AQ47+AQ49+AQ52</f>
        <v>8435473.5931124389</v>
      </c>
    </row>
    <row r="54" spans="1:45">
      <c r="C54" s="22"/>
      <c r="E54" s="22"/>
      <c r="F54" s="22"/>
      <c r="I54" s="21">
        <f>I53</f>
        <v>849813.73451999994</v>
      </c>
      <c r="J54" s="21">
        <f>I54+J53</f>
        <v>1699627.4690399999</v>
      </c>
      <c r="K54" s="21">
        <f t="shared" ref="K54:AP54" si="22">J54+K53</f>
        <v>3486718.0327670248</v>
      </c>
      <c r="L54" s="21">
        <f t="shared" si="22"/>
        <v>7762050.5839821072</v>
      </c>
      <c r="M54" s="21">
        <f t="shared" si="22"/>
        <v>13569150.250048526</v>
      </c>
      <c r="N54" s="21">
        <f t="shared" si="22"/>
        <v>20917616.052681133</v>
      </c>
      <c r="O54" s="21">
        <f t="shared" si="22"/>
        <v>30466380.712207295</v>
      </c>
      <c r="P54" s="21">
        <f t="shared" si="22"/>
        <v>39077868.542526431</v>
      </c>
      <c r="Q54" s="21">
        <f t="shared" si="22"/>
        <v>44314384.695898093</v>
      </c>
      <c r="R54" s="21">
        <f t="shared" si="22"/>
        <v>51895501.120149001</v>
      </c>
      <c r="S54" s="21">
        <f t="shared" si="22"/>
        <v>60280339.152168289</v>
      </c>
      <c r="T54" s="21">
        <f t="shared" si="22"/>
        <v>72213286.280272573</v>
      </c>
      <c r="U54" s="21">
        <f t="shared" si="22"/>
        <v>84824179.031579718</v>
      </c>
      <c r="V54" s="21">
        <f t="shared" si="22"/>
        <v>96948766.937284037</v>
      </c>
      <c r="W54" s="21">
        <f t="shared" si="22"/>
        <v>102417089.1688132</v>
      </c>
      <c r="X54" s="21">
        <f t="shared" si="22"/>
        <v>107885411.40034236</v>
      </c>
      <c r="Y54" s="21">
        <f t="shared" si="22"/>
        <v>117371560.90958333</v>
      </c>
      <c r="Z54" s="21">
        <f t="shared" si="22"/>
        <v>126857710.4188243</v>
      </c>
      <c r="AA54" s="21">
        <f t="shared" si="22"/>
        <v>139398228.67026347</v>
      </c>
      <c r="AB54" s="21">
        <f t="shared" si="22"/>
        <v>152293819.85193524</v>
      </c>
      <c r="AC54" s="21">
        <f t="shared" si="22"/>
        <v>164135378.68597046</v>
      </c>
      <c r="AD54" s="21">
        <f t="shared" si="22"/>
        <v>177977332.50666711</v>
      </c>
      <c r="AE54" s="21">
        <f t="shared" si="22"/>
        <v>189516763.33723846</v>
      </c>
      <c r="AF54" s="21">
        <f t="shared" si="22"/>
        <v>204999304.67445928</v>
      </c>
      <c r="AG54" s="21">
        <f t="shared" si="22"/>
        <v>223172379.58336729</v>
      </c>
      <c r="AH54" s="21">
        <f t="shared" si="22"/>
        <v>242694220.75427529</v>
      </c>
      <c r="AI54" s="21">
        <f t="shared" si="22"/>
        <v>255855231.59924638</v>
      </c>
      <c r="AJ54" s="21">
        <f t="shared" si="22"/>
        <v>274604261.17065436</v>
      </c>
      <c r="AK54" s="21">
        <f t="shared" si="22"/>
        <v>295156866.65631479</v>
      </c>
      <c r="AL54" s="21">
        <f t="shared" si="22"/>
        <v>321561339.94444311</v>
      </c>
      <c r="AM54" s="21">
        <f t="shared" si="22"/>
        <v>350444072.61840284</v>
      </c>
      <c r="AN54" s="21">
        <f t="shared" si="22"/>
        <v>378071657.57812405</v>
      </c>
      <c r="AO54" s="21">
        <f t="shared" si="22"/>
        <v>397978932.11050385</v>
      </c>
      <c r="AP54" s="21">
        <f t="shared" si="22"/>
        <v>409315323.17588848</v>
      </c>
      <c r="AQ54" s="21">
        <f>AP54+AQ53</f>
        <v>417750796.76900089</v>
      </c>
    </row>
    <row r="55" spans="1:45">
      <c r="B55" s="21" t="s">
        <v>256</v>
      </c>
      <c r="C55" s="21"/>
      <c r="E55" s="21"/>
      <c r="F55" s="21"/>
      <c r="G55" s="21"/>
    </row>
    <row r="56" spans="1:45">
      <c r="E56" t="s">
        <v>294</v>
      </c>
      <c r="F56" s="163"/>
      <c r="G56" s="21"/>
    </row>
    <row r="57" spans="1:45">
      <c r="B57" s="21"/>
      <c r="D57" s="183"/>
      <c r="E57" s="21"/>
      <c r="F57" s="21"/>
      <c r="Y57" s="195">
        <v>2.2631685549760489E-3</v>
      </c>
    </row>
    <row r="58" spans="1:45">
      <c r="F58" s="21"/>
      <c r="G58" s="30"/>
      <c r="K58" s="194"/>
    </row>
    <row r="59" spans="1:45">
      <c r="E59" s="30"/>
      <c r="F59" s="24"/>
      <c r="G59" s="188"/>
      <c r="I59" s="21"/>
      <c r="K59" s="21"/>
      <c r="M59" s="21"/>
    </row>
    <row r="60" spans="1:45">
      <c r="B60" s="21"/>
      <c r="F60" s="21"/>
      <c r="G60" s="189"/>
      <c r="I60" s="21"/>
      <c r="K60" s="21"/>
      <c r="M60" s="21"/>
    </row>
    <row r="61" spans="1:45">
      <c r="G61" s="190"/>
      <c r="I61" s="21"/>
      <c r="K61" s="21"/>
      <c r="M61" s="197"/>
    </row>
    <row r="62" spans="1:45">
      <c r="E62" s="21"/>
      <c r="G62" s="21"/>
      <c r="I62" s="191"/>
      <c r="K62" s="191"/>
    </row>
    <row r="63" spans="1:45">
      <c r="G63" s="21"/>
    </row>
    <row r="66" spans="3:7">
      <c r="C66" s="21"/>
      <c r="E66" s="21"/>
    </row>
    <row r="67" spans="3:7">
      <c r="E67" s="184"/>
      <c r="G67" s="185"/>
    </row>
    <row r="68" spans="3:7">
      <c r="E68" s="21"/>
    </row>
    <row r="69" spans="3:7">
      <c r="G69" s="21"/>
    </row>
    <row r="71" spans="3:7">
      <c r="G71" s="21"/>
    </row>
  </sheetData>
  <mergeCells count="55">
    <mergeCell ref="A53:E53"/>
    <mergeCell ref="G6:G7"/>
    <mergeCell ref="G8:G9"/>
    <mergeCell ref="G10:G11"/>
    <mergeCell ref="G12:G13"/>
    <mergeCell ref="G14:G15"/>
    <mergeCell ref="G16:G17"/>
    <mergeCell ref="G18:G19"/>
    <mergeCell ref="G20:G21"/>
    <mergeCell ref="G22:G23"/>
    <mergeCell ref="G24:G25"/>
    <mergeCell ref="G26:G27"/>
    <mergeCell ref="G48:G49"/>
    <mergeCell ref="G40:G41"/>
    <mergeCell ref="G36:G37"/>
    <mergeCell ref="G38:G39"/>
    <mergeCell ref="T4:AE4"/>
    <mergeCell ref="F51:F52"/>
    <mergeCell ref="G51:G52"/>
    <mergeCell ref="F46:F47"/>
    <mergeCell ref="F48:F49"/>
    <mergeCell ref="G42:G43"/>
    <mergeCell ref="G44:G45"/>
    <mergeCell ref="F42:F43"/>
    <mergeCell ref="A51:C52"/>
    <mergeCell ref="H4:S4"/>
    <mergeCell ref="F32:F33"/>
    <mergeCell ref="G30:G31"/>
    <mergeCell ref="G34:G35"/>
    <mergeCell ref="G28:G29"/>
    <mergeCell ref="G32:G33"/>
    <mergeCell ref="A34:A49"/>
    <mergeCell ref="AF4:AQ4"/>
    <mergeCell ref="B4:B5"/>
    <mergeCell ref="F26:F27"/>
    <mergeCell ref="F28:F29"/>
    <mergeCell ref="A4:A5"/>
    <mergeCell ref="D4:D5"/>
    <mergeCell ref="F6:F7"/>
    <mergeCell ref="F8:F9"/>
    <mergeCell ref="F10:F11"/>
    <mergeCell ref="F12:F13"/>
    <mergeCell ref="F14:F15"/>
    <mergeCell ref="F16:F17"/>
    <mergeCell ref="F44:F45"/>
    <mergeCell ref="G46:G47"/>
    <mergeCell ref="F34:F35"/>
    <mergeCell ref="F18:F19"/>
    <mergeCell ref="F20:F21"/>
    <mergeCell ref="F22:F23"/>
    <mergeCell ref="F24:F25"/>
    <mergeCell ref="F40:F41"/>
    <mergeCell ref="F30:F31"/>
    <mergeCell ref="F36:F37"/>
    <mergeCell ref="F38:F39"/>
  </mergeCells>
  <phoneticPr fontId="3" type="noConversion"/>
  <pageMargins left="0.511811024" right="0.511811024" top="0.78740157499999996" bottom="0.78740157499999996" header="0.31496062000000002" footer="0.31496062000000002"/>
  <pageSetup paperSize="9" scale="89" orientation="landscape" r:id="rId1"/>
  <ignoredErrors>
    <ignoredError sqref="F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485FE-71CC-4DBF-9C8D-F1B2B9EB99C4}">
  <dimension ref="A1:AE35"/>
  <sheetViews>
    <sheetView tabSelected="1" zoomScaleNormal="100" workbookViewId="0">
      <selection activeCell="B17" sqref="B17"/>
    </sheetView>
  </sheetViews>
  <sheetFormatPr defaultRowHeight="15"/>
  <cols>
    <col min="1" max="1" width="59.140625" customWidth="1"/>
    <col min="2" max="2" width="19.42578125" bestFit="1" customWidth="1"/>
    <col min="3" max="3" width="15" bestFit="1" customWidth="1"/>
    <col min="4" max="4" width="16" bestFit="1" customWidth="1"/>
    <col min="6" max="6" width="14" bestFit="1" customWidth="1"/>
    <col min="9" max="9" width="15" bestFit="1" customWidth="1"/>
    <col min="11" max="11" width="15" bestFit="1" customWidth="1"/>
    <col min="14" max="14" width="15" bestFit="1" customWidth="1"/>
    <col min="16" max="16" width="14" bestFit="1" customWidth="1"/>
    <col min="18" max="19" width="15" bestFit="1" customWidth="1"/>
    <col min="20" max="20" width="12.42578125" bestFit="1" customWidth="1"/>
    <col min="21" max="21" width="15" bestFit="1" customWidth="1"/>
    <col min="25" max="25" width="15" bestFit="1" customWidth="1"/>
    <col min="26" max="26" width="14" bestFit="1" customWidth="1"/>
    <col min="30" max="31" width="15" bestFit="1" customWidth="1"/>
  </cols>
  <sheetData>
    <row r="1" spans="1:31">
      <c r="A1" s="235" t="s">
        <v>18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</row>
    <row r="2" spans="1:31" ht="15.75" thickBot="1">
      <c r="A2" s="237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</row>
    <row r="3" spans="1:31" ht="15.75" thickBot="1">
      <c r="A3" s="44" t="s">
        <v>19</v>
      </c>
      <c r="B3" s="238" t="s">
        <v>20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</row>
    <row r="4" spans="1:31" ht="15.75" thickBot="1">
      <c r="A4" s="91" t="s">
        <v>0</v>
      </c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>
        <v>13</v>
      </c>
      <c r="O4" s="46">
        <v>14</v>
      </c>
      <c r="P4" s="46">
        <v>15</v>
      </c>
      <c r="Q4" s="46">
        <v>16</v>
      </c>
      <c r="R4" s="46">
        <v>17</v>
      </c>
      <c r="S4" s="46">
        <v>18</v>
      </c>
      <c r="T4" s="46">
        <v>19</v>
      </c>
      <c r="U4" s="47">
        <v>20</v>
      </c>
      <c r="V4" s="46">
        <v>21</v>
      </c>
      <c r="W4" s="46">
        <v>22</v>
      </c>
      <c r="X4" s="46">
        <v>23</v>
      </c>
      <c r="Y4" s="46">
        <v>24</v>
      </c>
      <c r="Z4" s="46">
        <v>25</v>
      </c>
      <c r="AA4" s="46">
        <v>26</v>
      </c>
      <c r="AB4" s="46">
        <v>27</v>
      </c>
      <c r="AC4" s="46">
        <v>28</v>
      </c>
      <c r="AD4" s="46">
        <v>29</v>
      </c>
      <c r="AE4" s="46">
        <v>30</v>
      </c>
    </row>
    <row r="5" spans="1:31">
      <c r="A5" s="92" t="s">
        <v>21</v>
      </c>
      <c r="B5" s="96">
        <v>10942539</v>
      </c>
      <c r="C5" s="49"/>
      <c r="D5" s="49"/>
      <c r="E5" s="51"/>
      <c r="F5" s="52"/>
      <c r="G5" s="53"/>
      <c r="H5" s="53"/>
      <c r="I5" s="53"/>
      <c r="J5" s="53"/>
      <c r="K5" s="89">
        <f>B5</f>
        <v>10942539</v>
      </c>
      <c r="L5" s="52"/>
      <c r="M5" s="53"/>
      <c r="N5" s="53"/>
      <c r="O5" s="53"/>
      <c r="P5" s="53"/>
      <c r="Q5" s="53"/>
      <c r="R5" s="53"/>
      <c r="S5" s="53"/>
      <c r="T5" s="53"/>
      <c r="U5" s="89">
        <f>K5</f>
        <v>10942539</v>
      </c>
      <c r="V5" s="51"/>
      <c r="W5" s="52"/>
      <c r="X5" s="52"/>
      <c r="Y5" s="53"/>
      <c r="Z5" s="53"/>
      <c r="AA5" s="53"/>
      <c r="AB5" s="53"/>
      <c r="AC5" s="53"/>
      <c r="AD5" s="53"/>
      <c r="AE5" s="89">
        <f>U5</f>
        <v>10942539</v>
      </c>
    </row>
    <row r="6" spans="1:31">
      <c r="A6" s="93" t="s">
        <v>39</v>
      </c>
      <c r="B6" s="97">
        <f>21171355.6666666+4320164.99+956404.05</f>
        <v>26447924.7066666</v>
      </c>
      <c r="C6" s="97">
        <v>22059193.700000033</v>
      </c>
      <c r="D6" s="97">
        <v>22059193.700000033</v>
      </c>
      <c r="E6" s="58"/>
      <c r="F6" s="59"/>
      <c r="G6" s="20"/>
      <c r="H6" s="20"/>
      <c r="I6" s="87">
        <f>(B6+C6+D6)/3</f>
        <v>23522104.035555556</v>
      </c>
      <c r="J6" s="20"/>
      <c r="K6" s="59"/>
      <c r="L6" s="20"/>
      <c r="M6" s="20"/>
      <c r="N6" s="87">
        <f>I6</f>
        <v>23522104.035555556</v>
      </c>
      <c r="O6" s="20"/>
      <c r="P6" s="59"/>
      <c r="Q6" s="20"/>
      <c r="R6" s="20"/>
      <c r="S6" s="87">
        <f>N6</f>
        <v>23522104.035555556</v>
      </c>
      <c r="T6" s="20"/>
      <c r="U6" s="59"/>
      <c r="V6" s="58"/>
      <c r="W6" s="59"/>
      <c r="X6" s="20"/>
      <c r="Y6" s="87">
        <f>S6</f>
        <v>23522104.035555556</v>
      </c>
      <c r="Z6" s="59"/>
      <c r="AA6" s="59"/>
      <c r="AB6" s="20"/>
      <c r="AC6" s="59"/>
      <c r="AD6" s="87">
        <f>Y6</f>
        <v>23522104.035555556</v>
      </c>
      <c r="AE6" s="59"/>
    </row>
    <row r="7" spans="1:31">
      <c r="A7" s="94" t="s">
        <v>40</v>
      </c>
      <c r="B7" s="98">
        <v>5567332.2666666666</v>
      </c>
      <c r="C7" s="98">
        <v>5567332.2666666666</v>
      </c>
      <c r="D7" s="98">
        <v>5567332.2666666666</v>
      </c>
      <c r="E7" s="58"/>
      <c r="F7" s="59"/>
      <c r="G7" s="20"/>
      <c r="H7" s="20"/>
      <c r="I7" s="88">
        <f>D7</f>
        <v>5567332.2666666666</v>
      </c>
      <c r="J7" s="20"/>
      <c r="K7" s="59"/>
      <c r="L7" s="20"/>
      <c r="M7" s="20"/>
      <c r="N7" s="88">
        <f>I7</f>
        <v>5567332.2666666666</v>
      </c>
      <c r="O7" s="20"/>
      <c r="P7" s="59"/>
      <c r="Q7" s="20"/>
      <c r="R7" s="20"/>
      <c r="S7" s="88">
        <f>N7</f>
        <v>5567332.2666666666</v>
      </c>
      <c r="T7" s="20"/>
      <c r="U7" s="59"/>
      <c r="V7" s="58"/>
      <c r="W7" s="59"/>
      <c r="X7" s="20"/>
      <c r="Y7" s="88">
        <f>S7</f>
        <v>5567332.2666666666</v>
      </c>
      <c r="Z7" s="59"/>
      <c r="AA7" s="59"/>
      <c r="AB7" s="20"/>
      <c r="AC7" s="59"/>
      <c r="AD7" s="88">
        <f>Y7</f>
        <v>5567332.2666666666</v>
      </c>
      <c r="AE7" s="59"/>
    </row>
    <row r="8" spans="1:31">
      <c r="A8" s="94" t="s">
        <v>22</v>
      </c>
      <c r="B8" s="56"/>
      <c r="C8" s="98">
        <v>2701747</v>
      </c>
      <c r="D8" s="56"/>
      <c r="E8" s="58"/>
      <c r="F8" s="62"/>
      <c r="G8" s="62"/>
      <c r="H8" s="62"/>
      <c r="I8" s="62"/>
      <c r="J8" s="62"/>
      <c r="K8" s="88">
        <f>C8</f>
        <v>2701747</v>
      </c>
      <c r="L8" s="62"/>
      <c r="M8" s="62"/>
      <c r="N8" s="62"/>
      <c r="O8" s="62"/>
      <c r="P8" s="62"/>
      <c r="Q8" s="62"/>
      <c r="R8" s="62"/>
      <c r="S8" s="62"/>
      <c r="T8" s="62"/>
      <c r="U8" s="88">
        <f>K8</f>
        <v>2701747</v>
      </c>
      <c r="V8" s="58"/>
      <c r="W8" s="62"/>
      <c r="X8" s="62"/>
      <c r="Y8" s="62"/>
      <c r="Z8" s="62"/>
      <c r="AA8" s="62"/>
      <c r="AB8" s="62"/>
      <c r="AC8" s="62"/>
      <c r="AD8" s="62"/>
      <c r="AE8" s="88">
        <f>U8</f>
        <v>2701747</v>
      </c>
    </row>
    <row r="9" spans="1:31">
      <c r="A9" s="94" t="s">
        <v>24</v>
      </c>
      <c r="B9" s="98"/>
      <c r="C9" s="98">
        <v>850067</v>
      </c>
      <c r="D9" s="98"/>
      <c r="E9" s="58"/>
      <c r="F9" s="59"/>
      <c r="G9" s="62"/>
      <c r="H9" s="62"/>
      <c r="I9" s="87">
        <f>C9</f>
        <v>850067</v>
      </c>
      <c r="J9" s="62"/>
      <c r="K9" s="59"/>
      <c r="L9" s="62"/>
      <c r="M9" s="62"/>
      <c r="N9" s="87">
        <f>I9</f>
        <v>850067</v>
      </c>
      <c r="O9" s="62"/>
      <c r="P9" s="59"/>
      <c r="Q9" s="62"/>
      <c r="R9" s="62"/>
      <c r="S9" s="59"/>
      <c r="T9" s="87">
        <v>509000</v>
      </c>
      <c r="U9" s="59"/>
      <c r="V9" s="58"/>
      <c r="W9" s="59"/>
      <c r="X9" s="62"/>
      <c r="Y9" s="87">
        <f>T9</f>
        <v>509000</v>
      </c>
      <c r="Z9" s="59"/>
      <c r="AA9" s="59"/>
      <c r="AB9" s="62"/>
      <c r="AC9" s="59"/>
      <c r="AD9" s="62"/>
      <c r="AE9" s="87">
        <f>Y9</f>
        <v>509000</v>
      </c>
    </row>
    <row r="10" spans="1:31">
      <c r="A10" s="94" t="s">
        <v>25</v>
      </c>
      <c r="B10" s="98">
        <v>3111090.1088888892</v>
      </c>
      <c r="C10" s="98">
        <v>3111090.1088888892</v>
      </c>
      <c r="D10" s="98">
        <v>3111090.1088888892</v>
      </c>
      <c r="E10" s="58"/>
      <c r="F10" s="62"/>
      <c r="G10" s="62"/>
      <c r="H10" s="62"/>
      <c r="I10" s="62"/>
      <c r="J10" s="62"/>
      <c r="K10" s="87">
        <f>D10*1.5</f>
        <v>4666635.163333334</v>
      </c>
      <c r="L10" s="62"/>
      <c r="M10" s="62"/>
      <c r="N10" s="62"/>
      <c r="O10" s="62"/>
      <c r="P10" s="62"/>
      <c r="Q10" s="62"/>
      <c r="R10" s="62"/>
      <c r="S10" s="62"/>
      <c r="T10" s="62"/>
      <c r="U10" s="87">
        <f>K10</f>
        <v>4666635.163333334</v>
      </c>
      <c r="V10" s="58"/>
      <c r="W10" s="62"/>
      <c r="X10" s="62"/>
      <c r="Y10" s="62"/>
      <c r="Z10" s="62"/>
      <c r="AA10" s="62"/>
      <c r="AB10" s="62"/>
      <c r="AC10" s="62"/>
      <c r="AD10" s="62"/>
      <c r="AE10" s="87">
        <f>U10</f>
        <v>4666635.163333334</v>
      </c>
    </row>
    <row r="11" spans="1:31" ht="15.75" thickBot="1">
      <c r="A11" s="95" t="s">
        <v>26</v>
      </c>
      <c r="B11" s="105">
        <v>4059184.7749999999</v>
      </c>
      <c r="C11" s="104"/>
      <c r="D11" s="103"/>
      <c r="E11" s="63"/>
      <c r="F11" s="86">
        <f>B11*0.3</f>
        <v>1217755.4324999999</v>
      </c>
      <c r="G11" s="64"/>
      <c r="H11" s="64"/>
      <c r="I11" s="64"/>
      <c r="J11" s="64"/>
      <c r="K11" s="90">
        <f>B11</f>
        <v>4059184.7749999999</v>
      </c>
      <c r="L11" s="64"/>
      <c r="M11" s="64"/>
      <c r="N11" s="64"/>
      <c r="O11" s="64"/>
      <c r="P11" s="86">
        <f>F11</f>
        <v>1217755.4324999999</v>
      </c>
      <c r="Q11" s="64"/>
      <c r="R11" s="64"/>
      <c r="S11" s="64"/>
      <c r="T11" s="64"/>
      <c r="U11" s="90">
        <f>K11</f>
        <v>4059184.7749999999</v>
      </c>
      <c r="V11" s="63"/>
      <c r="W11" s="65"/>
      <c r="X11" s="64"/>
      <c r="Y11" s="64"/>
      <c r="Z11" s="86">
        <f>P11</f>
        <v>1217755.4324999999</v>
      </c>
      <c r="AA11" s="64"/>
      <c r="AB11" s="64"/>
      <c r="AC11" s="65"/>
      <c r="AD11" s="64"/>
      <c r="AE11" s="87">
        <f>U11</f>
        <v>4059184.7749999999</v>
      </c>
    </row>
    <row r="12" spans="1:31">
      <c r="B12" s="249">
        <f>SUM(B5:B11)</f>
        <v>50128070.857222155</v>
      </c>
      <c r="C12" s="247">
        <f>SUM(C6:C11)</f>
        <v>34289430.075555585</v>
      </c>
      <c r="D12" s="251">
        <f>SUM(D5:D10)</f>
        <v>30737616.075555589</v>
      </c>
      <c r="E12" s="240" t="s">
        <v>28</v>
      </c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</row>
    <row r="13" spans="1:31">
      <c r="A13" s="85" t="s">
        <v>274</v>
      </c>
      <c r="B13" s="250"/>
      <c r="C13" s="248"/>
      <c r="D13" s="252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1"/>
      <c r="AD13" s="241"/>
      <c r="AE13" s="241"/>
    </row>
    <row r="14" spans="1:31" ht="15.75" thickBot="1">
      <c r="A14" s="84"/>
    </row>
    <row r="15" spans="1:31" ht="15.75" thickBot="1">
      <c r="A15" s="73" t="s">
        <v>29</v>
      </c>
      <c r="B15" s="242" t="s">
        <v>30</v>
      </c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</row>
    <row r="16" spans="1:31" ht="15.75" thickBot="1">
      <c r="A16" s="45" t="s">
        <v>0</v>
      </c>
      <c r="B16" s="74">
        <v>1</v>
      </c>
      <c r="C16" s="75">
        <v>2</v>
      </c>
      <c r="D16" s="75">
        <v>3</v>
      </c>
      <c r="E16" s="75">
        <v>4</v>
      </c>
      <c r="F16" s="75">
        <v>5</v>
      </c>
      <c r="G16" s="75">
        <v>6</v>
      </c>
      <c r="H16" s="75">
        <v>7</v>
      </c>
      <c r="I16" s="75">
        <v>8</v>
      </c>
      <c r="J16" s="75">
        <v>9</v>
      </c>
      <c r="K16" s="75">
        <v>10</v>
      </c>
      <c r="L16" s="75">
        <v>11</v>
      </c>
      <c r="M16" s="75">
        <v>12</v>
      </c>
      <c r="N16" s="75">
        <v>13</v>
      </c>
      <c r="O16" s="75">
        <v>14</v>
      </c>
      <c r="P16" s="75">
        <v>15</v>
      </c>
      <c r="Q16" s="75">
        <v>16</v>
      </c>
      <c r="R16" s="75">
        <v>17</v>
      </c>
      <c r="S16" s="75">
        <v>18</v>
      </c>
      <c r="T16" s="75">
        <v>19</v>
      </c>
      <c r="U16" s="76">
        <v>20</v>
      </c>
      <c r="V16" s="46">
        <v>21</v>
      </c>
      <c r="W16" s="46">
        <v>22</v>
      </c>
      <c r="X16" s="46">
        <v>23</v>
      </c>
      <c r="Y16" s="46">
        <v>24</v>
      </c>
      <c r="Z16" s="46">
        <v>25</v>
      </c>
      <c r="AA16" s="46">
        <v>26</v>
      </c>
      <c r="AB16" s="46">
        <v>27</v>
      </c>
      <c r="AC16" s="46">
        <v>28</v>
      </c>
      <c r="AD16" s="46">
        <v>29</v>
      </c>
      <c r="AE16" s="46">
        <v>30</v>
      </c>
    </row>
    <row r="17" spans="1:31">
      <c r="A17" s="3" t="s">
        <v>42</v>
      </c>
      <c r="B17" s="48"/>
      <c r="C17" s="49"/>
      <c r="D17" s="50"/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101">
        <f>248687218*0.05</f>
        <v>12434360.9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101">
        <f>K17</f>
        <v>12434360.9</v>
      </c>
      <c r="S17" s="77">
        <v>0</v>
      </c>
      <c r="T17" s="77">
        <v>0</v>
      </c>
      <c r="U17" s="78">
        <v>0</v>
      </c>
      <c r="V17" s="79">
        <v>0</v>
      </c>
      <c r="W17" s="79">
        <v>0</v>
      </c>
      <c r="X17" s="79">
        <v>0</v>
      </c>
      <c r="Y17" s="102">
        <f>R17</f>
        <v>12434360.9</v>
      </c>
      <c r="Z17" s="79">
        <v>0</v>
      </c>
      <c r="AA17" s="79">
        <v>0</v>
      </c>
      <c r="AB17" s="79">
        <v>0</v>
      </c>
      <c r="AC17" s="79">
        <v>0</v>
      </c>
      <c r="AD17" s="79">
        <v>0</v>
      </c>
      <c r="AE17" s="102">
        <v>12434360.9</v>
      </c>
    </row>
    <row r="18" spans="1:31">
      <c r="A18" s="54" t="s">
        <v>31</v>
      </c>
      <c r="B18" s="55"/>
      <c r="C18" s="56"/>
      <c r="D18" s="57"/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99">
        <f>20955959*0.15</f>
        <v>3143393.85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99">
        <f>K18</f>
        <v>3143393.85</v>
      </c>
      <c r="S18" s="77">
        <v>0</v>
      </c>
      <c r="T18" s="77">
        <v>0</v>
      </c>
      <c r="U18" s="78">
        <v>0</v>
      </c>
      <c r="V18" s="59">
        <v>0</v>
      </c>
      <c r="W18" s="59">
        <v>0</v>
      </c>
      <c r="X18" s="59">
        <v>0</v>
      </c>
      <c r="Y18" s="99">
        <f>R18</f>
        <v>3143393.85</v>
      </c>
      <c r="Z18" s="59">
        <v>0</v>
      </c>
      <c r="AA18" s="59">
        <v>0</v>
      </c>
      <c r="AB18" s="59">
        <v>0</v>
      </c>
      <c r="AC18" s="59">
        <v>0</v>
      </c>
      <c r="AD18" s="59">
        <v>0</v>
      </c>
      <c r="AE18" s="99">
        <v>3143393.85</v>
      </c>
    </row>
    <row r="19" spans="1:31">
      <c r="A19" s="54" t="s">
        <v>32</v>
      </c>
      <c r="B19" s="55"/>
      <c r="C19" s="60"/>
      <c r="D19" s="57"/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99">
        <f>53248977.76*0.05</f>
        <v>2662448.8880000003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99">
        <f>K19*2</f>
        <v>5324897.7760000005</v>
      </c>
      <c r="S19" s="77">
        <v>0</v>
      </c>
      <c r="T19" s="77">
        <v>0</v>
      </c>
      <c r="U19" s="78">
        <v>0</v>
      </c>
      <c r="V19" s="59">
        <v>0</v>
      </c>
      <c r="W19" s="59">
        <v>0</v>
      </c>
      <c r="X19" s="59">
        <v>0</v>
      </c>
      <c r="Y19" s="99">
        <f>K19</f>
        <v>2662448.8880000003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99">
        <v>5324897.7760000005</v>
      </c>
    </row>
    <row r="20" spans="1:31">
      <c r="A20" s="54" t="s">
        <v>33</v>
      </c>
      <c r="B20" s="61"/>
      <c r="C20" s="56"/>
      <c r="D20" s="57"/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99">
        <f>3768253*0.05</f>
        <v>188412.65000000002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99">
        <f>K20*2</f>
        <v>376825.30000000005</v>
      </c>
      <c r="S20" s="77">
        <v>0</v>
      </c>
      <c r="T20" s="77">
        <v>0</v>
      </c>
      <c r="U20" s="78">
        <v>0</v>
      </c>
      <c r="V20" s="59">
        <v>0</v>
      </c>
      <c r="W20" s="59">
        <v>0</v>
      </c>
      <c r="X20" s="59">
        <v>0</v>
      </c>
      <c r="Y20" s="99">
        <f>K20</f>
        <v>188412.65000000002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99">
        <v>376825.30000000005</v>
      </c>
    </row>
    <row r="21" spans="1:31" ht="15.75" thickBot="1">
      <c r="A21" s="54" t="s">
        <v>34</v>
      </c>
      <c r="B21" s="55"/>
      <c r="C21" s="60"/>
      <c r="D21" s="57"/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99">
        <f>55000000*0.05</f>
        <v>2750000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99">
        <f>K21*2</f>
        <v>5500000</v>
      </c>
      <c r="S21" s="80">
        <v>0</v>
      </c>
      <c r="T21" s="80">
        <v>0</v>
      </c>
      <c r="U21" s="81">
        <v>0</v>
      </c>
      <c r="V21" s="82">
        <v>0</v>
      </c>
      <c r="W21" s="82">
        <v>0</v>
      </c>
      <c r="X21" s="82">
        <v>0</v>
      </c>
      <c r="Y21" s="99">
        <f>K21</f>
        <v>2750000</v>
      </c>
      <c r="Z21" s="82">
        <v>0</v>
      </c>
      <c r="AA21" s="82">
        <v>0</v>
      </c>
      <c r="AB21" s="82">
        <v>0</v>
      </c>
      <c r="AC21" s="82">
        <v>0</v>
      </c>
      <c r="AD21" s="82">
        <v>0</v>
      </c>
      <c r="AE21" s="100">
        <v>5500000</v>
      </c>
    </row>
    <row r="22" spans="1:31">
      <c r="B22" s="66" t="s">
        <v>27</v>
      </c>
      <c r="C22" s="67"/>
      <c r="D22" s="68"/>
      <c r="E22" s="244" t="s">
        <v>28</v>
      </c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</row>
    <row r="23" spans="1:31" ht="15.75" thickBot="1">
      <c r="B23" s="70" t="s">
        <v>41</v>
      </c>
      <c r="C23" s="71"/>
      <c r="D23" s="72"/>
      <c r="E23" s="245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</row>
    <row r="25" spans="1:31">
      <c r="A25" t="s">
        <v>35</v>
      </c>
    </row>
    <row r="26" spans="1:31">
      <c r="A26" t="s">
        <v>36</v>
      </c>
    </row>
    <row r="27" spans="1:31">
      <c r="A27" s="83" t="s">
        <v>37</v>
      </c>
    </row>
    <row r="31" spans="1:31">
      <c r="A31" s="84"/>
    </row>
    <row r="33" spans="3:6">
      <c r="C33">
        <v>70566312.106666669</v>
      </c>
      <c r="D33" s="84">
        <v>16701996.800000001</v>
      </c>
      <c r="F33">
        <v>9333270.3266666681</v>
      </c>
    </row>
    <row r="34" spans="3:6">
      <c r="C34" s="84">
        <f>C33-B6</f>
        <v>44118387.400000066</v>
      </c>
      <c r="D34" s="84">
        <f>D33/3</f>
        <v>5567332.2666666666</v>
      </c>
      <c r="F34">
        <f>F33/3</f>
        <v>3111090.1088888892</v>
      </c>
    </row>
    <row r="35" spans="3:6">
      <c r="C35" s="84">
        <f>C34/2</f>
        <v>22059193.700000033</v>
      </c>
    </row>
  </sheetData>
  <mergeCells count="8">
    <mergeCell ref="A1:AE2"/>
    <mergeCell ref="B3:AE3"/>
    <mergeCell ref="E12:AE13"/>
    <mergeCell ref="B15:AE15"/>
    <mergeCell ref="E22:AE23"/>
    <mergeCell ref="C12:C13"/>
    <mergeCell ref="B12:B13"/>
    <mergeCell ref="D12:D1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F2FF0-A2E1-42C8-B3B5-D60C4159653E}">
  <sheetPr>
    <tabColor rgb="FF92D050"/>
  </sheetPr>
  <dimension ref="A1:G253"/>
  <sheetViews>
    <sheetView showGridLines="0" zoomScaleNormal="100" workbookViewId="0">
      <selection activeCell="G6" sqref="G6"/>
    </sheetView>
  </sheetViews>
  <sheetFormatPr defaultRowHeight="15"/>
  <cols>
    <col min="1" max="1" width="14.42578125" bestFit="1" customWidth="1"/>
    <col min="2" max="2" width="69.28515625" customWidth="1"/>
    <col min="3" max="3" width="16" customWidth="1"/>
    <col min="4" max="4" width="12.42578125" customWidth="1"/>
    <col min="5" max="5" width="15.28515625" customWidth="1"/>
    <col min="6" max="6" width="19.5703125" customWidth="1"/>
    <col min="7" max="7" width="21.140625" customWidth="1"/>
  </cols>
  <sheetData>
    <row r="1" spans="1:7" ht="15.75">
      <c r="A1" s="20" t="s">
        <v>43</v>
      </c>
      <c r="B1" s="20" t="s">
        <v>19</v>
      </c>
      <c r="C1" s="20" t="s">
        <v>44</v>
      </c>
      <c r="D1" s="20" t="s">
        <v>45</v>
      </c>
      <c r="E1" s="20" t="s">
        <v>46</v>
      </c>
      <c r="F1" s="20" t="s">
        <v>17</v>
      </c>
      <c r="G1" s="165" t="s">
        <v>275</v>
      </c>
    </row>
    <row r="2" spans="1:7">
      <c r="A2" s="20" t="s">
        <v>47</v>
      </c>
      <c r="B2" s="106" t="s">
        <v>48</v>
      </c>
      <c r="C2" s="20">
        <v>1732</v>
      </c>
      <c r="D2" s="20">
        <v>2</v>
      </c>
      <c r="E2" s="107">
        <v>14530</v>
      </c>
      <c r="F2" s="107">
        <f t="shared" ref="F2:F65" si="0">D2*E2</f>
        <v>29060</v>
      </c>
      <c r="G2" s="20" t="s">
        <v>263</v>
      </c>
    </row>
    <row r="3" spans="1:7">
      <c r="A3" s="20" t="s">
        <v>49</v>
      </c>
      <c r="B3" s="106" t="s">
        <v>50</v>
      </c>
      <c r="C3" s="62">
        <v>95</v>
      </c>
      <c r="D3" s="20">
        <v>3</v>
      </c>
      <c r="E3" s="107">
        <v>2291</v>
      </c>
      <c r="F3" s="107">
        <f t="shared" si="0"/>
        <v>6873</v>
      </c>
      <c r="G3" s="20" t="s">
        <v>263</v>
      </c>
    </row>
    <row r="4" spans="1:7">
      <c r="A4" s="20" t="s">
        <v>47</v>
      </c>
      <c r="B4" s="106" t="s">
        <v>51</v>
      </c>
      <c r="C4" s="20">
        <v>11416</v>
      </c>
      <c r="D4" s="20">
        <v>2</v>
      </c>
      <c r="E4" s="107">
        <v>31739</v>
      </c>
      <c r="F4" s="107">
        <f t="shared" si="0"/>
        <v>63478</v>
      </c>
      <c r="G4" s="20" t="s">
        <v>263</v>
      </c>
    </row>
    <row r="5" spans="1:7">
      <c r="A5" s="20" t="s">
        <v>47</v>
      </c>
      <c r="B5" s="106" t="s">
        <v>52</v>
      </c>
      <c r="C5" s="20">
        <v>718</v>
      </c>
      <c r="D5" s="20">
        <v>15</v>
      </c>
      <c r="E5" s="107">
        <v>61336</v>
      </c>
      <c r="F5" s="107">
        <f t="shared" si="0"/>
        <v>920040</v>
      </c>
      <c r="G5" s="20" t="s">
        <v>263</v>
      </c>
    </row>
    <row r="6" spans="1:7">
      <c r="A6" s="20" t="s">
        <v>47</v>
      </c>
      <c r="B6" s="106" t="s">
        <v>53</v>
      </c>
      <c r="C6" s="20">
        <v>10927</v>
      </c>
      <c r="D6" s="20">
        <v>16</v>
      </c>
      <c r="E6" s="107">
        <v>220400</v>
      </c>
      <c r="F6" s="107">
        <f t="shared" si="0"/>
        <v>3526400</v>
      </c>
      <c r="G6" s="20" t="s">
        <v>263</v>
      </c>
    </row>
    <row r="7" spans="1:7">
      <c r="A7" s="20" t="s">
        <v>49</v>
      </c>
      <c r="B7" s="106" t="s">
        <v>53</v>
      </c>
      <c r="C7" s="20">
        <v>10927</v>
      </c>
      <c r="D7" s="20">
        <v>2</v>
      </c>
      <c r="E7" s="107">
        <v>220400</v>
      </c>
      <c r="F7" s="107">
        <f t="shared" si="0"/>
        <v>440800</v>
      </c>
      <c r="G7" s="20" t="s">
        <v>263</v>
      </c>
    </row>
    <row r="8" spans="1:7">
      <c r="A8" s="20" t="s">
        <v>47</v>
      </c>
      <c r="B8" s="106" t="s">
        <v>54</v>
      </c>
      <c r="C8" s="20">
        <v>11234</v>
      </c>
      <c r="D8" s="20">
        <v>1</v>
      </c>
      <c r="E8" s="107">
        <v>382013</v>
      </c>
      <c r="F8" s="107">
        <f t="shared" si="0"/>
        <v>382013</v>
      </c>
      <c r="G8" s="20" t="s">
        <v>263</v>
      </c>
    </row>
    <row r="9" spans="1:7">
      <c r="A9" s="20" t="s">
        <v>47</v>
      </c>
      <c r="B9" s="106" t="s">
        <v>55</v>
      </c>
      <c r="C9" s="20">
        <v>10883</v>
      </c>
      <c r="D9" s="20">
        <v>5</v>
      </c>
      <c r="E9" s="107">
        <v>359148</v>
      </c>
      <c r="F9" s="107">
        <f t="shared" si="0"/>
        <v>1795740</v>
      </c>
      <c r="G9" s="20" t="s">
        <v>264</v>
      </c>
    </row>
    <row r="10" spans="1:7">
      <c r="A10" s="20" t="s">
        <v>56</v>
      </c>
      <c r="B10" s="106" t="s">
        <v>55</v>
      </c>
      <c r="C10" s="20">
        <v>10883</v>
      </c>
      <c r="D10" s="62">
        <v>1</v>
      </c>
      <c r="E10" s="107">
        <v>359148</v>
      </c>
      <c r="F10" s="107">
        <f t="shared" si="0"/>
        <v>359148</v>
      </c>
      <c r="G10" s="20" t="s">
        <v>264</v>
      </c>
    </row>
    <row r="11" spans="1:7">
      <c r="A11" s="20" t="s">
        <v>47</v>
      </c>
      <c r="B11" s="106" t="s">
        <v>57</v>
      </c>
      <c r="C11" s="20">
        <v>361</v>
      </c>
      <c r="D11" s="20">
        <v>7</v>
      </c>
      <c r="E11" s="107">
        <v>239250</v>
      </c>
      <c r="F11" s="107">
        <f t="shared" si="0"/>
        <v>1674750</v>
      </c>
      <c r="G11" s="20" t="s">
        <v>263</v>
      </c>
    </row>
    <row r="12" spans="1:7">
      <c r="A12" s="20" t="s">
        <v>56</v>
      </c>
      <c r="B12" s="106" t="s">
        <v>57</v>
      </c>
      <c r="C12" s="20">
        <v>361</v>
      </c>
      <c r="D12" s="20">
        <v>1</v>
      </c>
      <c r="E12" s="107">
        <v>239250</v>
      </c>
      <c r="F12" s="107">
        <f t="shared" si="0"/>
        <v>239250</v>
      </c>
      <c r="G12" s="20" t="s">
        <v>263</v>
      </c>
    </row>
    <row r="13" spans="1:7">
      <c r="A13" s="20" t="s">
        <v>49</v>
      </c>
      <c r="B13" s="106" t="s">
        <v>57</v>
      </c>
      <c r="C13" s="20">
        <v>361</v>
      </c>
      <c r="D13" s="20">
        <v>1</v>
      </c>
      <c r="E13" s="107">
        <v>239250</v>
      </c>
      <c r="F13" s="107">
        <f t="shared" si="0"/>
        <v>239250</v>
      </c>
      <c r="G13" s="20" t="s">
        <v>263</v>
      </c>
    </row>
    <row r="14" spans="1:7">
      <c r="A14" s="20" t="s">
        <v>49</v>
      </c>
      <c r="B14" s="106" t="s">
        <v>58</v>
      </c>
      <c r="C14" s="20">
        <v>321</v>
      </c>
      <c r="D14" s="20">
        <v>17</v>
      </c>
      <c r="E14" s="107">
        <v>9578</v>
      </c>
      <c r="F14" s="107">
        <f t="shared" si="0"/>
        <v>162826</v>
      </c>
      <c r="G14" s="20" t="s">
        <v>263</v>
      </c>
    </row>
    <row r="15" spans="1:7" ht="15.75" thickBot="1">
      <c r="A15" s="20" t="s">
        <v>47</v>
      </c>
      <c r="B15" s="106" t="s">
        <v>59</v>
      </c>
      <c r="C15" s="20">
        <v>253</v>
      </c>
      <c r="D15" s="20">
        <v>4</v>
      </c>
      <c r="E15" s="107">
        <v>416194</v>
      </c>
      <c r="F15" s="107">
        <f t="shared" si="0"/>
        <v>1664776</v>
      </c>
      <c r="G15" s="20" t="s">
        <v>265</v>
      </c>
    </row>
    <row r="16" spans="1:7" ht="15.75" thickBot="1">
      <c r="A16" s="20" t="s">
        <v>47</v>
      </c>
      <c r="B16" s="106" t="s">
        <v>60</v>
      </c>
      <c r="C16" s="62" t="s">
        <v>61</v>
      </c>
      <c r="D16" s="20">
        <v>2</v>
      </c>
      <c r="E16" s="108">
        <v>505890.66666666698</v>
      </c>
      <c r="F16" s="107">
        <f t="shared" si="0"/>
        <v>1011781.333333334</v>
      </c>
      <c r="G16" s="20" t="s">
        <v>265</v>
      </c>
    </row>
    <row r="17" spans="1:7">
      <c r="A17" s="20" t="s">
        <v>62</v>
      </c>
      <c r="B17" s="106" t="s">
        <v>63</v>
      </c>
      <c r="C17" s="20">
        <v>2138</v>
      </c>
      <c r="D17" s="20">
        <v>100</v>
      </c>
      <c r="E17" s="107">
        <v>988</v>
      </c>
      <c r="F17" s="107">
        <f t="shared" si="0"/>
        <v>98800</v>
      </c>
      <c r="G17" s="20" t="s">
        <v>266</v>
      </c>
    </row>
    <row r="18" spans="1:7">
      <c r="A18" s="20" t="s">
        <v>62</v>
      </c>
      <c r="B18" s="106" t="s">
        <v>64</v>
      </c>
      <c r="C18" s="62" t="s">
        <v>65</v>
      </c>
      <c r="D18" s="20">
        <v>74</v>
      </c>
      <c r="E18" s="107">
        <v>1543.59</v>
      </c>
      <c r="F18" s="107">
        <f t="shared" si="0"/>
        <v>114225.65999999999</v>
      </c>
      <c r="G18" s="20" t="s">
        <v>267</v>
      </c>
    </row>
    <row r="19" spans="1:7">
      <c r="A19" s="20" t="s">
        <v>62</v>
      </c>
      <c r="B19" s="106" t="s">
        <v>66</v>
      </c>
      <c r="C19" s="62" t="s">
        <v>65</v>
      </c>
      <c r="D19" s="20">
        <v>400</v>
      </c>
      <c r="E19" s="109">
        <v>2392.3000000000002</v>
      </c>
      <c r="F19" s="107">
        <f t="shared" si="0"/>
        <v>956920.00000000012</v>
      </c>
      <c r="G19" s="20" t="s">
        <v>267</v>
      </c>
    </row>
    <row r="20" spans="1:7">
      <c r="A20" s="20" t="s">
        <v>56</v>
      </c>
      <c r="B20" s="106" t="s">
        <v>67</v>
      </c>
      <c r="C20" s="20">
        <v>71</v>
      </c>
      <c r="D20" s="20">
        <v>2</v>
      </c>
      <c r="E20" s="84">
        <v>3183</v>
      </c>
      <c r="F20" s="107">
        <f t="shared" si="0"/>
        <v>6366</v>
      </c>
      <c r="G20" s="20" t="s">
        <v>268</v>
      </c>
    </row>
    <row r="21" spans="1:7">
      <c r="A21" s="20" t="s">
        <v>49</v>
      </c>
      <c r="B21" s="106" t="s">
        <v>67</v>
      </c>
      <c r="C21" s="20">
        <v>71</v>
      </c>
      <c r="D21" s="20">
        <v>10</v>
      </c>
      <c r="E21" s="107">
        <v>3183</v>
      </c>
      <c r="F21" s="107">
        <f t="shared" si="0"/>
        <v>31830</v>
      </c>
      <c r="G21" s="20" t="s">
        <v>268</v>
      </c>
    </row>
    <row r="22" spans="1:7">
      <c r="A22" s="20" t="s">
        <v>47</v>
      </c>
      <c r="B22" s="106" t="s">
        <v>67</v>
      </c>
      <c r="C22" s="20">
        <v>71</v>
      </c>
      <c r="D22" s="20">
        <v>30</v>
      </c>
      <c r="E22" s="107">
        <v>3183</v>
      </c>
      <c r="F22" s="107">
        <f t="shared" si="0"/>
        <v>95490</v>
      </c>
      <c r="G22" s="20" t="s">
        <v>268</v>
      </c>
    </row>
    <row r="23" spans="1:7">
      <c r="A23" s="20" t="s">
        <v>47</v>
      </c>
      <c r="B23" s="106" t="s">
        <v>68</v>
      </c>
      <c r="C23" s="20">
        <v>10584</v>
      </c>
      <c r="D23" s="20">
        <v>2</v>
      </c>
      <c r="E23" s="107">
        <v>352500</v>
      </c>
      <c r="F23" s="107">
        <f t="shared" si="0"/>
        <v>705000</v>
      </c>
      <c r="G23" s="20" t="s">
        <v>268</v>
      </c>
    </row>
    <row r="24" spans="1:7">
      <c r="A24" s="20" t="s">
        <v>47</v>
      </c>
      <c r="B24" s="106" t="s">
        <v>69</v>
      </c>
      <c r="C24" s="20">
        <v>10551</v>
      </c>
      <c r="D24" s="20">
        <v>2</v>
      </c>
      <c r="E24" s="107">
        <v>6476</v>
      </c>
      <c r="F24" s="107">
        <f t="shared" si="0"/>
        <v>12952</v>
      </c>
      <c r="G24" s="20" t="s">
        <v>269</v>
      </c>
    </row>
    <row r="25" spans="1:7">
      <c r="A25" s="20" t="s">
        <v>47</v>
      </c>
      <c r="B25" s="106" t="s">
        <v>70</v>
      </c>
      <c r="C25" s="20">
        <v>10893</v>
      </c>
      <c r="D25" s="20">
        <v>3</v>
      </c>
      <c r="E25" s="107">
        <v>309316</v>
      </c>
      <c r="F25" s="107">
        <f t="shared" si="0"/>
        <v>927948</v>
      </c>
      <c r="G25" s="20" t="s">
        <v>269</v>
      </c>
    </row>
    <row r="26" spans="1:7">
      <c r="A26" s="20" t="s">
        <v>47</v>
      </c>
      <c r="B26" s="106" t="s">
        <v>71</v>
      </c>
      <c r="C26" s="20">
        <v>2271</v>
      </c>
      <c r="D26" s="20">
        <v>2</v>
      </c>
      <c r="E26" s="107">
        <v>22778</v>
      </c>
      <c r="F26" s="107">
        <f t="shared" si="0"/>
        <v>45556</v>
      </c>
      <c r="G26" s="20" t="s">
        <v>269</v>
      </c>
    </row>
    <row r="27" spans="1:7">
      <c r="A27" s="20" t="s">
        <v>47</v>
      </c>
      <c r="B27" s="106" t="s">
        <v>72</v>
      </c>
      <c r="C27" s="20">
        <v>2141</v>
      </c>
      <c r="D27" s="20">
        <v>2</v>
      </c>
      <c r="E27" s="107">
        <v>8013</v>
      </c>
      <c r="F27" s="107">
        <f t="shared" si="0"/>
        <v>16026</v>
      </c>
      <c r="G27" s="20" t="s">
        <v>270</v>
      </c>
    </row>
    <row r="28" spans="1:7">
      <c r="A28" s="20" t="s">
        <v>47</v>
      </c>
      <c r="B28" s="106" t="s">
        <v>73</v>
      </c>
      <c r="C28" s="20">
        <v>2980</v>
      </c>
      <c r="D28" s="20">
        <v>10</v>
      </c>
      <c r="E28" s="107">
        <v>1253</v>
      </c>
      <c r="F28" s="107">
        <f t="shared" si="0"/>
        <v>12530</v>
      </c>
      <c r="G28" s="20" t="s">
        <v>270</v>
      </c>
    </row>
    <row r="29" spans="1:7">
      <c r="A29" s="20" t="s">
        <v>49</v>
      </c>
      <c r="B29" s="106" t="s">
        <v>73</v>
      </c>
      <c r="C29" s="20">
        <v>2980</v>
      </c>
      <c r="D29" s="20">
        <v>9</v>
      </c>
      <c r="E29" s="107">
        <v>1253</v>
      </c>
      <c r="F29" s="107">
        <f t="shared" si="0"/>
        <v>11277</v>
      </c>
      <c r="G29" s="20" t="s">
        <v>270</v>
      </c>
    </row>
    <row r="30" spans="1:7">
      <c r="A30" s="20" t="s">
        <v>56</v>
      </c>
      <c r="B30" s="106" t="s">
        <v>73</v>
      </c>
      <c r="C30" s="20">
        <v>2980</v>
      </c>
      <c r="D30" s="20">
        <v>6</v>
      </c>
      <c r="E30" s="107">
        <v>1716</v>
      </c>
      <c r="F30" s="107">
        <f t="shared" si="0"/>
        <v>10296</v>
      </c>
      <c r="G30" s="20" t="s">
        <v>270</v>
      </c>
    </row>
    <row r="31" spans="1:7">
      <c r="A31" s="20" t="s">
        <v>47</v>
      </c>
      <c r="B31" s="106" t="s">
        <v>73</v>
      </c>
      <c r="C31" s="20">
        <v>2980</v>
      </c>
      <c r="D31" s="20">
        <v>3</v>
      </c>
      <c r="E31" s="107">
        <v>1716</v>
      </c>
      <c r="F31" s="107">
        <f t="shared" si="0"/>
        <v>5148</v>
      </c>
      <c r="G31" s="20" t="s">
        <v>270</v>
      </c>
    </row>
    <row r="32" spans="1:7">
      <c r="A32" s="20" t="s">
        <v>49</v>
      </c>
      <c r="B32" s="106" t="s">
        <v>74</v>
      </c>
      <c r="C32" s="20">
        <v>2981</v>
      </c>
      <c r="D32" s="20">
        <v>15</v>
      </c>
      <c r="E32" s="107">
        <v>1054</v>
      </c>
      <c r="F32" s="107">
        <f t="shared" si="0"/>
        <v>15810</v>
      </c>
      <c r="G32" s="20" t="s">
        <v>270</v>
      </c>
    </row>
    <row r="33" spans="1:7">
      <c r="A33" s="20" t="s">
        <v>56</v>
      </c>
      <c r="B33" s="106" t="s">
        <v>74</v>
      </c>
      <c r="C33" s="20">
        <v>2981</v>
      </c>
      <c r="D33" s="20">
        <v>4</v>
      </c>
      <c r="E33" s="107">
        <v>1101</v>
      </c>
      <c r="F33" s="107">
        <f t="shared" si="0"/>
        <v>4404</v>
      </c>
      <c r="G33" s="20" t="s">
        <v>270</v>
      </c>
    </row>
    <row r="34" spans="1:7">
      <c r="A34" s="20" t="s">
        <v>47</v>
      </c>
      <c r="B34" s="106" t="s">
        <v>75</v>
      </c>
      <c r="C34" s="62" t="s">
        <v>76</v>
      </c>
      <c r="D34" s="20">
        <v>2</v>
      </c>
      <c r="E34" s="107">
        <v>11249.33</v>
      </c>
      <c r="F34" s="107">
        <f t="shared" si="0"/>
        <v>22498.66</v>
      </c>
      <c r="G34" s="20" t="s">
        <v>270</v>
      </c>
    </row>
    <row r="35" spans="1:7">
      <c r="A35" s="20" t="s">
        <v>62</v>
      </c>
      <c r="B35" s="106" t="s">
        <v>77</v>
      </c>
      <c r="C35" s="62" t="s">
        <v>65</v>
      </c>
      <c r="D35" s="20">
        <f xml:space="preserve"> 80+20</f>
        <v>100</v>
      </c>
      <c r="E35" s="107">
        <v>1088.26</v>
      </c>
      <c r="F35" s="107">
        <f t="shared" si="0"/>
        <v>108826</v>
      </c>
      <c r="G35" s="20" t="s">
        <v>267</v>
      </c>
    </row>
    <row r="36" spans="1:7">
      <c r="A36" s="20" t="s">
        <v>49</v>
      </c>
      <c r="B36" s="106" t="s">
        <v>78</v>
      </c>
      <c r="C36" s="20">
        <v>220</v>
      </c>
      <c r="D36" s="20">
        <v>1</v>
      </c>
      <c r="E36" s="107">
        <v>2362</v>
      </c>
      <c r="F36" s="107">
        <f t="shared" si="0"/>
        <v>2362</v>
      </c>
      <c r="G36" s="20" t="s">
        <v>266</v>
      </c>
    </row>
    <row r="37" spans="1:7">
      <c r="A37" s="20" t="s">
        <v>47</v>
      </c>
      <c r="B37" s="106" t="s">
        <v>78</v>
      </c>
      <c r="C37" s="20">
        <v>220</v>
      </c>
      <c r="D37" s="20">
        <v>5</v>
      </c>
      <c r="E37" s="107">
        <v>2362</v>
      </c>
      <c r="F37" s="107">
        <f t="shared" si="0"/>
        <v>11810</v>
      </c>
      <c r="G37" s="20" t="s">
        <v>266</v>
      </c>
    </row>
    <row r="38" spans="1:7">
      <c r="A38" s="20" t="s">
        <v>49</v>
      </c>
      <c r="B38" s="106" t="s">
        <v>79</v>
      </c>
      <c r="C38" s="20">
        <v>10257</v>
      </c>
      <c r="D38" s="20">
        <v>1</v>
      </c>
      <c r="E38" s="107">
        <v>32726</v>
      </c>
      <c r="F38" s="107">
        <f t="shared" si="0"/>
        <v>32726</v>
      </c>
      <c r="G38" s="20" t="s">
        <v>266</v>
      </c>
    </row>
    <row r="39" spans="1:7">
      <c r="A39" s="20" t="s">
        <v>62</v>
      </c>
      <c r="B39" s="106" t="s">
        <v>80</v>
      </c>
      <c r="C39" s="20">
        <v>2711</v>
      </c>
      <c r="D39" s="20">
        <v>20</v>
      </c>
      <c r="E39" s="107">
        <v>596</v>
      </c>
      <c r="F39" s="107">
        <f t="shared" si="0"/>
        <v>11920</v>
      </c>
      <c r="G39" s="20" t="s">
        <v>266</v>
      </c>
    </row>
    <row r="40" spans="1:7">
      <c r="A40" s="20" t="s">
        <v>49</v>
      </c>
      <c r="B40" s="106" t="s">
        <v>81</v>
      </c>
      <c r="C40" s="20">
        <v>11074</v>
      </c>
      <c r="D40" s="20">
        <v>14</v>
      </c>
      <c r="E40" s="107">
        <v>1110</v>
      </c>
      <c r="F40" s="107">
        <f t="shared" si="0"/>
        <v>15540</v>
      </c>
      <c r="G40" s="20" t="s">
        <v>266</v>
      </c>
    </row>
    <row r="41" spans="1:7">
      <c r="A41" s="20" t="s">
        <v>49</v>
      </c>
      <c r="B41" s="106" t="s">
        <v>82</v>
      </c>
      <c r="C41" s="20">
        <v>553</v>
      </c>
      <c r="D41" s="20">
        <v>18</v>
      </c>
      <c r="E41" s="107">
        <v>27619</v>
      </c>
      <c r="F41" s="107">
        <f t="shared" si="0"/>
        <v>497142</v>
      </c>
      <c r="G41" s="20" t="s">
        <v>266</v>
      </c>
    </row>
    <row r="42" spans="1:7">
      <c r="A42" s="20" t="s">
        <v>49</v>
      </c>
      <c r="B42" s="106" t="s">
        <v>83</v>
      </c>
      <c r="C42" s="20">
        <v>2011</v>
      </c>
      <c r="D42" s="20">
        <v>108</v>
      </c>
      <c r="E42" s="107">
        <v>1171</v>
      </c>
      <c r="F42" s="107">
        <f t="shared" si="0"/>
        <v>126468</v>
      </c>
      <c r="G42" s="20" t="s">
        <v>266</v>
      </c>
    </row>
    <row r="43" spans="1:7">
      <c r="A43" s="20" t="s">
        <v>49</v>
      </c>
      <c r="B43" s="106" t="s">
        <v>84</v>
      </c>
      <c r="C43" s="20">
        <v>632</v>
      </c>
      <c r="D43" s="20">
        <v>2</v>
      </c>
      <c r="E43" s="107">
        <v>49144</v>
      </c>
      <c r="F43" s="107">
        <f t="shared" si="0"/>
        <v>98288</v>
      </c>
      <c r="G43" s="20" t="s">
        <v>268</v>
      </c>
    </row>
    <row r="44" spans="1:7">
      <c r="A44" s="20" t="s">
        <v>62</v>
      </c>
      <c r="B44" s="106" t="s">
        <v>85</v>
      </c>
      <c r="C44" s="20">
        <v>1737</v>
      </c>
      <c r="D44" s="20">
        <v>60</v>
      </c>
      <c r="E44" s="107">
        <v>864</v>
      </c>
      <c r="F44" s="107">
        <f t="shared" si="0"/>
        <v>51840</v>
      </c>
      <c r="G44" s="20" t="s">
        <v>266</v>
      </c>
    </row>
    <row r="45" spans="1:7">
      <c r="A45" s="20" t="s">
        <v>62</v>
      </c>
      <c r="B45" s="106" t="s">
        <v>86</v>
      </c>
      <c r="C45" s="20">
        <v>10463</v>
      </c>
      <c r="D45" s="20">
        <v>24</v>
      </c>
      <c r="E45" s="107">
        <v>8990</v>
      </c>
      <c r="F45" s="107">
        <f t="shared" si="0"/>
        <v>215760</v>
      </c>
      <c r="G45" s="20" t="s">
        <v>268</v>
      </c>
    </row>
    <row r="46" spans="1:7">
      <c r="A46" s="20" t="s">
        <v>47</v>
      </c>
      <c r="B46" s="106" t="s">
        <v>87</v>
      </c>
      <c r="C46" s="20">
        <v>10995</v>
      </c>
      <c r="D46" s="20">
        <f>22+5+2</f>
        <v>29</v>
      </c>
      <c r="E46" s="107">
        <v>11011</v>
      </c>
      <c r="F46" s="107">
        <f t="shared" si="0"/>
        <v>319319</v>
      </c>
      <c r="G46" s="20" t="s">
        <v>268</v>
      </c>
    </row>
    <row r="47" spans="1:7">
      <c r="A47" s="20" t="s">
        <v>49</v>
      </c>
      <c r="B47" s="106" t="s">
        <v>87</v>
      </c>
      <c r="C47" s="20">
        <v>10995</v>
      </c>
      <c r="D47" s="20">
        <v>3</v>
      </c>
      <c r="E47" s="107">
        <v>11011</v>
      </c>
      <c r="F47" s="107">
        <f t="shared" si="0"/>
        <v>33033</v>
      </c>
      <c r="G47" s="20" t="s">
        <v>268</v>
      </c>
    </row>
    <row r="48" spans="1:7">
      <c r="A48" s="20" t="s">
        <v>49</v>
      </c>
      <c r="B48" s="106" t="s">
        <v>88</v>
      </c>
      <c r="C48" s="62" t="s">
        <v>89</v>
      </c>
      <c r="D48" s="20">
        <v>7</v>
      </c>
      <c r="E48" s="107">
        <v>123.82000000000001</v>
      </c>
      <c r="F48" s="107">
        <f t="shared" si="0"/>
        <v>866.74</v>
      </c>
      <c r="G48" s="20" t="s">
        <v>266</v>
      </c>
    </row>
    <row r="49" spans="1:7">
      <c r="A49" s="20" t="s">
        <v>49</v>
      </c>
      <c r="B49" s="106" t="s">
        <v>90</v>
      </c>
      <c r="C49" s="20">
        <v>1736</v>
      </c>
      <c r="D49" s="20">
        <v>8</v>
      </c>
      <c r="E49" s="107">
        <v>422</v>
      </c>
      <c r="F49" s="107">
        <f t="shared" si="0"/>
        <v>3376</v>
      </c>
      <c r="G49" s="20" t="s">
        <v>266</v>
      </c>
    </row>
    <row r="50" spans="1:7">
      <c r="A50" s="20" t="s">
        <v>91</v>
      </c>
      <c r="B50" s="106" t="s">
        <v>90</v>
      </c>
      <c r="C50" s="20">
        <v>1736</v>
      </c>
      <c r="D50" s="20">
        <v>120</v>
      </c>
      <c r="E50" s="107">
        <v>422</v>
      </c>
      <c r="F50" s="107">
        <f t="shared" si="0"/>
        <v>50640</v>
      </c>
      <c r="G50" s="20" t="s">
        <v>266</v>
      </c>
    </row>
    <row r="51" spans="1:7">
      <c r="A51" s="20" t="s">
        <v>47</v>
      </c>
      <c r="B51" s="106" t="s">
        <v>92</v>
      </c>
      <c r="C51" s="20">
        <v>3052</v>
      </c>
      <c r="D51" s="20">
        <v>42</v>
      </c>
      <c r="E51" s="107">
        <v>1500</v>
      </c>
      <c r="F51" s="107">
        <f t="shared" si="0"/>
        <v>63000</v>
      </c>
      <c r="G51" s="20" t="s">
        <v>266</v>
      </c>
    </row>
    <row r="52" spans="1:7">
      <c r="A52" s="20" t="s">
        <v>49</v>
      </c>
      <c r="B52" s="106" t="s">
        <v>92</v>
      </c>
      <c r="C52" s="20">
        <v>3052</v>
      </c>
      <c r="D52" s="20">
        <v>6</v>
      </c>
      <c r="E52" s="107">
        <v>1500</v>
      </c>
      <c r="F52" s="107">
        <f t="shared" si="0"/>
        <v>9000</v>
      </c>
      <c r="G52" s="20" t="s">
        <v>266</v>
      </c>
    </row>
    <row r="53" spans="1:7">
      <c r="A53" s="20" t="s">
        <v>56</v>
      </c>
      <c r="B53" s="106" t="s">
        <v>92</v>
      </c>
      <c r="C53" s="20">
        <v>3052</v>
      </c>
      <c r="D53" s="20">
        <v>10</v>
      </c>
      <c r="E53" s="107">
        <v>1500</v>
      </c>
      <c r="F53" s="107">
        <f t="shared" si="0"/>
        <v>15000</v>
      </c>
      <c r="G53" s="20" t="s">
        <v>266</v>
      </c>
    </row>
    <row r="54" spans="1:7">
      <c r="A54" s="20" t="s">
        <v>47</v>
      </c>
      <c r="B54" s="106" t="s">
        <v>93</v>
      </c>
      <c r="C54" s="20">
        <v>11246</v>
      </c>
      <c r="D54" s="20">
        <v>10</v>
      </c>
      <c r="E54" s="107">
        <v>2031</v>
      </c>
      <c r="F54" s="107">
        <f t="shared" si="0"/>
        <v>20310</v>
      </c>
      <c r="G54" s="20" t="s">
        <v>266</v>
      </c>
    </row>
    <row r="55" spans="1:7">
      <c r="A55" s="20" t="s">
        <v>49</v>
      </c>
      <c r="B55" s="106" t="s">
        <v>93</v>
      </c>
      <c r="C55" s="20">
        <v>11246</v>
      </c>
      <c r="D55" s="20">
        <v>4</v>
      </c>
      <c r="E55" s="107">
        <v>2031</v>
      </c>
      <c r="F55" s="107">
        <f t="shared" si="0"/>
        <v>8124</v>
      </c>
      <c r="G55" s="20" t="s">
        <v>266</v>
      </c>
    </row>
    <row r="56" spans="1:7">
      <c r="A56" s="20" t="s">
        <v>56</v>
      </c>
      <c r="B56" s="106" t="s">
        <v>93</v>
      </c>
      <c r="C56" s="20">
        <v>11246</v>
      </c>
      <c r="D56" s="20">
        <v>5</v>
      </c>
      <c r="E56" s="107">
        <v>2031</v>
      </c>
      <c r="F56" s="107">
        <f t="shared" si="0"/>
        <v>10155</v>
      </c>
      <c r="G56" s="20" t="s">
        <v>266</v>
      </c>
    </row>
    <row r="57" spans="1:7">
      <c r="A57" s="20" t="s">
        <v>47</v>
      </c>
      <c r="B57" s="106" t="s">
        <v>94</v>
      </c>
      <c r="C57" s="20">
        <v>11245</v>
      </c>
      <c r="D57" s="20">
        <v>8</v>
      </c>
      <c r="E57" s="107">
        <v>1385</v>
      </c>
      <c r="F57" s="107">
        <f t="shared" si="0"/>
        <v>11080</v>
      </c>
      <c r="G57" s="20" t="s">
        <v>266</v>
      </c>
    </row>
    <row r="58" spans="1:7">
      <c r="A58" s="20" t="s">
        <v>56</v>
      </c>
      <c r="B58" s="106" t="s">
        <v>94</v>
      </c>
      <c r="C58" s="20">
        <v>11245</v>
      </c>
      <c r="D58" s="20">
        <v>2</v>
      </c>
      <c r="E58" s="107">
        <v>1385</v>
      </c>
      <c r="F58" s="107">
        <f t="shared" si="0"/>
        <v>2770</v>
      </c>
      <c r="G58" s="20" t="s">
        <v>266</v>
      </c>
    </row>
    <row r="59" spans="1:7">
      <c r="A59" s="20" t="s">
        <v>47</v>
      </c>
      <c r="B59" s="106" t="s">
        <v>95</v>
      </c>
      <c r="C59" s="20">
        <v>519</v>
      </c>
      <c r="D59" s="20">
        <v>2</v>
      </c>
      <c r="E59" s="107">
        <v>17084</v>
      </c>
      <c r="F59" s="107">
        <f t="shared" si="0"/>
        <v>34168</v>
      </c>
      <c r="G59" s="20" t="s">
        <v>266</v>
      </c>
    </row>
    <row r="60" spans="1:7">
      <c r="A60" s="20" t="s">
        <v>47</v>
      </c>
      <c r="B60" s="106" t="s">
        <v>96</v>
      </c>
      <c r="C60" s="20">
        <v>1364</v>
      </c>
      <c r="D60" s="20">
        <v>2</v>
      </c>
      <c r="E60" s="107">
        <v>17846</v>
      </c>
      <c r="F60" s="107">
        <f t="shared" si="0"/>
        <v>35692</v>
      </c>
      <c r="G60" s="20" t="s">
        <v>266</v>
      </c>
    </row>
    <row r="61" spans="1:7">
      <c r="A61" s="20" t="s">
        <v>47</v>
      </c>
      <c r="B61" s="106" t="s">
        <v>97</v>
      </c>
      <c r="C61" s="20">
        <v>1754</v>
      </c>
      <c r="D61" s="20">
        <v>3</v>
      </c>
      <c r="E61" s="107">
        <v>17846</v>
      </c>
      <c r="F61" s="107">
        <f t="shared" si="0"/>
        <v>53538</v>
      </c>
      <c r="G61" s="20" t="s">
        <v>266</v>
      </c>
    </row>
    <row r="62" spans="1:7">
      <c r="A62" s="20" t="s">
        <v>47</v>
      </c>
      <c r="B62" s="106" t="s">
        <v>98</v>
      </c>
      <c r="C62" s="20">
        <v>10994</v>
      </c>
      <c r="D62" s="20">
        <v>2</v>
      </c>
      <c r="E62" s="107">
        <v>638</v>
      </c>
      <c r="F62" s="107">
        <f t="shared" si="0"/>
        <v>1276</v>
      </c>
      <c r="G62" s="20" t="s">
        <v>266</v>
      </c>
    </row>
    <row r="63" spans="1:7">
      <c r="A63" s="20" t="s">
        <v>47</v>
      </c>
      <c r="B63" s="106" t="s">
        <v>99</v>
      </c>
      <c r="C63" s="62" t="s">
        <v>100</v>
      </c>
      <c r="D63" s="20">
        <v>30</v>
      </c>
      <c r="E63" s="107">
        <v>5061</v>
      </c>
      <c r="F63" s="107">
        <f t="shared" si="0"/>
        <v>151830</v>
      </c>
      <c r="G63" s="20" t="s">
        <v>266</v>
      </c>
    </row>
    <row r="64" spans="1:7">
      <c r="A64" s="20" t="s">
        <v>47</v>
      </c>
      <c r="B64" s="106" t="s">
        <v>101</v>
      </c>
      <c r="C64" s="20">
        <v>1002</v>
      </c>
      <c r="D64" s="20">
        <v>418</v>
      </c>
      <c r="E64" s="107">
        <v>21458</v>
      </c>
      <c r="F64" s="107">
        <f t="shared" si="0"/>
        <v>8969444</v>
      </c>
      <c r="G64" s="20" t="s">
        <v>266</v>
      </c>
    </row>
    <row r="65" spans="1:7">
      <c r="A65" s="20" t="s">
        <v>49</v>
      </c>
      <c r="B65" s="106" t="s">
        <v>101</v>
      </c>
      <c r="C65" s="20">
        <v>1002</v>
      </c>
      <c r="D65" s="20">
        <v>87</v>
      </c>
      <c r="E65" s="107">
        <v>21458</v>
      </c>
      <c r="F65" s="107">
        <f t="shared" si="0"/>
        <v>1866846</v>
      </c>
      <c r="G65" s="20" t="s">
        <v>266</v>
      </c>
    </row>
    <row r="66" spans="1:7">
      <c r="A66" s="20" t="s">
        <v>56</v>
      </c>
      <c r="B66" s="106" t="s">
        <v>101</v>
      </c>
      <c r="C66" s="20">
        <v>1002</v>
      </c>
      <c r="D66" s="20">
        <v>32</v>
      </c>
      <c r="E66" s="107">
        <v>21458</v>
      </c>
      <c r="F66" s="107">
        <f t="shared" ref="F66:F129" si="1">D66*E66</f>
        <v>686656</v>
      </c>
      <c r="G66" s="20" t="s">
        <v>266</v>
      </c>
    </row>
    <row r="67" spans="1:7">
      <c r="A67" s="20" t="s">
        <v>47</v>
      </c>
      <c r="B67" s="106" t="s">
        <v>102</v>
      </c>
      <c r="C67" s="62" t="s">
        <v>103</v>
      </c>
      <c r="D67" s="20">
        <v>6</v>
      </c>
      <c r="E67" s="107">
        <v>25800</v>
      </c>
      <c r="F67" s="107">
        <f t="shared" si="1"/>
        <v>154800</v>
      </c>
      <c r="G67" s="20" t="s">
        <v>266</v>
      </c>
    </row>
    <row r="68" spans="1:7">
      <c r="A68" s="20" t="s">
        <v>49</v>
      </c>
      <c r="B68" s="106" t="s">
        <v>104</v>
      </c>
      <c r="C68" s="20">
        <v>10844</v>
      </c>
      <c r="D68" s="20">
        <v>6</v>
      </c>
      <c r="E68" s="107">
        <v>7769</v>
      </c>
      <c r="F68" s="107">
        <f t="shared" si="1"/>
        <v>46614</v>
      </c>
      <c r="G68" s="20" t="s">
        <v>266</v>
      </c>
    </row>
    <row r="69" spans="1:7">
      <c r="A69" s="20" t="s">
        <v>47</v>
      </c>
      <c r="B69" s="106" t="s">
        <v>105</v>
      </c>
      <c r="C69" s="20">
        <v>1384</v>
      </c>
      <c r="D69" s="20">
        <v>3</v>
      </c>
      <c r="E69" s="107">
        <v>9667</v>
      </c>
      <c r="F69" s="107">
        <f t="shared" si="1"/>
        <v>29001</v>
      </c>
      <c r="G69" s="20" t="s">
        <v>268</v>
      </c>
    </row>
    <row r="70" spans="1:7">
      <c r="A70" s="20" t="s">
        <v>47</v>
      </c>
      <c r="B70" s="106" t="s">
        <v>106</v>
      </c>
      <c r="C70" s="62" t="s">
        <v>107</v>
      </c>
      <c r="D70" s="20">
        <v>2</v>
      </c>
      <c r="E70" s="107">
        <v>17337.416666666668</v>
      </c>
      <c r="F70" s="107">
        <f t="shared" si="1"/>
        <v>34674.833333333336</v>
      </c>
      <c r="G70" s="20" t="s">
        <v>268</v>
      </c>
    </row>
    <row r="71" spans="1:7">
      <c r="A71" s="20" t="s">
        <v>56</v>
      </c>
      <c r="B71" s="106" t="s">
        <v>108</v>
      </c>
      <c r="C71" s="20">
        <v>2460</v>
      </c>
      <c r="D71" s="20">
        <v>1</v>
      </c>
      <c r="E71" s="110">
        <v>14624</v>
      </c>
      <c r="F71" s="107">
        <f t="shared" si="1"/>
        <v>14624</v>
      </c>
      <c r="G71" s="20" t="s">
        <v>268</v>
      </c>
    </row>
    <row r="72" spans="1:7">
      <c r="A72" s="20" t="s">
        <v>49</v>
      </c>
      <c r="B72" s="106" t="s">
        <v>108</v>
      </c>
      <c r="C72" s="20">
        <v>2460</v>
      </c>
      <c r="D72" s="20">
        <v>5</v>
      </c>
      <c r="E72" s="107">
        <v>14624</v>
      </c>
      <c r="F72" s="107">
        <f t="shared" si="1"/>
        <v>73120</v>
      </c>
      <c r="G72" s="20" t="s">
        <v>268</v>
      </c>
    </row>
    <row r="73" spans="1:7">
      <c r="A73" s="20" t="s">
        <v>47</v>
      </c>
      <c r="B73" s="106" t="s">
        <v>108</v>
      </c>
      <c r="C73" s="20">
        <v>2460</v>
      </c>
      <c r="D73" s="20">
        <v>5</v>
      </c>
      <c r="E73" s="107">
        <v>14624</v>
      </c>
      <c r="F73" s="107">
        <f t="shared" si="1"/>
        <v>73120</v>
      </c>
      <c r="G73" s="20" t="s">
        <v>268</v>
      </c>
    </row>
    <row r="74" spans="1:7">
      <c r="A74" s="20" t="s">
        <v>62</v>
      </c>
      <c r="B74" s="106" t="s">
        <v>109</v>
      </c>
      <c r="C74" s="62">
        <v>1236</v>
      </c>
      <c r="D74" s="20">
        <v>100</v>
      </c>
      <c r="E74" s="111">
        <v>1713</v>
      </c>
      <c r="F74" s="107">
        <f t="shared" si="1"/>
        <v>171300</v>
      </c>
      <c r="G74" s="20" t="s">
        <v>271</v>
      </c>
    </row>
    <row r="75" spans="1:7">
      <c r="A75" s="20" t="s">
        <v>47</v>
      </c>
      <c r="B75" s="106" t="s">
        <v>110</v>
      </c>
      <c r="C75" s="20">
        <v>1863</v>
      </c>
      <c r="D75" s="20">
        <v>1</v>
      </c>
      <c r="E75" s="110">
        <v>33988</v>
      </c>
      <c r="F75" s="107">
        <f t="shared" si="1"/>
        <v>33988</v>
      </c>
      <c r="G75" s="20" t="s">
        <v>268</v>
      </c>
    </row>
    <row r="76" spans="1:7">
      <c r="A76" s="20" t="s">
        <v>49</v>
      </c>
      <c r="B76" s="106" t="s">
        <v>111</v>
      </c>
      <c r="C76" s="20">
        <v>108</v>
      </c>
      <c r="D76" s="20">
        <v>12</v>
      </c>
      <c r="E76" s="107">
        <v>28791</v>
      </c>
      <c r="F76" s="107">
        <f t="shared" si="1"/>
        <v>345492</v>
      </c>
      <c r="G76" s="20" t="s">
        <v>268</v>
      </c>
    </row>
    <row r="77" spans="1:7">
      <c r="A77" s="20" t="s">
        <v>47</v>
      </c>
      <c r="B77" s="106" t="s">
        <v>112</v>
      </c>
      <c r="C77" s="20">
        <v>936</v>
      </c>
      <c r="D77" s="20">
        <v>44</v>
      </c>
      <c r="E77" s="107">
        <v>45192</v>
      </c>
      <c r="F77" s="107">
        <f t="shared" si="1"/>
        <v>1988448</v>
      </c>
      <c r="G77" s="20" t="s">
        <v>268</v>
      </c>
    </row>
    <row r="78" spans="1:7">
      <c r="A78" s="20" t="s">
        <v>56</v>
      </c>
      <c r="B78" s="106" t="s">
        <v>112</v>
      </c>
      <c r="C78" s="20">
        <v>936</v>
      </c>
      <c r="D78" s="20">
        <v>5</v>
      </c>
      <c r="E78" s="107">
        <v>45192</v>
      </c>
      <c r="F78" s="107">
        <f t="shared" si="1"/>
        <v>225960</v>
      </c>
      <c r="G78" s="20" t="s">
        <v>268</v>
      </c>
    </row>
    <row r="79" spans="1:7">
      <c r="A79" s="20" t="s">
        <v>49</v>
      </c>
      <c r="B79" s="106" t="s">
        <v>112</v>
      </c>
      <c r="C79" s="20">
        <v>936</v>
      </c>
      <c r="D79" s="20">
        <v>13</v>
      </c>
      <c r="E79" s="107">
        <v>45192</v>
      </c>
      <c r="F79" s="107">
        <f t="shared" si="1"/>
        <v>587496</v>
      </c>
      <c r="G79" s="20" t="s">
        <v>268</v>
      </c>
    </row>
    <row r="80" spans="1:7">
      <c r="A80" s="20" t="s">
        <v>49</v>
      </c>
      <c r="B80" s="106" t="s">
        <v>113</v>
      </c>
      <c r="C80" s="20">
        <v>1855</v>
      </c>
      <c r="D80" s="20">
        <v>20</v>
      </c>
      <c r="E80" s="107">
        <v>1095</v>
      </c>
      <c r="F80" s="107">
        <f t="shared" si="1"/>
        <v>21900</v>
      </c>
      <c r="G80" s="20" t="s">
        <v>268</v>
      </c>
    </row>
    <row r="81" spans="1:7">
      <c r="A81" s="20" t="s">
        <v>56</v>
      </c>
      <c r="B81" s="106" t="s">
        <v>113</v>
      </c>
      <c r="C81" s="20">
        <v>1855</v>
      </c>
      <c r="D81" s="20">
        <v>10</v>
      </c>
      <c r="E81" s="107">
        <v>1095</v>
      </c>
      <c r="F81" s="107">
        <f t="shared" si="1"/>
        <v>10950</v>
      </c>
      <c r="G81" s="20" t="s">
        <v>268</v>
      </c>
    </row>
    <row r="82" spans="1:7">
      <c r="A82" s="20" t="s">
        <v>47</v>
      </c>
      <c r="B82" s="106" t="s">
        <v>113</v>
      </c>
      <c r="C82" s="20">
        <v>1855</v>
      </c>
      <c r="D82" s="20">
        <v>100</v>
      </c>
      <c r="E82" s="107">
        <v>1095</v>
      </c>
      <c r="F82" s="107">
        <f t="shared" si="1"/>
        <v>109500</v>
      </c>
      <c r="G82" s="20" t="s">
        <v>268</v>
      </c>
    </row>
    <row r="83" spans="1:7">
      <c r="A83" s="20" t="s">
        <v>47</v>
      </c>
      <c r="B83" s="106" t="s">
        <v>114</v>
      </c>
      <c r="C83" s="20">
        <v>10798</v>
      </c>
      <c r="D83" s="20">
        <v>44</v>
      </c>
      <c r="E83" s="107">
        <v>4917</v>
      </c>
      <c r="F83" s="107">
        <f t="shared" si="1"/>
        <v>216348</v>
      </c>
      <c r="G83" s="20" t="s">
        <v>268</v>
      </c>
    </row>
    <row r="84" spans="1:7">
      <c r="A84" s="20" t="s">
        <v>56</v>
      </c>
      <c r="B84" s="106" t="s">
        <v>114</v>
      </c>
      <c r="C84" s="20">
        <v>10798</v>
      </c>
      <c r="D84" s="20">
        <v>5</v>
      </c>
      <c r="E84" s="107">
        <v>4917</v>
      </c>
      <c r="F84" s="107">
        <f t="shared" si="1"/>
        <v>24585</v>
      </c>
      <c r="G84" s="20" t="s">
        <v>268</v>
      </c>
    </row>
    <row r="85" spans="1:7">
      <c r="A85" s="20" t="s">
        <v>49</v>
      </c>
      <c r="B85" s="106" t="s">
        <v>114</v>
      </c>
      <c r="C85" s="20">
        <v>10798</v>
      </c>
      <c r="D85" s="20">
        <v>13</v>
      </c>
      <c r="E85" s="107">
        <v>4917</v>
      </c>
      <c r="F85" s="107">
        <f t="shared" si="1"/>
        <v>63921</v>
      </c>
      <c r="G85" s="20" t="s">
        <v>268</v>
      </c>
    </row>
    <row r="86" spans="1:7">
      <c r="A86" s="20" t="s">
        <v>115</v>
      </c>
      <c r="B86" s="106" t="s">
        <v>116</v>
      </c>
      <c r="C86" s="20">
        <v>10805</v>
      </c>
      <c r="D86" s="20">
        <v>40</v>
      </c>
      <c r="E86" s="107">
        <v>21485</v>
      </c>
      <c r="F86" s="107">
        <f t="shared" si="1"/>
        <v>859400</v>
      </c>
      <c r="G86" s="20" t="s">
        <v>268</v>
      </c>
    </row>
    <row r="87" spans="1:7">
      <c r="A87" s="20" t="s">
        <v>49</v>
      </c>
      <c r="B87" s="106" t="s">
        <v>116</v>
      </c>
      <c r="C87" s="20">
        <v>10805</v>
      </c>
      <c r="D87" s="20">
        <v>4</v>
      </c>
      <c r="E87" s="107">
        <v>21485</v>
      </c>
      <c r="F87" s="107">
        <f t="shared" si="1"/>
        <v>85940</v>
      </c>
      <c r="G87" s="20" t="s">
        <v>268</v>
      </c>
    </row>
    <row r="88" spans="1:7">
      <c r="A88" s="20" t="s">
        <v>56</v>
      </c>
      <c r="B88" s="106" t="s">
        <v>116</v>
      </c>
      <c r="C88" s="20">
        <v>10805</v>
      </c>
      <c r="D88" s="20">
        <v>10</v>
      </c>
      <c r="E88" s="107">
        <v>17360</v>
      </c>
      <c r="F88" s="107">
        <f t="shared" si="1"/>
        <v>173600</v>
      </c>
      <c r="G88" s="20" t="s">
        <v>268</v>
      </c>
    </row>
    <row r="89" spans="1:7">
      <c r="A89" s="20" t="s">
        <v>49</v>
      </c>
      <c r="B89" s="106" t="s">
        <v>117</v>
      </c>
      <c r="C89" s="62" t="s">
        <v>118</v>
      </c>
      <c r="D89" s="20">
        <v>10</v>
      </c>
      <c r="E89" s="107">
        <v>3145.8</v>
      </c>
      <c r="F89" s="107">
        <f t="shared" si="1"/>
        <v>31458</v>
      </c>
      <c r="G89" s="20" t="s">
        <v>266</v>
      </c>
    </row>
    <row r="90" spans="1:7">
      <c r="A90" s="20" t="s">
        <v>47</v>
      </c>
      <c r="B90" s="106" t="s">
        <v>119</v>
      </c>
      <c r="C90" s="20">
        <v>10397</v>
      </c>
      <c r="D90" s="20">
        <v>4</v>
      </c>
      <c r="E90" s="107">
        <v>41060</v>
      </c>
      <c r="F90" s="107">
        <f t="shared" si="1"/>
        <v>164240</v>
      </c>
      <c r="G90" s="20" t="s">
        <v>268</v>
      </c>
    </row>
    <row r="91" spans="1:7">
      <c r="A91" s="20" t="s">
        <v>47</v>
      </c>
      <c r="B91" s="106" t="s">
        <v>120</v>
      </c>
      <c r="C91" s="20">
        <v>10277</v>
      </c>
      <c r="D91" s="20">
        <v>8</v>
      </c>
      <c r="E91" s="107">
        <v>332848</v>
      </c>
      <c r="F91" s="107">
        <f t="shared" si="1"/>
        <v>2662784</v>
      </c>
      <c r="G91" s="20" t="s">
        <v>268</v>
      </c>
    </row>
    <row r="92" spans="1:7">
      <c r="A92" s="20" t="s">
        <v>56</v>
      </c>
      <c r="B92" s="106" t="s">
        <v>120</v>
      </c>
      <c r="C92" s="20">
        <v>10277</v>
      </c>
      <c r="D92" s="20">
        <v>1</v>
      </c>
      <c r="E92" s="107">
        <v>332848</v>
      </c>
      <c r="F92" s="107">
        <f t="shared" si="1"/>
        <v>332848</v>
      </c>
      <c r="G92" s="20" t="s">
        <v>268</v>
      </c>
    </row>
    <row r="93" spans="1:7">
      <c r="A93" s="20" t="s">
        <v>49</v>
      </c>
      <c r="B93" s="106" t="s">
        <v>120</v>
      </c>
      <c r="C93" s="20">
        <v>10277</v>
      </c>
      <c r="D93" s="20">
        <v>1</v>
      </c>
      <c r="E93" s="107">
        <v>332848</v>
      </c>
      <c r="F93" s="107">
        <f t="shared" si="1"/>
        <v>332848</v>
      </c>
      <c r="G93" s="20" t="s">
        <v>268</v>
      </c>
    </row>
    <row r="94" spans="1:7">
      <c r="A94" s="20" t="s">
        <v>47</v>
      </c>
      <c r="B94" s="106" t="s">
        <v>121</v>
      </c>
      <c r="C94" s="20">
        <v>2059</v>
      </c>
      <c r="D94" s="20">
        <v>13</v>
      </c>
      <c r="E94" s="107">
        <v>4592</v>
      </c>
      <c r="F94" s="107">
        <f t="shared" si="1"/>
        <v>59696</v>
      </c>
      <c r="G94" s="20" t="s">
        <v>268</v>
      </c>
    </row>
    <row r="95" spans="1:7">
      <c r="A95" s="20" t="s">
        <v>47</v>
      </c>
      <c r="B95" s="106" t="s">
        <v>122</v>
      </c>
      <c r="C95" s="20">
        <v>10482</v>
      </c>
      <c r="D95" s="20">
        <v>2</v>
      </c>
      <c r="E95" s="107">
        <v>16497</v>
      </c>
      <c r="F95" s="107">
        <f t="shared" si="1"/>
        <v>32994</v>
      </c>
      <c r="G95" s="20" t="s">
        <v>268</v>
      </c>
    </row>
    <row r="96" spans="1:7">
      <c r="A96" s="20" t="s">
        <v>47</v>
      </c>
      <c r="B96" s="106" t="s">
        <v>123</v>
      </c>
      <c r="C96" s="20">
        <v>10059</v>
      </c>
      <c r="D96" s="20">
        <v>1</v>
      </c>
      <c r="E96" s="107">
        <v>79145</v>
      </c>
      <c r="F96" s="107">
        <f t="shared" si="1"/>
        <v>79145</v>
      </c>
      <c r="G96" s="20" t="s">
        <v>268</v>
      </c>
    </row>
    <row r="97" spans="1:7" ht="45">
      <c r="A97" s="20" t="s">
        <v>47</v>
      </c>
      <c r="B97" s="112" t="s">
        <v>124</v>
      </c>
      <c r="C97" s="62" t="s">
        <v>125</v>
      </c>
      <c r="D97" s="20">
        <v>1</v>
      </c>
      <c r="E97" s="113">
        <v>35846.65</v>
      </c>
      <c r="F97" s="107">
        <f t="shared" si="1"/>
        <v>35846.65</v>
      </c>
      <c r="G97" s="20" t="s">
        <v>268</v>
      </c>
    </row>
    <row r="98" spans="1:7" ht="30">
      <c r="A98" s="20" t="s">
        <v>47</v>
      </c>
      <c r="B98" s="112" t="s">
        <v>126</v>
      </c>
      <c r="C98" s="62" t="s">
        <v>127</v>
      </c>
      <c r="D98" s="20">
        <v>2</v>
      </c>
      <c r="E98" s="114">
        <v>45382.400000000001</v>
      </c>
      <c r="F98" s="107">
        <f t="shared" si="1"/>
        <v>90764.800000000003</v>
      </c>
      <c r="G98" s="20" t="s">
        <v>268</v>
      </c>
    </row>
    <row r="99" spans="1:7" ht="30">
      <c r="A99" s="20" t="s">
        <v>47</v>
      </c>
      <c r="B99" s="112" t="s">
        <v>128</v>
      </c>
      <c r="C99" s="62" t="s">
        <v>127</v>
      </c>
      <c r="D99" s="20">
        <v>3</v>
      </c>
      <c r="E99" s="115">
        <v>45382.400000000001</v>
      </c>
      <c r="F99" s="107">
        <f t="shared" si="1"/>
        <v>136147.20000000001</v>
      </c>
      <c r="G99" s="20" t="s">
        <v>268</v>
      </c>
    </row>
    <row r="100" spans="1:7" ht="17.45" customHeight="1">
      <c r="A100" s="20" t="s">
        <v>47</v>
      </c>
      <c r="B100" s="106" t="s">
        <v>129</v>
      </c>
      <c r="C100" s="62" t="s">
        <v>127</v>
      </c>
      <c r="D100" s="20">
        <v>2</v>
      </c>
      <c r="E100" s="111">
        <v>1174.99</v>
      </c>
      <c r="F100" s="107">
        <f t="shared" si="1"/>
        <v>2349.98</v>
      </c>
      <c r="G100" s="20" t="s">
        <v>268</v>
      </c>
    </row>
    <row r="101" spans="1:7">
      <c r="A101" s="20" t="s">
        <v>47</v>
      </c>
      <c r="B101" s="106" t="s">
        <v>130</v>
      </c>
      <c r="C101" s="62" t="s">
        <v>127</v>
      </c>
      <c r="D101" s="20">
        <v>1</v>
      </c>
      <c r="E101" s="111">
        <v>45382.400000000001</v>
      </c>
      <c r="F101" s="107">
        <f t="shared" si="1"/>
        <v>45382.400000000001</v>
      </c>
      <c r="G101" s="20" t="s">
        <v>268</v>
      </c>
    </row>
    <row r="102" spans="1:7">
      <c r="A102" s="20" t="s">
        <v>47</v>
      </c>
      <c r="B102" s="106" t="s">
        <v>131</v>
      </c>
      <c r="C102" s="62" t="s">
        <v>132</v>
      </c>
      <c r="D102" s="20">
        <v>2</v>
      </c>
      <c r="E102" s="107">
        <v>778</v>
      </c>
      <c r="F102" s="107">
        <f t="shared" si="1"/>
        <v>1556</v>
      </c>
      <c r="G102" s="20" t="s">
        <v>268</v>
      </c>
    </row>
    <row r="103" spans="1:7">
      <c r="A103" s="20" t="s">
        <v>47</v>
      </c>
      <c r="B103" s="106" t="s">
        <v>133</v>
      </c>
      <c r="C103" s="20">
        <v>1116</v>
      </c>
      <c r="D103" s="20">
        <v>2</v>
      </c>
      <c r="E103" s="107">
        <v>160174</v>
      </c>
      <c r="F103" s="107">
        <f t="shared" si="1"/>
        <v>320348</v>
      </c>
      <c r="G103" s="20" t="s">
        <v>268</v>
      </c>
    </row>
    <row r="104" spans="1:7">
      <c r="A104" s="20" t="s">
        <v>47</v>
      </c>
      <c r="B104" s="106" t="s">
        <v>134</v>
      </c>
      <c r="C104" s="62" t="s">
        <v>135</v>
      </c>
      <c r="D104" s="20">
        <v>2</v>
      </c>
      <c r="E104" s="107">
        <v>2190</v>
      </c>
      <c r="F104" s="107">
        <f t="shared" si="1"/>
        <v>4380</v>
      </c>
      <c r="G104" s="20" t="s">
        <v>268</v>
      </c>
    </row>
    <row r="105" spans="1:7">
      <c r="A105" s="20" t="s">
        <v>56</v>
      </c>
      <c r="B105" s="106" t="s">
        <v>136</v>
      </c>
      <c r="C105" s="20">
        <v>421</v>
      </c>
      <c r="D105" s="20">
        <v>2</v>
      </c>
      <c r="E105" s="107">
        <v>1576</v>
      </c>
      <c r="F105" s="107">
        <f t="shared" si="1"/>
        <v>3152</v>
      </c>
      <c r="G105" s="20" t="s">
        <v>268</v>
      </c>
    </row>
    <row r="106" spans="1:7">
      <c r="A106" s="20" t="s">
        <v>47</v>
      </c>
      <c r="B106" s="106" t="s">
        <v>137</v>
      </c>
      <c r="C106" s="20">
        <v>451</v>
      </c>
      <c r="D106" s="20">
        <v>20</v>
      </c>
      <c r="E106" s="107">
        <v>14010</v>
      </c>
      <c r="F106" s="107">
        <f t="shared" si="1"/>
        <v>280200</v>
      </c>
      <c r="G106" s="20" t="s">
        <v>268</v>
      </c>
    </row>
    <row r="107" spans="1:7">
      <c r="A107" s="20" t="s">
        <v>56</v>
      </c>
      <c r="B107" s="106" t="s">
        <v>137</v>
      </c>
      <c r="C107" s="20">
        <v>451</v>
      </c>
      <c r="D107" s="20">
        <v>6</v>
      </c>
      <c r="E107" s="107">
        <v>14010</v>
      </c>
      <c r="F107" s="107">
        <f t="shared" si="1"/>
        <v>84060</v>
      </c>
      <c r="G107" s="20" t="s">
        <v>268</v>
      </c>
    </row>
    <row r="108" spans="1:7">
      <c r="A108" s="20" t="s">
        <v>49</v>
      </c>
      <c r="B108" s="106" t="s">
        <v>137</v>
      </c>
      <c r="C108" s="20">
        <v>451</v>
      </c>
      <c r="D108" s="20">
        <v>7</v>
      </c>
      <c r="E108" s="107">
        <v>14010</v>
      </c>
      <c r="F108" s="107">
        <f t="shared" si="1"/>
        <v>98070</v>
      </c>
      <c r="G108" s="20" t="s">
        <v>268</v>
      </c>
    </row>
    <row r="109" spans="1:7">
      <c r="A109" s="20" t="s">
        <v>47</v>
      </c>
      <c r="B109" s="106" t="s">
        <v>138</v>
      </c>
      <c r="C109" s="20">
        <v>484</v>
      </c>
      <c r="D109" s="20">
        <v>4</v>
      </c>
      <c r="E109" s="107">
        <v>61780</v>
      </c>
      <c r="F109" s="107">
        <f t="shared" si="1"/>
        <v>247120</v>
      </c>
      <c r="G109" s="20" t="s">
        <v>268</v>
      </c>
    </row>
    <row r="110" spans="1:7">
      <c r="A110" s="20" t="s">
        <v>49</v>
      </c>
      <c r="B110" s="106" t="s">
        <v>138</v>
      </c>
      <c r="C110" s="20">
        <v>484</v>
      </c>
      <c r="D110" s="20">
        <v>3</v>
      </c>
      <c r="E110" s="107">
        <v>61780</v>
      </c>
      <c r="F110" s="107">
        <f t="shared" si="1"/>
        <v>185340</v>
      </c>
      <c r="G110" s="20" t="s">
        <v>268</v>
      </c>
    </row>
    <row r="111" spans="1:7">
      <c r="A111" s="20" t="s">
        <v>49</v>
      </c>
      <c r="B111" s="106" t="s">
        <v>139</v>
      </c>
      <c r="C111" s="20">
        <v>25</v>
      </c>
      <c r="D111" s="20">
        <v>3</v>
      </c>
      <c r="E111" s="107">
        <v>40134</v>
      </c>
      <c r="F111" s="107">
        <f t="shared" si="1"/>
        <v>120402</v>
      </c>
      <c r="G111" s="20" t="s">
        <v>268</v>
      </c>
    </row>
    <row r="112" spans="1:7">
      <c r="A112" s="20" t="s">
        <v>49</v>
      </c>
      <c r="B112" s="106" t="s">
        <v>140</v>
      </c>
      <c r="C112" s="20">
        <v>1829</v>
      </c>
      <c r="D112" s="20">
        <v>102</v>
      </c>
      <c r="E112" s="107">
        <v>302</v>
      </c>
      <c r="F112" s="107">
        <f t="shared" si="1"/>
        <v>30804</v>
      </c>
      <c r="G112" s="20" t="s">
        <v>266</v>
      </c>
    </row>
    <row r="113" spans="1:7">
      <c r="A113" s="20" t="s">
        <v>56</v>
      </c>
      <c r="B113" s="106" t="s">
        <v>140</v>
      </c>
      <c r="C113" s="20">
        <v>1829</v>
      </c>
      <c r="D113" s="20">
        <v>28</v>
      </c>
      <c r="E113" s="107">
        <v>302</v>
      </c>
      <c r="F113" s="107">
        <f t="shared" si="1"/>
        <v>8456</v>
      </c>
      <c r="G113" s="20" t="s">
        <v>266</v>
      </c>
    </row>
    <row r="114" spans="1:7">
      <c r="A114" s="20" t="s">
        <v>47</v>
      </c>
      <c r="B114" s="106" t="s">
        <v>140</v>
      </c>
      <c r="C114" s="20">
        <v>1829</v>
      </c>
      <c r="D114" s="20">
        <v>476</v>
      </c>
      <c r="E114" s="107">
        <v>303</v>
      </c>
      <c r="F114" s="107">
        <f t="shared" si="1"/>
        <v>144228</v>
      </c>
      <c r="G114" s="20" t="s">
        <v>266</v>
      </c>
    </row>
    <row r="115" spans="1:7">
      <c r="A115" s="20" t="s">
        <v>56</v>
      </c>
      <c r="B115" s="106" t="s">
        <v>141</v>
      </c>
      <c r="C115" s="20">
        <v>89</v>
      </c>
      <c r="D115" s="20">
        <v>14</v>
      </c>
      <c r="E115" s="107">
        <v>1029</v>
      </c>
      <c r="F115" s="107">
        <f t="shared" si="1"/>
        <v>14406</v>
      </c>
      <c r="G115" s="20" t="s">
        <v>268</v>
      </c>
    </row>
    <row r="116" spans="1:7">
      <c r="A116" s="20" t="s">
        <v>49</v>
      </c>
      <c r="B116" s="106" t="s">
        <v>141</v>
      </c>
      <c r="C116" s="20">
        <v>89</v>
      </c>
      <c r="D116" s="20">
        <v>24</v>
      </c>
      <c r="E116" s="107">
        <v>1029</v>
      </c>
      <c r="F116" s="107">
        <f t="shared" si="1"/>
        <v>24696</v>
      </c>
      <c r="G116" s="20" t="s">
        <v>268</v>
      </c>
    </row>
    <row r="117" spans="1:7">
      <c r="A117" s="20" t="s">
        <v>47</v>
      </c>
      <c r="B117" s="106" t="s">
        <v>141</v>
      </c>
      <c r="C117" s="20">
        <v>89</v>
      </c>
      <c r="D117" s="20">
        <v>60</v>
      </c>
      <c r="E117" s="107">
        <v>1029</v>
      </c>
      <c r="F117" s="107">
        <f t="shared" si="1"/>
        <v>61740</v>
      </c>
      <c r="G117" s="20" t="s">
        <v>268</v>
      </c>
    </row>
    <row r="118" spans="1:7">
      <c r="A118" s="20" t="s">
        <v>49</v>
      </c>
      <c r="B118" s="106" t="s">
        <v>142</v>
      </c>
      <c r="C118" s="20">
        <v>2934</v>
      </c>
      <c r="D118" s="20">
        <v>6</v>
      </c>
      <c r="E118" s="107">
        <v>1276</v>
      </c>
      <c r="F118" s="107">
        <f t="shared" si="1"/>
        <v>7656</v>
      </c>
      <c r="G118" s="20" t="s">
        <v>266</v>
      </c>
    </row>
    <row r="119" spans="1:7">
      <c r="A119" s="20" t="s">
        <v>49</v>
      </c>
      <c r="B119" s="106" t="s">
        <v>143</v>
      </c>
      <c r="C119" s="20">
        <v>10267</v>
      </c>
      <c r="D119" s="20">
        <v>14</v>
      </c>
      <c r="E119" s="107">
        <v>760</v>
      </c>
      <c r="F119" s="107">
        <f t="shared" si="1"/>
        <v>10640</v>
      </c>
      <c r="G119" s="20" t="s">
        <v>268</v>
      </c>
    </row>
    <row r="120" spans="1:7">
      <c r="A120" s="20" t="s">
        <v>47</v>
      </c>
      <c r="B120" s="106" t="s">
        <v>144</v>
      </c>
      <c r="C120" s="20">
        <v>10888</v>
      </c>
      <c r="D120" s="20">
        <v>1</v>
      </c>
      <c r="E120" s="107">
        <v>567879</v>
      </c>
      <c r="F120" s="107">
        <f t="shared" si="1"/>
        <v>567879</v>
      </c>
      <c r="G120" s="20" t="s">
        <v>269</v>
      </c>
    </row>
    <row r="121" spans="1:7">
      <c r="A121" s="20" t="s">
        <v>47</v>
      </c>
      <c r="B121" s="106" t="s">
        <v>145</v>
      </c>
      <c r="C121" s="20">
        <v>410</v>
      </c>
      <c r="D121" s="20">
        <v>1</v>
      </c>
      <c r="E121" s="107">
        <v>3548</v>
      </c>
      <c r="F121" s="107">
        <f t="shared" si="1"/>
        <v>3548</v>
      </c>
      <c r="G121" s="20" t="s">
        <v>268</v>
      </c>
    </row>
    <row r="122" spans="1:7">
      <c r="A122" s="20" t="s">
        <v>47</v>
      </c>
      <c r="B122" s="106" t="s">
        <v>146</v>
      </c>
      <c r="C122" s="20">
        <v>2825</v>
      </c>
      <c r="D122" s="20">
        <v>6</v>
      </c>
      <c r="E122" s="107">
        <v>5306</v>
      </c>
      <c r="F122" s="107">
        <f t="shared" si="1"/>
        <v>31836</v>
      </c>
      <c r="G122" s="20" t="s">
        <v>269</v>
      </c>
    </row>
    <row r="123" spans="1:7">
      <c r="A123" s="20" t="s">
        <v>47</v>
      </c>
      <c r="B123" s="106" t="s">
        <v>147</v>
      </c>
      <c r="C123" s="20">
        <v>11267</v>
      </c>
      <c r="D123" s="20">
        <v>4</v>
      </c>
      <c r="E123" s="107">
        <v>240144</v>
      </c>
      <c r="F123" s="107">
        <f t="shared" si="1"/>
        <v>960576</v>
      </c>
      <c r="G123" s="20" t="s">
        <v>268</v>
      </c>
    </row>
    <row r="124" spans="1:7">
      <c r="A124" s="20" t="s">
        <v>47</v>
      </c>
      <c r="B124" s="106" t="s">
        <v>148</v>
      </c>
      <c r="C124" s="20">
        <v>10795</v>
      </c>
      <c r="D124" s="20">
        <v>7</v>
      </c>
      <c r="E124" s="107">
        <v>36858</v>
      </c>
      <c r="F124" s="107">
        <f t="shared" si="1"/>
        <v>258006</v>
      </c>
      <c r="G124" s="20" t="s">
        <v>268</v>
      </c>
    </row>
    <row r="125" spans="1:7">
      <c r="A125" s="20" t="s">
        <v>49</v>
      </c>
      <c r="B125" s="106" t="s">
        <v>148</v>
      </c>
      <c r="C125" s="20">
        <v>10795</v>
      </c>
      <c r="D125" s="20">
        <v>2</v>
      </c>
      <c r="E125" s="107">
        <v>36858</v>
      </c>
      <c r="F125" s="107">
        <f t="shared" si="1"/>
        <v>73716</v>
      </c>
      <c r="G125" s="20" t="s">
        <v>268</v>
      </c>
    </row>
    <row r="126" spans="1:7">
      <c r="A126" s="20" t="s">
        <v>47</v>
      </c>
      <c r="B126" s="106" t="s">
        <v>149</v>
      </c>
      <c r="C126" s="20">
        <v>11417</v>
      </c>
      <c r="D126" s="20">
        <v>13</v>
      </c>
      <c r="E126" s="107">
        <v>167871</v>
      </c>
      <c r="F126" s="107">
        <f t="shared" si="1"/>
        <v>2182323</v>
      </c>
      <c r="G126" s="20" t="s">
        <v>268</v>
      </c>
    </row>
    <row r="127" spans="1:7">
      <c r="A127" s="20" t="s">
        <v>49</v>
      </c>
      <c r="B127" s="106" t="s">
        <v>149</v>
      </c>
      <c r="C127" s="20">
        <v>11417</v>
      </c>
      <c r="D127" s="20">
        <v>2</v>
      </c>
      <c r="E127" s="107">
        <v>167871</v>
      </c>
      <c r="F127" s="107">
        <f t="shared" si="1"/>
        <v>335742</v>
      </c>
      <c r="G127" s="20" t="s">
        <v>268</v>
      </c>
    </row>
    <row r="128" spans="1:7">
      <c r="A128" s="20" t="s">
        <v>47</v>
      </c>
      <c r="B128" s="106" t="s">
        <v>150</v>
      </c>
      <c r="C128" s="20">
        <v>971</v>
      </c>
      <c r="D128" s="20">
        <v>2</v>
      </c>
      <c r="E128" s="107">
        <v>668</v>
      </c>
      <c r="F128" s="107">
        <f t="shared" si="1"/>
        <v>1336</v>
      </c>
      <c r="G128" s="20" t="s">
        <v>268</v>
      </c>
    </row>
    <row r="129" spans="1:7">
      <c r="A129" s="20" t="s">
        <v>56</v>
      </c>
      <c r="B129" s="106" t="s">
        <v>150</v>
      </c>
      <c r="C129" s="20">
        <v>971</v>
      </c>
      <c r="D129" s="20">
        <v>5</v>
      </c>
      <c r="E129" s="107">
        <v>668</v>
      </c>
      <c r="F129" s="107">
        <f t="shared" si="1"/>
        <v>3340</v>
      </c>
      <c r="G129" s="20" t="s">
        <v>268</v>
      </c>
    </row>
    <row r="130" spans="1:7">
      <c r="A130" s="20" t="s">
        <v>49</v>
      </c>
      <c r="B130" s="106" t="s">
        <v>150</v>
      </c>
      <c r="C130" s="20">
        <v>971</v>
      </c>
      <c r="D130" s="20">
        <v>15</v>
      </c>
      <c r="E130" s="107">
        <v>570</v>
      </c>
      <c r="F130" s="107">
        <f t="shared" ref="F130:F136" si="2">D130*E130</f>
        <v>8550</v>
      </c>
      <c r="G130" s="20" t="s">
        <v>268</v>
      </c>
    </row>
    <row r="131" spans="1:7">
      <c r="A131" s="20" t="s">
        <v>47</v>
      </c>
      <c r="B131" s="106" t="s">
        <v>151</v>
      </c>
      <c r="C131" s="20">
        <v>3069</v>
      </c>
      <c r="D131" s="20">
        <v>22</v>
      </c>
      <c r="E131" s="107">
        <v>5195</v>
      </c>
      <c r="F131" s="107">
        <f t="shared" si="2"/>
        <v>114290</v>
      </c>
      <c r="G131" s="20" t="s">
        <v>268</v>
      </c>
    </row>
    <row r="132" spans="1:7">
      <c r="A132" s="20" t="s">
        <v>49</v>
      </c>
      <c r="B132" s="106" t="s">
        <v>152</v>
      </c>
      <c r="C132" s="62" t="s">
        <v>153</v>
      </c>
      <c r="D132" s="20">
        <v>12</v>
      </c>
      <c r="E132" s="107">
        <v>6666.48</v>
      </c>
      <c r="F132" s="107">
        <f t="shared" si="2"/>
        <v>79997.759999999995</v>
      </c>
      <c r="G132" s="20" t="s">
        <v>268</v>
      </c>
    </row>
    <row r="133" spans="1:7">
      <c r="A133" s="20" t="s">
        <v>47</v>
      </c>
      <c r="B133" s="106" t="s">
        <v>154</v>
      </c>
      <c r="C133" s="20">
        <v>1414</v>
      </c>
      <c r="D133" s="20">
        <v>1</v>
      </c>
      <c r="E133" s="107">
        <v>3615</v>
      </c>
      <c r="F133" s="107">
        <f t="shared" si="2"/>
        <v>3615</v>
      </c>
      <c r="G133" s="20" t="s">
        <v>272</v>
      </c>
    </row>
    <row r="134" spans="1:7">
      <c r="A134" s="20" t="s">
        <v>47</v>
      </c>
      <c r="B134" s="106" t="s">
        <v>155</v>
      </c>
      <c r="C134" s="20">
        <v>11743</v>
      </c>
      <c r="D134" s="20">
        <v>2</v>
      </c>
      <c r="E134" s="107">
        <v>24934</v>
      </c>
      <c r="F134" s="107">
        <f t="shared" si="2"/>
        <v>49868</v>
      </c>
      <c r="G134" s="20" t="s">
        <v>268</v>
      </c>
    </row>
    <row r="135" spans="1:7">
      <c r="A135" s="20" t="s">
        <v>47</v>
      </c>
      <c r="B135" s="106" t="s">
        <v>156</v>
      </c>
      <c r="C135" s="20">
        <v>10930</v>
      </c>
      <c r="D135" s="20">
        <v>5</v>
      </c>
      <c r="E135" s="107">
        <v>24934</v>
      </c>
      <c r="F135" s="107">
        <f t="shared" si="2"/>
        <v>124670</v>
      </c>
      <c r="G135" s="20" t="s">
        <v>268</v>
      </c>
    </row>
    <row r="136" spans="1:7">
      <c r="A136" s="20" t="s">
        <v>62</v>
      </c>
      <c r="B136" s="106" t="s">
        <v>157</v>
      </c>
      <c r="C136" s="62">
        <v>2022</v>
      </c>
      <c r="D136" s="20">
        <v>20</v>
      </c>
      <c r="E136" s="107">
        <v>2393</v>
      </c>
      <c r="F136" s="107">
        <f t="shared" si="2"/>
        <v>47860</v>
      </c>
      <c r="G136" s="20" t="s">
        <v>272</v>
      </c>
    </row>
    <row r="137" spans="1:7">
      <c r="A137" s="20" t="s">
        <v>62</v>
      </c>
      <c r="B137" s="106" t="s">
        <v>158</v>
      </c>
      <c r="C137" s="62" t="s">
        <v>159</v>
      </c>
      <c r="D137" s="20">
        <v>21</v>
      </c>
      <c r="E137" s="107">
        <f>F137/D137</f>
        <v>235483.05333333334</v>
      </c>
      <c r="F137" s="107">
        <v>4945144.12</v>
      </c>
      <c r="G137" s="20" t="s">
        <v>268</v>
      </c>
    </row>
    <row r="138" spans="1:7">
      <c r="A138" s="20" t="s">
        <v>47</v>
      </c>
      <c r="B138" s="106" t="s">
        <v>160</v>
      </c>
      <c r="C138" s="20">
        <v>10942</v>
      </c>
      <c r="D138" s="20">
        <v>2</v>
      </c>
      <c r="E138" s="107">
        <v>6587</v>
      </c>
      <c r="F138" s="107">
        <f t="shared" ref="F138:F201" si="3">D138*E138</f>
        <v>13174</v>
      </c>
      <c r="G138" s="20" t="s">
        <v>272</v>
      </c>
    </row>
    <row r="139" spans="1:7">
      <c r="A139" s="20" t="s">
        <v>49</v>
      </c>
      <c r="B139" s="106" t="s">
        <v>161</v>
      </c>
      <c r="C139" s="62" t="s">
        <v>162</v>
      </c>
      <c r="D139" s="20">
        <v>3</v>
      </c>
      <c r="E139" s="116">
        <v>51264.244999999995</v>
      </c>
      <c r="F139" s="107">
        <f t="shared" si="3"/>
        <v>153792.73499999999</v>
      </c>
      <c r="G139" s="20" t="s">
        <v>268</v>
      </c>
    </row>
    <row r="140" spans="1:7">
      <c r="A140" s="20" t="s">
        <v>49</v>
      </c>
      <c r="B140" s="106" t="s">
        <v>163</v>
      </c>
      <c r="C140" s="20">
        <v>537</v>
      </c>
      <c r="D140" s="20">
        <v>28</v>
      </c>
      <c r="E140" s="107">
        <v>44064</v>
      </c>
      <c r="F140" s="107">
        <f t="shared" si="3"/>
        <v>1233792</v>
      </c>
      <c r="G140" s="20" t="s">
        <v>268</v>
      </c>
    </row>
    <row r="141" spans="1:7" ht="30">
      <c r="A141" s="20" t="s">
        <v>47</v>
      </c>
      <c r="B141" s="112" t="s">
        <v>164</v>
      </c>
      <c r="C141" s="62" t="s">
        <v>165</v>
      </c>
      <c r="D141" s="20">
        <v>3</v>
      </c>
      <c r="E141" s="107">
        <v>53249.665000000001</v>
      </c>
      <c r="F141" s="107">
        <f t="shared" si="3"/>
        <v>159748.995</v>
      </c>
      <c r="G141" s="20" t="s">
        <v>268</v>
      </c>
    </row>
    <row r="142" spans="1:7" ht="30">
      <c r="A142" s="20" t="s">
        <v>47</v>
      </c>
      <c r="B142" s="112" t="s">
        <v>166</v>
      </c>
      <c r="C142" s="62" t="s">
        <v>165</v>
      </c>
      <c r="D142" s="20">
        <v>3</v>
      </c>
      <c r="E142" s="107">
        <v>106402.58</v>
      </c>
      <c r="F142" s="107">
        <f t="shared" si="3"/>
        <v>319207.74</v>
      </c>
      <c r="G142" s="20" t="s">
        <v>268</v>
      </c>
    </row>
    <row r="143" spans="1:7" ht="30">
      <c r="A143" s="20" t="s">
        <v>47</v>
      </c>
      <c r="B143" s="112" t="s">
        <v>167</v>
      </c>
      <c r="C143" s="62" t="s">
        <v>165</v>
      </c>
      <c r="D143" s="20">
        <v>3</v>
      </c>
      <c r="E143" s="107">
        <v>45382.400000000001</v>
      </c>
      <c r="F143" s="107">
        <f t="shared" si="3"/>
        <v>136147.20000000001</v>
      </c>
      <c r="G143" s="20" t="s">
        <v>268</v>
      </c>
    </row>
    <row r="144" spans="1:7">
      <c r="A144" s="20" t="s">
        <v>47</v>
      </c>
      <c r="B144" s="106" t="s">
        <v>168</v>
      </c>
      <c r="C144" s="62" t="s">
        <v>169</v>
      </c>
      <c r="D144" s="20">
        <v>2</v>
      </c>
      <c r="E144" s="107">
        <v>1241</v>
      </c>
      <c r="F144" s="107">
        <f t="shared" si="3"/>
        <v>2482</v>
      </c>
      <c r="G144" s="20" t="s">
        <v>268</v>
      </c>
    </row>
    <row r="145" spans="1:7">
      <c r="A145" s="20" t="s">
        <v>56</v>
      </c>
      <c r="B145" s="106" t="s">
        <v>170</v>
      </c>
      <c r="C145" s="20">
        <v>11248</v>
      </c>
      <c r="D145" s="20">
        <v>10</v>
      </c>
      <c r="E145" s="107">
        <v>1666</v>
      </c>
      <c r="F145" s="107">
        <f t="shared" si="3"/>
        <v>16660</v>
      </c>
      <c r="G145" s="20" t="s">
        <v>268</v>
      </c>
    </row>
    <row r="146" spans="1:7">
      <c r="A146" s="20" t="s">
        <v>49</v>
      </c>
      <c r="B146" s="106" t="s">
        <v>170</v>
      </c>
      <c r="C146" s="20">
        <v>11248</v>
      </c>
      <c r="D146" s="20">
        <v>13</v>
      </c>
      <c r="E146" s="107">
        <v>1666</v>
      </c>
      <c r="F146" s="107">
        <f t="shared" si="3"/>
        <v>21658</v>
      </c>
      <c r="G146" s="20" t="s">
        <v>268</v>
      </c>
    </row>
    <row r="147" spans="1:7">
      <c r="A147" s="20" t="s">
        <v>47</v>
      </c>
      <c r="B147" s="106" t="s">
        <v>170</v>
      </c>
      <c r="C147" s="20">
        <v>11248</v>
      </c>
      <c r="D147" s="20">
        <v>60</v>
      </c>
      <c r="E147" s="107">
        <v>1666</v>
      </c>
      <c r="F147" s="107">
        <f t="shared" si="3"/>
        <v>99960</v>
      </c>
      <c r="G147" s="20" t="s">
        <v>268</v>
      </c>
    </row>
    <row r="148" spans="1:7">
      <c r="A148" s="20" t="s">
        <v>56</v>
      </c>
      <c r="B148" s="106" t="s">
        <v>171</v>
      </c>
      <c r="C148" s="20">
        <v>11249</v>
      </c>
      <c r="D148" s="20">
        <v>4</v>
      </c>
      <c r="E148" s="107">
        <v>1657</v>
      </c>
      <c r="F148" s="107">
        <f t="shared" si="3"/>
        <v>6628</v>
      </c>
      <c r="G148" s="20" t="s">
        <v>268</v>
      </c>
    </row>
    <row r="149" spans="1:7">
      <c r="A149" s="20" t="s">
        <v>49</v>
      </c>
      <c r="B149" s="106" t="s">
        <v>171</v>
      </c>
      <c r="C149" s="20">
        <v>11249</v>
      </c>
      <c r="D149" s="20">
        <v>13</v>
      </c>
      <c r="E149" s="107">
        <v>1657</v>
      </c>
      <c r="F149" s="107">
        <f t="shared" si="3"/>
        <v>21541</v>
      </c>
      <c r="G149" s="20" t="s">
        <v>268</v>
      </c>
    </row>
    <row r="150" spans="1:7">
      <c r="A150" s="20" t="s">
        <v>47</v>
      </c>
      <c r="B150" s="106" t="s">
        <v>171</v>
      </c>
      <c r="C150" s="20">
        <v>11249</v>
      </c>
      <c r="D150" s="20">
        <v>8</v>
      </c>
      <c r="E150" s="107">
        <v>1657</v>
      </c>
      <c r="F150" s="107">
        <f t="shared" si="3"/>
        <v>13256</v>
      </c>
      <c r="G150" s="20" t="s">
        <v>268</v>
      </c>
    </row>
    <row r="151" spans="1:7">
      <c r="A151" s="20" t="s">
        <v>47</v>
      </c>
      <c r="B151" s="106" t="s">
        <v>172</v>
      </c>
      <c r="C151" s="20">
        <v>398</v>
      </c>
      <c r="D151" s="20">
        <v>2</v>
      </c>
      <c r="E151" s="107">
        <v>90213</v>
      </c>
      <c r="F151" s="107">
        <f t="shared" si="3"/>
        <v>180426</v>
      </c>
      <c r="G151" s="20" t="s">
        <v>269</v>
      </c>
    </row>
    <row r="152" spans="1:7">
      <c r="A152" s="20" t="s">
        <v>47</v>
      </c>
      <c r="B152" s="106" t="s">
        <v>173</v>
      </c>
      <c r="C152" s="20">
        <v>10548</v>
      </c>
      <c r="D152" s="20">
        <v>2</v>
      </c>
      <c r="E152" s="107">
        <v>350900</v>
      </c>
      <c r="F152" s="107">
        <f t="shared" si="3"/>
        <v>701800</v>
      </c>
      <c r="G152" s="20" t="s">
        <v>269</v>
      </c>
    </row>
    <row r="153" spans="1:7">
      <c r="A153" s="20" t="s">
        <v>47</v>
      </c>
      <c r="B153" s="106" t="s">
        <v>174</v>
      </c>
      <c r="C153" s="20">
        <v>10984</v>
      </c>
      <c r="D153" s="20">
        <v>2</v>
      </c>
      <c r="E153" s="107">
        <v>46755</v>
      </c>
      <c r="F153" s="107">
        <f t="shared" si="3"/>
        <v>93510</v>
      </c>
      <c r="G153" s="20" t="s">
        <v>269</v>
      </c>
    </row>
    <row r="154" spans="1:7">
      <c r="A154" s="20" t="s">
        <v>47</v>
      </c>
      <c r="B154" s="106" t="s">
        <v>175</v>
      </c>
      <c r="C154" s="20">
        <v>1044</v>
      </c>
      <c r="D154" s="20">
        <v>1</v>
      </c>
      <c r="E154" s="107">
        <v>2234285</v>
      </c>
      <c r="F154" s="107">
        <f t="shared" si="3"/>
        <v>2234285</v>
      </c>
      <c r="G154" s="20" t="s">
        <v>268</v>
      </c>
    </row>
    <row r="155" spans="1:7">
      <c r="A155" s="20" t="s">
        <v>47</v>
      </c>
      <c r="B155" s="106" t="s">
        <v>176</v>
      </c>
      <c r="C155" s="20">
        <v>10194</v>
      </c>
      <c r="D155" s="20">
        <v>2</v>
      </c>
      <c r="E155" s="107">
        <v>31999</v>
      </c>
      <c r="F155" s="107">
        <f t="shared" si="3"/>
        <v>63998</v>
      </c>
      <c r="G155" s="20" t="s">
        <v>268</v>
      </c>
    </row>
    <row r="156" spans="1:7">
      <c r="A156" s="20" t="s">
        <v>62</v>
      </c>
      <c r="B156" s="112" t="s">
        <v>177</v>
      </c>
      <c r="C156" s="62">
        <v>2046</v>
      </c>
      <c r="D156" s="20">
        <v>4</v>
      </c>
      <c r="E156" s="111">
        <v>3002</v>
      </c>
      <c r="F156" s="107">
        <f t="shared" si="3"/>
        <v>12008</v>
      </c>
      <c r="G156" s="20" t="s">
        <v>272</v>
      </c>
    </row>
    <row r="157" spans="1:7">
      <c r="A157" s="20" t="s">
        <v>62</v>
      </c>
      <c r="B157" s="112" t="s">
        <v>178</v>
      </c>
      <c r="C157" s="62" t="s">
        <v>179</v>
      </c>
      <c r="D157" s="20">
        <v>8</v>
      </c>
      <c r="E157" s="111">
        <v>2449.5500000000002</v>
      </c>
      <c r="F157" s="107">
        <f t="shared" si="3"/>
        <v>19596.400000000001</v>
      </c>
      <c r="G157" s="20" t="s">
        <v>270</v>
      </c>
    </row>
    <row r="158" spans="1:7">
      <c r="A158" s="20" t="s">
        <v>62</v>
      </c>
      <c r="B158" s="106" t="s">
        <v>180</v>
      </c>
      <c r="C158" s="20">
        <v>2102</v>
      </c>
      <c r="D158" s="62">
        <f>D164+D165+D166</f>
        <v>102</v>
      </c>
      <c r="E158" s="110">
        <v>780</v>
      </c>
      <c r="F158" s="107">
        <f t="shared" si="3"/>
        <v>79560</v>
      </c>
      <c r="G158" s="20" t="s">
        <v>270</v>
      </c>
    </row>
    <row r="159" spans="1:7">
      <c r="A159" s="20" t="s">
        <v>47</v>
      </c>
      <c r="B159" s="106" t="s">
        <v>181</v>
      </c>
      <c r="C159" s="20">
        <v>2174</v>
      </c>
      <c r="D159" s="62">
        <v>15</v>
      </c>
      <c r="E159" s="107">
        <v>91434</v>
      </c>
      <c r="F159" s="107">
        <f t="shared" si="3"/>
        <v>1371510</v>
      </c>
      <c r="G159" s="20" t="s">
        <v>268</v>
      </c>
    </row>
    <row r="160" spans="1:7">
      <c r="A160" s="20" t="s">
        <v>49</v>
      </c>
      <c r="B160" s="106" t="s">
        <v>182</v>
      </c>
      <c r="C160" s="20">
        <v>2174</v>
      </c>
      <c r="D160" s="62">
        <v>2</v>
      </c>
      <c r="E160" s="107">
        <v>91434</v>
      </c>
      <c r="F160" s="107">
        <f t="shared" si="3"/>
        <v>182868</v>
      </c>
      <c r="G160" s="20" t="s">
        <v>268</v>
      </c>
    </row>
    <row r="161" spans="1:7">
      <c r="A161" s="20" t="s">
        <v>47</v>
      </c>
      <c r="B161" s="106" t="s">
        <v>183</v>
      </c>
      <c r="C161" s="20">
        <v>11228</v>
      </c>
      <c r="D161" s="62">
        <v>454</v>
      </c>
      <c r="E161" s="107">
        <v>1001</v>
      </c>
      <c r="F161" s="107">
        <f t="shared" si="3"/>
        <v>454454</v>
      </c>
      <c r="G161" s="20" t="s">
        <v>270</v>
      </c>
    </row>
    <row r="162" spans="1:7">
      <c r="A162" s="20" t="s">
        <v>49</v>
      </c>
      <c r="B162" s="106" t="s">
        <v>183</v>
      </c>
      <c r="C162" s="20">
        <v>11228</v>
      </c>
      <c r="D162" s="62">
        <v>102</v>
      </c>
      <c r="E162" s="107">
        <v>1067</v>
      </c>
      <c r="F162" s="107">
        <f t="shared" si="3"/>
        <v>108834</v>
      </c>
      <c r="G162" s="20" t="s">
        <v>270</v>
      </c>
    </row>
    <row r="163" spans="1:7">
      <c r="A163" s="20" t="s">
        <v>56</v>
      </c>
      <c r="B163" s="106" t="s">
        <v>183</v>
      </c>
      <c r="C163" s="20">
        <v>11228</v>
      </c>
      <c r="D163" s="62">
        <v>32</v>
      </c>
      <c r="E163" s="107">
        <v>1067</v>
      </c>
      <c r="F163" s="107">
        <f t="shared" si="3"/>
        <v>34144</v>
      </c>
      <c r="G163" s="20" t="s">
        <v>270</v>
      </c>
    </row>
    <row r="164" spans="1:7">
      <c r="A164" s="20" t="s">
        <v>47</v>
      </c>
      <c r="B164" s="106" t="s">
        <v>184</v>
      </c>
      <c r="C164" s="20">
        <v>1222</v>
      </c>
      <c r="D164" s="62">
        <f>22+D230+D231+D232+D106+D109+D216+D217</f>
        <v>60</v>
      </c>
      <c r="E164" s="107">
        <v>3215</v>
      </c>
      <c r="F164" s="107">
        <f t="shared" si="3"/>
        <v>192900</v>
      </c>
      <c r="G164" s="20" t="s">
        <v>270</v>
      </c>
    </row>
    <row r="165" spans="1:7">
      <c r="A165" s="20" t="s">
        <v>49</v>
      </c>
      <c r="B165" s="106" t="s">
        <v>184</v>
      </c>
      <c r="C165" s="20">
        <v>1222</v>
      </c>
      <c r="D165" s="62">
        <f>14+D233+D234+D108</f>
        <v>26</v>
      </c>
      <c r="E165" s="107">
        <v>3215</v>
      </c>
      <c r="F165" s="107">
        <f t="shared" si="3"/>
        <v>83590</v>
      </c>
      <c r="G165" s="20" t="s">
        <v>270</v>
      </c>
    </row>
    <row r="166" spans="1:7">
      <c r="A166" s="20" t="s">
        <v>56</v>
      </c>
      <c r="B166" s="106" t="s">
        <v>184</v>
      </c>
      <c r="C166" s="20">
        <v>1222</v>
      </c>
      <c r="D166" s="62">
        <f>10+D107</f>
        <v>16</v>
      </c>
      <c r="E166" s="107">
        <v>3215</v>
      </c>
      <c r="F166" s="107">
        <f t="shared" si="3"/>
        <v>51440</v>
      </c>
      <c r="G166" s="20" t="s">
        <v>270</v>
      </c>
    </row>
    <row r="167" spans="1:7">
      <c r="A167" s="20" t="s">
        <v>49</v>
      </c>
      <c r="B167" s="106" t="s">
        <v>185</v>
      </c>
      <c r="C167" s="20">
        <v>3026</v>
      </c>
      <c r="D167" s="62">
        <v>14</v>
      </c>
      <c r="E167" s="107">
        <v>531</v>
      </c>
      <c r="F167" s="107">
        <f t="shared" si="3"/>
        <v>7434</v>
      </c>
      <c r="G167" s="20" t="s">
        <v>270</v>
      </c>
    </row>
    <row r="168" spans="1:7">
      <c r="A168" s="20" t="s">
        <v>186</v>
      </c>
      <c r="B168" s="106" t="s">
        <v>185</v>
      </c>
      <c r="C168" s="20">
        <v>3026</v>
      </c>
      <c r="D168" s="62">
        <v>40</v>
      </c>
      <c r="E168" s="107">
        <v>531</v>
      </c>
      <c r="F168" s="107">
        <f t="shared" si="3"/>
        <v>21240</v>
      </c>
      <c r="G168" s="20" t="s">
        <v>270</v>
      </c>
    </row>
    <row r="169" spans="1:7">
      <c r="A169" s="20" t="s">
        <v>62</v>
      </c>
      <c r="B169" s="106" t="s">
        <v>187</v>
      </c>
      <c r="C169" s="62">
        <v>1994</v>
      </c>
      <c r="D169" s="62">
        <v>28</v>
      </c>
      <c r="E169" s="107">
        <v>672</v>
      </c>
      <c r="F169" s="107">
        <f t="shared" si="3"/>
        <v>18816</v>
      </c>
      <c r="G169" s="20" t="s">
        <v>272</v>
      </c>
    </row>
    <row r="170" spans="1:7" ht="15.6" customHeight="1">
      <c r="A170" s="20" t="s">
        <v>47</v>
      </c>
      <c r="B170" s="112" t="s">
        <v>188</v>
      </c>
      <c r="C170" s="62" t="s">
        <v>189</v>
      </c>
      <c r="D170" s="62">
        <v>1</v>
      </c>
      <c r="E170" s="107">
        <v>28600</v>
      </c>
      <c r="F170" s="107">
        <f t="shared" si="3"/>
        <v>28600</v>
      </c>
      <c r="G170" s="20" t="s">
        <v>268</v>
      </c>
    </row>
    <row r="171" spans="1:7">
      <c r="A171" s="20" t="s">
        <v>47</v>
      </c>
      <c r="B171" s="106" t="s">
        <v>190</v>
      </c>
      <c r="C171" s="20">
        <v>390</v>
      </c>
      <c r="D171" s="62">
        <v>2</v>
      </c>
      <c r="E171" s="107">
        <v>506186</v>
      </c>
      <c r="F171" s="107">
        <f t="shared" si="3"/>
        <v>1012372</v>
      </c>
      <c r="G171" s="20" t="s">
        <v>268</v>
      </c>
    </row>
    <row r="172" spans="1:7">
      <c r="A172" s="20" t="s">
        <v>47</v>
      </c>
      <c r="B172" s="106" t="s">
        <v>191</v>
      </c>
      <c r="C172" s="20">
        <v>11748</v>
      </c>
      <c r="D172" s="62">
        <v>1</v>
      </c>
      <c r="E172" s="107">
        <v>478342</v>
      </c>
      <c r="F172" s="107">
        <f t="shared" si="3"/>
        <v>478342</v>
      </c>
      <c r="G172" s="20" t="s">
        <v>268</v>
      </c>
    </row>
    <row r="173" spans="1:7">
      <c r="A173" s="20" t="s">
        <v>47</v>
      </c>
      <c r="B173" s="106" t="s">
        <v>192</v>
      </c>
      <c r="C173" s="20">
        <v>725</v>
      </c>
      <c r="D173" s="62">
        <v>6</v>
      </c>
      <c r="E173" s="107">
        <v>15146</v>
      </c>
      <c r="F173" s="107">
        <f t="shared" si="3"/>
        <v>90876</v>
      </c>
      <c r="G173" s="20" t="s">
        <v>268</v>
      </c>
    </row>
    <row r="174" spans="1:7">
      <c r="A174" s="20" t="s">
        <v>47</v>
      </c>
      <c r="B174" s="106" t="s">
        <v>193</v>
      </c>
      <c r="C174" s="20">
        <v>433</v>
      </c>
      <c r="D174" s="62">
        <v>2</v>
      </c>
      <c r="E174" s="107">
        <v>42440</v>
      </c>
      <c r="F174" s="107">
        <f t="shared" si="3"/>
        <v>84880</v>
      </c>
      <c r="G174" s="20" t="s">
        <v>268</v>
      </c>
    </row>
    <row r="175" spans="1:7" ht="30">
      <c r="A175" s="20" t="s">
        <v>62</v>
      </c>
      <c r="B175" s="112" t="s">
        <v>194</v>
      </c>
      <c r="C175" s="20" t="s">
        <v>195</v>
      </c>
      <c r="D175" s="62">
        <v>1</v>
      </c>
      <c r="E175" s="107">
        <v>1000000</v>
      </c>
      <c r="F175" s="107">
        <f t="shared" si="3"/>
        <v>1000000</v>
      </c>
      <c r="G175" s="20" t="s">
        <v>270</v>
      </c>
    </row>
    <row r="176" spans="1:7">
      <c r="A176" s="20" t="s">
        <v>62</v>
      </c>
      <c r="B176" s="106" t="s">
        <v>196</v>
      </c>
      <c r="C176" s="62" t="s">
        <v>197</v>
      </c>
      <c r="D176" s="62">
        <v>1</v>
      </c>
      <c r="E176" s="107">
        <v>6693276.666666667</v>
      </c>
      <c r="F176" s="107">
        <f t="shared" si="3"/>
        <v>6693276.666666667</v>
      </c>
      <c r="G176" s="20" t="s">
        <v>271</v>
      </c>
    </row>
    <row r="177" spans="1:7">
      <c r="A177" s="20" t="s">
        <v>47</v>
      </c>
      <c r="B177" s="106" t="s">
        <v>198</v>
      </c>
      <c r="C177" s="20">
        <v>10860</v>
      </c>
      <c r="D177" s="62">
        <v>2</v>
      </c>
      <c r="E177" s="107">
        <v>260500</v>
      </c>
      <c r="F177" s="107">
        <f t="shared" si="3"/>
        <v>521000</v>
      </c>
      <c r="G177" s="20" t="s">
        <v>268</v>
      </c>
    </row>
    <row r="178" spans="1:7">
      <c r="A178" s="20" t="s">
        <v>49</v>
      </c>
      <c r="B178" s="106" t="s">
        <v>199</v>
      </c>
      <c r="C178" s="62" t="s">
        <v>200</v>
      </c>
      <c r="D178" s="62">
        <v>17</v>
      </c>
      <c r="E178" s="111">
        <v>1046</v>
      </c>
      <c r="F178" s="107">
        <f t="shared" si="3"/>
        <v>17782</v>
      </c>
      <c r="G178" s="20" t="s">
        <v>268</v>
      </c>
    </row>
    <row r="179" spans="1:7">
      <c r="A179" s="20" t="s">
        <v>47</v>
      </c>
      <c r="B179" s="106" t="s">
        <v>201</v>
      </c>
      <c r="C179" s="20">
        <v>10985</v>
      </c>
      <c r="D179" s="62">
        <v>125</v>
      </c>
      <c r="E179" s="110">
        <v>29918</v>
      </c>
      <c r="F179" s="107">
        <f t="shared" si="3"/>
        <v>3739750</v>
      </c>
      <c r="G179" s="20" t="s">
        <v>268</v>
      </c>
    </row>
    <row r="180" spans="1:7">
      <c r="A180" s="20" t="s">
        <v>56</v>
      </c>
      <c r="B180" s="106" t="s">
        <v>201</v>
      </c>
      <c r="C180" s="20">
        <v>10985</v>
      </c>
      <c r="D180" s="62">
        <v>33</v>
      </c>
      <c r="E180" s="107">
        <v>29918</v>
      </c>
      <c r="F180" s="107">
        <f t="shared" si="3"/>
        <v>987294</v>
      </c>
      <c r="G180" s="20" t="s">
        <v>268</v>
      </c>
    </row>
    <row r="181" spans="1:7">
      <c r="A181" s="20" t="s">
        <v>49</v>
      </c>
      <c r="B181" s="106" t="s">
        <v>202</v>
      </c>
      <c r="C181" s="20">
        <v>10985</v>
      </c>
      <c r="D181" s="62">
        <v>56</v>
      </c>
      <c r="E181" s="107">
        <v>28605</v>
      </c>
      <c r="F181" s="107">
        <f t="shared" si="3"/>
        <v>1601880</v>
      </c>
      <c r="G181" s="20" t="s">
        <v>268</v>
      </c>
    </row>
    <row r="182" spans="1:7">
      <c r="A182" s="20" t="s">
        <v>47</v>
      </c>
      <c r="B182" s="106" t="s">
        <v>203</v>
      </c>
      <c r="C182" s="20">
        <v>205</v>
      </c>
      <c r="D182" s="62">
        <v>3</v>
      </c>
      <c r="E182" s="107">
        <v>12729</v>
      </c>
      <c r="F182" s="107">
        <f t="shared" si="3"/>
        <v>38187</v>
      </c>
      <c r="G182" s="20" t="s">
        <v>268</v>
      </c>
    </row>
    <row r="183" spans="1:7">
      <c r="A183" s="20" t="s">
        <v>62</v>
      </c>
      <c r="B183" s="106" t="s">
        <v>204</v>
      </c>
      <c r="C183" s="62" t="s">
        <v>205</v>
      </c>
      <c r="D183" s="62">
        <v>1</v>
      </c>
      <c r="E183" s="111">
        <v>4024005.7749999999</v>
      </c>
      <c r="F183" s="107">
        <f t="shared" si="3"/>
        <v>4024005.7749999999</v>
      </c>
      <c r="G183" s="20" t="s">
        <v>273</v>
      </c>
    </row>
    <row r="184" spans="1:7">
      <c r="A184" s="20" t="s">
        <v>56</v>
      </c>
      <c r="B184" s="106" t="s">
        <v>206</v>
      </c>
      <c r="C184" s="20">
        <v>1506</v>
      </c>
      <c r="D184" s="62">
        <v>3</v>
      </c>
      <c r="E184" s="110">
        <v>1616</v>
      </c>
      <c r="F184" s="107">
        <f t="shared" si="3"/>
        <v>4848</v>
      </c>
      <c r="G184" s="20" t="s">
        <v>268</v>
      </c>
    </row>
    <row r="185" spans="1:7">
      <c r="A185" s="20" t="s">
        <v>49</v>
      </c>
      <c r="B185" s="106" t="s">
        <v>206</v>
      </c>
      <c r="C185" s="20">
        <v>1506</v>
      </c>
      <c r="D185" s="62">
        <v>2</v>
      </c>
      <c r="E185" s="107">
        <v>1616</v>
      </c>
      <c r="F185" s="107">
        <f t="shared" si="3"/>
        <v>3232</v>
      </c>
      <c r="G185" s="20" t="s">
        <v>268</v>
      </c>
    </row>
    <row r="186" spans="1:7">
      <c r="A186" s="20" t="s">
        <v>47</v>
      </c>
      <c r="B186" s="106" t="s">
        <v>206</v>
      </c>
      <c r="C186" s="20">
        <v>1506</v>
      </c>
      <c r="D186" s="62">
        <v>10</v>
      </c>
      <c r="E186" s="107">
        <v>1616</v>
      </c>
      <c r="F186" s="107">
        <f t="shared" si="3"/>
        <v>16160</v>
      </c>
      <c r="G186" s="20" t="s">
        <v>268</v>
      </c>
    </row>
    <row r="187" spans="1:7">
      <c r="A187" s="20" t="s">
        <v>56</v>
      </c>
      <c r="B187" s="106" t="s">
        <v>207</v>
      </c>
      <c r="C187" s="20">
        <v>11649</v>
      </c>
      <c r="D187" s="62">
        <v>3</v>
      </c>
      <c r="E187" s="107">
        <v>2005</v>
      </c>
      <c r="F187" s="107">
        <f t="shared" si="3"/>
        <v>6015</v>
      </c>
      <c r="G187" s="20" t="s">
        <v>268</v>
      </c>
    </row>
    <row r="188" spans="1:7">
      <c r="A188" s="20" t="s">
        <v>49</v>
      </c>
      <c r="B188" s="106" t="s">
        <v>207</v>
      </c>
      <c r="C188" s="20">
        <v>11649</v>
      </c>
      <c r="D188" s="62">
        <v>2</v>
      </c>
      <c r="E188" s="107">
        <v>2005</v>
      </c>
      <c r="F188" s="107">
        <f t="shared" si="3"/>
        <v>4010</v>
      </c>
      <c r="G188" s="20" t="s">
        <v>268</v>
      </c>
    </row>
    <row r="189" spans="1:7">
      <c r="A189" s="20" t="s">
        <v>49</v>
      </c>
      <c r="B189" s="106" t="s">
        <v>207</v>
      </c>
      <c r="C189" s="20">
        <v>11649</v>
      </c>
      <c r="D189" s="62">
        <v>10</v>
      </c>
      <c r="E189" s="107">
        <v>2005</v>
      </c>
      <c r="F189" s="107">
        <f t="shared" si="3"/>
        <v>20050</v>
      </c>
      <c r="G189" s="20" t="s">
        <v>268</v>
      </c>
    </row>
    <row r="190" spans="1:7">
      <c r="A190" s="20" t="s">
        <v>56</v>
      </c>
      <c r="B190" s="106" t="s">
        <v>208</v>
      </c>
      <c r="C190" s="20">
        <v>699</v>
      </c>
      <c r="D190" s="62">
        <v>12</v>
      </c>
      <c r="E190" s="107">
        <v>4948</v>
      </c>
      <c r="F190" s="107">
        <f t="shared" si="3"/>
        <v>59376</v>
      </c>
      <c r="G190" s="20" t="s">
        <v>268</v>
      </c>
    </row>
    <row r="191" spans="1:7">
      <c r="A191" s="20" t="s">
        <v>49</v>
      </c>
      <c r="B191" s="106" t="s">
        <v>208</v>
      </c>
      <c r="C191" s="20">
        <v>699</v>
      </c>
      <c r="D191" s="62">
        <v>15</v>
      </c>
      <c r="E191" s="107">
        <v>4948</v>
      </c>
      <c r="F191" s="107">
        <f t="shared" si="3"/>
        <v>74220</v>
      </c>
      <c r="G191" s="20" t="s">
        <v>268</v>
      </c>
    </row>
    <row r="192" spans="1:7">
      <c r="A192" s="20" t="s">
        <v>47</v>
      </c>
      <c r="B192" s="106" t="s">
        <v>208</v>
      </c>
      <c r="C192" s="20">
        <v>699</v>
      </c>
      <c r="D192" s="62">
        <v>100</v>
      </c>
      <c r="E192" s="107">
        <v>4948</v>
      </c>
      <c r="F192" s="107">
        <f t="shared" si="3"/>
        <v>494800</v>
      </c>
      <c r="G192" s="20" t="s">
        <v>268</v>
      </c>
    </row>
    <row r="193" spans="1:7">
      <c r="A193" s="20" t="s">
        <v>47</v>
      </c>
      <c r="B193" s="106" t="s">
        <v>209</v>
      </c>
      <c r="C193" s="20">
        <v>10523</v>
      </c>
      <c r="D193" s="62">
        <v>2</v>
      </c>
      <c r="E193" s="107">
        <v>5766</v>
      </c>
      <c r="F193" s="107">
        <f t="shared" si="3"/>
        <v>11532</v>
      </c>
      <c r="G193" s="20" t="s">
        <v>268</v>
      </c>
    </row>
    <row r="194" spans="1:7">
      <c r="A194" s="20" t="s">
        <v>47</v>
      </c>
      <c r="B194" s="106" t="s">
        <v>210</v>
      </c>
      <c r="C194" s="20">
        <v>2345</v>
      </c>
      <c r="D194" s="62">
        <v>454</v>
      </c>
      <c r="E194" s="107">
        <v>1512</v>
      </c>
      <c r="F194" s="107">
        <f t="shared" si="3"/>
        <v>686448</v>
      </c>
      <c r="G194" s="20" t="s">
        <v>266</v>
      </c>
    </row>
    <row r="195" spans="1:7">
      <c r="A195" s="20" t="s">
        <v>49</v>
      </c>
      <c r="B195" s="106" t="s">
        <v>210</v>
      </c>
      <c r="C195" s="20">
        <v>2345</v>
      </c>
      <c r="D195" s="62">
        <v>127</v>
      </c>
      <c r="E195" s="107">
        <v>1485</v>
      </c>
      <c r="F195" s="107">
        <f t="shared" si="3"/>
        <v>188595</v>
      </c>
      <c r="G195" s="20" t="s">
        <v>266</v>
      </c>
    </row>
    <row r="196" spans="1:7">
      <c r="A196" s="20" t="s">
        <v>56</v>
      </c>
      <c r="B196" s="106" t="s">
        <v>210</v>
      </c>
      <c r="C196" s="20">
        <v>2345</v>
      </c>
      <c r="D196" s="164">
        <v>30</v>
      </c>
      <c r="E196" s="107">
        <v>1485</v>
      </c>
      <c r="F196" s="117">
        <f t="shared" si="3"/>
        <v>44550</v>
      </c>
      <c r="G196" s="20" t="s">
        <v>266</v>
      </c>
    </row>
    <row r="197" spans="1:7">
      <c r="A197" s="20" t="s">
        <v>62</v>
      </c>
      <c r="B197" s="106" t="s">
        <v>211</v>
      </c>
      <c r="C197" s="62" t="s">
        <v>212</v>
      </c>
      <c r="D197" s="62">
        <v>400</v>
      </c>
      <c r="E197" s="111">
        <v>3221.8050000000003</v>
      </c>
      <c r="F197" s="107">
        <f t="shared" si="3"/>
        <v>1288722</v>
      </c>
      <c r="G197" s="20" t="s">
        <v>271</v>
      </c>
    </row>
    <row r="198" spans="1:7">
      <c r="A198" s="20" t="s">
        <v>47</v>
      </c>
      <c r="B198" s="106" t="s">
        <v>213</v>
      </c>
      <c r="C198" s="20">
        <v>616</v>
      </c>
      <c r="D198" s="62">
        <v>2</v>
      </c>
      <c r="E198" s="107">
        <v>45834</v>
      </c>
      <c r="F198" s="107">
        <f t="shared" si="3"/>
        <v>91668</v>
      </c>
      <c r="G198" s="20" t="s">
        <v>268</v>
      </c>
    </row>
    <row r="199" spans="1:7">
      <c r="A199" s="20" t="s">
        <v>56</v>
      </c>
      <c r="B199" s="106" t="s">
        <v>214</v>
      </c>
      <c r="C199" s="20">
        <v>3006</v>
      </c>
      <c r="D199" s="62">
        <v>20</v>
      </c>
      <c r="E199" s="107">
        <v>302</v>
      </c>
      <c r="F199" s="107">
        <f t="shared" si="3"/>
        <v>6040</v>
      </c>
      <c r="G199" s="20" t="s">
        <v>268</v>
      </c>
    </row>
    <row r="200" spans="1:7">
      <c r="A200" s="20" t="s">
        <v>49</v>
      </c>
      <c r="B200" s="106" t="s">
        <v>214</v>
      </c>
      <c r="C200" s="20">
        <v>3006</v>
      </c>
      <c r="D200" s="62">
        <v>10</v>
      </c>
      <c r="E200" s="107">
        <v>302</v>
      </c>
      <c r="F200" s="107">
        <f t="shared" si="3"/>
        <v>3020</v>
      </c>
      <c r="G200" s="20" t="s">
        <v>268</v>
      </c>
    </row>
    <row r="201" spans="1:7">
      <c r="A201" s="20" t="s">
        <v>56</v>
      </c>
      <c r="B201" s="106" t="s">
        <v>215</v>
      </c>
      <c r="C201" s="20">
        <v>3010</v>
      </c>
      <c r="D201" s="62">
        <v>12</v>
      </c>
      <c r="E201" s="107">
        <v>357</v>
      </c>
      <c r="F201" s="107">
        <f t="shared" si="3"/>
        <v>4284</v>
      </c>
      <c r="G201" s="20" t="s">
        <v>268</v>
      </c>
    </row>
    <row r="202" spans="1:7">
      <c r="A202" s="20" t="s">
        <v>49</v>
      </c>
      <c r="B202" s="106" t="s">
        <v>215</v>
      </c>
      <c r="C202" s="20">
        <v>3010</v>
      </c>
      <c r="D202" s="62">
        <v>46</v>
      </c>
      <c r="E202" s="107">
        <v>357</v>
      </c>
      <c r="F202" s="107">
        <f t="shared" ref="F202:F238" si="4">D202*E202</f>
        <v>16422</v>
      </c>
      <c r="G202" s="20" t="s">
        <v>268</v>
      </c>
    </row>
    <row r="203" spans="1:7">
      <c r="A203" s="20" t="s">
        <v>62</v>
      </c>
      <c r="B203" s="106" t="s">
        <v>216</v>
      </c>
      <c r="C203" s="62">
        <v>2022</v>
      </c>
      <c r="D203" s="62">
        <v>28</v>
      </c>
      <c r="E203" s="107">
        <v>2393</v>
      </c>
      <c r="F203" s="107">
        <f t="shared" si="4"/>
        <v>67004</v>
      </c>
      <c r="G203" s="20" t="s">
        <v>272</v>
      </c>
    </row>
    <row r="204" spans="1:7">
      <c r="A204" s="20" t="s">
        <v>49</v>
      </c>
      <c r="B204" s="106" t="s">
        <v>217</v>
      </c>
      <c r="C204" s="20">
        <v>10258</v>
      </c>
      <c r="D204" s="62">
        <v>1</v>
      </c>
      <c r="E204" s="107">
        <v>35179</v>
      </c>
      <c r="F204" s="107">
        <f t="shared" si="4"/>
        <v>35179</v>
      </c>
      <c r="G204" s="20" t="s">
        <v>273</v>
      </c>
    </row>
    <row r="205" spans="1:7">
      <c r="A205" s="20" t="s">
        <v>47</v>
      </c>
      <c r="B205" s="106" t="s">
        <v>218</v>
      </c>
      <c r="C205" s="20">
        <v>10889</v>
      </c>
      <c r="D205" s="62">
        <v>1</v>
      </c>
      <c r="E205" s="107">
        <v>4847401</v>
      </c>
      <c r="F205" s="107">
        <f t="shared" si="4"/>
        <v>4847401</v>
      </c>
      <c r="G205" s="20" t="s">
        <v>264</v>
      </c>
    </row>
    <row r="206" spans="1:7">
      <c r="A206" s="20" t="s">
        <v>47</v>
      </c>
      <c r="B206" s="106" t="s">
        <v>219</v>
      </c>
      <c r="C206" s="20">
        <v>10442</v>
      </c>
      <c r="D206" s="62">
        <v>2</v>
      </c>
      <c r="E206" s="107">
        <v>67640</v>
      </c>
      <c r="F206" s="107">
        <f t="shared" si="4"/>
        <v>135280</v>
      </c>
      <c r="G206" s="20" t="s">
        <v>269</v>
      </c>
    </row>
    <row r="207" spans="1:7">
      <c r="A207" s="20" t="s">
        <v>49</v>
      </c>
      <c r="B207" s="106" t="s">
        <v>220</v>
      </c>
      <c r="C207" s="20">
        <v>1503</v>
      </c>
      <c r="D207" s="62">
        <v>4</v>
      </c>
      <c r="E207" s="107">
        <v>1140</v>
      </c>
      <c r="F207" s="107">
        <f t="shared" si="4"/>
        <v>4560</v>
      </c>
      <c r="G207" s="20" t="s">
        <v>269</v>
      </c>
    </row>
    <row r="208" spans="1:7">
      <c r="A208" s="20" t="s">
        <v>47</v>
      </c>
      <c r="B208" s="106" t="s">
        <v>221</v>
      </c>
      <c r="C208" s="20">
        <v>2290</v>
      </c>
      <c r="D208" s="62">
        <v>2</v>
      </c>
      <c r="E208" s="107">
        <v>20922</v>
      </c>
      <c r="F208" s="107">
        <f t="shared" si="4"/>
        <v>41844</v>
      </c>
      <c r="G208" s="20" t="s">
        <v>268</v>
      </c>
    </row>
    <row r="209" spans="1:7">
      <c r="A209" s="20" t="s">
        <v>47</v>
      </c>
      <c r="B209" s="106" t="s">
        <v>222</v>
      </c>
      <c r="C209" s="20">
        <v>1503</v>
      </c>
      <c r="D209" s="62">
        <v>5</v>
      </c>
      <c r="E209" s="107">
        <v>1140</v>
      </c>
      <c r="F209" s="107">
        <f t="shared" si="4"/>
        <v>5700</v>
      </c>
      <c r="G209" s="20" t="s">
        <v>268</v>
      </c>
    </row>
    <row r="210" spans="1:7">
      <c r="A210" s="20" t="s">
        <v>47</v>
      </c>
      <c r="B210" s="106" t="s">
        <v>223</v>
      </c>
      <c r="C210" s="20">
        <v>3054</v>
      </c>
      <c r="D210" s="62">
        <v>8</v>
      </c>
      <c r="E210" s="107">
        <v>2373</v>
      </c>
      <c r="F210" s="107">
        <f t="shared" si="4"/>
        <v>18984</v>
      </c>
      <c r="G210" s="20" t="s">
        <v>268</v>
      </c>
    </row>
    <row r="211" spans="1:7">
      <c r="A211" s="20" t="s">
        <v>47</v>
      </c>
      <c r="B211" s="106" t="s">
        <v>224</v>
      </c>
      <c r="C211" s="20">
        <v>1543</v>
      </c>
      <c r="D211" s="62">
        <v>1</v>
      </c>
      <c r="E211" s="107">
        <v>2485638</v>
      </c>
      <c r="F211" s="107">
        <f t="shared" si="4"/>
        <v>2485638</v>
      </c>
      <c r="G211" s="20" t="s">
        <v>268</v>
      </c>
    </row>
    <row r="212" spans="1:7">
      <c r="A212" s="20" t="s">
        <v>47</v>
      </c>
      <c r="B212" s="106" t="s">
        <v>225</v>
      </c>
      <c r="C212" s="20">
        <v>10947</v>
      </c>
      <c r="D212" s="62">
        <v>1</v>
      </c>
      <c r="E212" s="107">
        <v>2679660</v>
      </c>
      <c r="F212" s="107">
        <f t="shared" si="4"/>
        <v>2679660</v>
      </c>
      <c r="G212" s="20" t="s">
        <v>268</v>
      </c>
    </row>
    <row r="213" spans="1:7">
      <c r="A213" s="20" t="s">
        <v>47</v>
      </c>
      <c r="B213" s="106" t="s">
        <v>226</v>
      </c>
      <c r="C213" s="62" t="s">
        <v>227</v>
      </c>
      <c r="D213" s="62">
        <v>2</v>
      </c>
      <c r="E213" s="107">
        <v>3053.34</v>
      </c>
      <c r="F213" s="107">
        <f t="shared" si="4"/>
        <v>6106.68</v>
      </c>
      <c r="G213" s="20" t="s">
        <v>268</v>
      </c>
    </row>
    <row r="214" spans="1:7" ht="30">
      <c r="A214" s="20" t="s">
        <v>47</v>
      </c>
      <c r="B214" s="112" t="s">
        <v>228</v>
      </c>
      <c r="C214" s="62" t="s">
        <v>229</v>
      </c>
      <c r="D214" s="62">
        <v>1</v>
      </c>
      <c r="E214" s="107">
        <v>420410</v>
      </c>
      <c r="F214" s="107">
        <f t="shared" si="4"/>
        <v>420410</v>
      </c>
      <c r="G214" s="20" t="s">
        <v>268</v>
      </c>
    </row>
    <row r="215" spans="1:7">
      <c r="A215" s="20" t="s">
        <v>47</v>
      </c>
      <c r="B215" s="106" t="s">
        <v>230</v>
      </c>
      <c r="C215" s="20">
        <v>10254</v>
      </c>
      <c r="D215" s="62">
        <v>3</v>
      </c>
      <c r="E215" s="107">
        <v>328894</v>
      </c>
      <c r="F215" s="107">
        <f t="shared" si="4"/>
        <v>986682</v>
      </c>
      <c r="G215" s="20" t="s">
        <v>268</v>
      </c>
    </row>
    <row r="216" spans="1:7" ht="45">
      <c r="A216" s="20" t="s">
        <v>47</v>
      </c>
      <c r="B216" s="112" t="s">
        <v>231</v>
      </c>
      <c r="C216" s="20">
        <v>11268</v>
      </c>
      <c r="D216" s="62">
        <v>3</v>
      </c>
      <c r="E216" s="107">
        <v>364248</v>
      </c>
      <c r="F216" s="107">
        <f t="shared" si="4"/>
        <v>1092744</v>
      </c>
      <c r="G216" s="20" t="s">
        <v>268</v>
      </c>
    </row>
    <row r="217" spans="1:7" ht="30">
      <c r="A217" s="20" t="s">
        <v>47</v>
      </c>
      <c r="B217" s="112" t="s">
        <v>232</v>
      </c>
      <c r="C217" s="20">
        <v>11268</v>
      </c>
      <c r="D217" s="62">
        <v>2</v>
      </c>
      <c r="E217" s="107">
        <v>364248</v>
      </c>
      <c r="F217" s="107">
        <f t="shared" si="4"/>
        <v>728496</v>
      </c>
      <c r="G217" s="20" t="s">
        <v>268</v>
      </c>
    </row>
    <row r="218" spans="1:7" ht="30">
      <c r="A218" s="20" t="s">
        <v>47</v>
      </c>
      <c r="B218" s="112" t="s">
        <v>233</v>
      </c>
      <c r="C218" s="20">
        <v>11268</v>
      </c>
      <c r="D218" s="62">
        <v>3</v>
      </c>
      <c r="E218" s="107">
        <v>364248</v>
      </c>
      <c r="F218" s="107">
        <f t="shared" si="4"/>
        <v>1092744</v>
      </c>
      <c r="G218" s="20" t="s">
        <v>268</v>
      </c>
    </row>
    <row r="219" spans="1:7" ht="45">
      <c r="A219" s="20" t="s">
        <v>47</v>
      </c>
      <c r="B219" s="112" t="s">
        <v>234</v>
      </c>
      <c r="C219" s="20">
        <v>11268</v>
      </c>
      <c r="D219" s="62">
        <v>2</v>
      </c>
      <c r="E219" s="107">
        <v>364248</v>
      </c>
      <c r="F219" s="107">
        <f t="shared" si="4"/>
        <v>728496</v>
      </c>
      <c r="G219" s="20" t="s">
        <v>268</v>
      </c>
    </row>
    <row r="220" spans="1:7" ht="45">
      <c r="A220" s="20" t="s">
        <v>47</v>
      </c>
      <c r="B220" s="112" t="s">
        <v>235</v>
      </c>
      <c r="C220" s="20">
        <v>11268</v>
      </c>
      <c r="D220" s="62">
        <v>1</v>
      </c>
      <c r="E220" s="107">
        <v>364248</v>
      </c>
      <c r="F220" s="107">
        <f t="shared" si="4"/>
        <v>364248</v>
      </c>
      <c r="G220" s="20" t="s">
        <v>268</v>
      </c>
    </row>
    <row r="221" spans="1:7">
      <c r="A221" s="20" t="s">
        <v>62</v>
      </c>
      <c r="B221" s="106" t="s">
        <v>236</v>
      </c>
      <c r="C221" s="62" t="s">
        <v>237</v>
      </c>
      <c r="D221" s="62">
        <v>60</v>
      </c>
      <c r="E221" s="107">
        <v>2771.5</v>
      </c>
      <c r="F221" s="107">
        <f t="shared" si="4"/>
        <v>166290</v>
      </c>
      <c r="G221" s="20" t="s">
        <v>272</v>
      </c>
    </row>
    <row r="222" spans="1:7">
      <c r="A222" s="20" t="s">
        <v>47</v>
      </c>
      <c r="B222" s="106" t="s">
        <v>238</v>
      </c>
      <c r="C222" s="62" t="s">
        <v>239</v>
      </c>
      <c r="D222" s="62">
        <v>4</v>
      </c>
      <c r="E222" s="107">
        <v>41250</v>
      </c>
      <c r="F222" s="107">
        <f t="shared" si="4"/>
        <v>165000</v>
      </c>
      <c r="G222" s="20" t="s">
        <v>268</v>
      </c>
    </row>
    <row r="223" spans="1:7">
      <c r="A223" s="20" t="s">
        <v>49</v>
      </c>
      <c r="B223" s="106" t="s">
        <v>240</v>
      </c>
      <c r="C223" s="20">
        <v>2692</v>
      </c>
      <c r="D223" s="62">
        <v>50</v>
      </c>
      <c r="E223" s="107">
        <v>427</v>
      </c>
      <c r="F223" s="107">
        <f t="shared" si="4"/>
        <v>21350</v>
      </c>
      <c r="G223" s="20" t="s">
        <v>270</v>
      </c>
    </row>
    <row r="224" spans="1:7">
      <c r="A224" s="20" t="s">
        <v>241</v>
      </c>
      <c r="B224" s="106" t="s">
        <v>240</v>
      </c>
      <c r="C224" s="20">
        <v>2692</v>
      </c>
      <c r="D224" s="62">
        <v>260</v>
      </c>
      <c r="E224" s="107">
        <v>427</v>
      </c>
      <c r="F224" s="107">
        <f t="shared" si="4"/>
        <v>111020</v>
      </c>
      <c r="G224" s="20" t="s">
        <v>270</v>
      </c>
    </row>
    <row r="225" spans="1:7">
      <c r="A225" s="20" t="s">
        <v>49</v>
      </c>
      <c r="B225" s="106" t="s">
        <v>242</v>
      </c>
      <c r="C225" s="20">
        <v>2369</v>
      </c>
      <c r="D225" s="62">
        <v>132</v>
      </c>
      <c r="E225" s="107">
        <v>593</v>
      </c>
      <c r="F225" s="107">
        <f t="shared" si="4"/>
        <v>78276</v>
      </c>
      <c r="G225" s="20" t="s">
        <v>270</v>
      </c>
    </row>
    <row r="226" spans="1:7">
      <c r="A226" s="20" t="s">
        <v>243</v>
      </c>
      <c r="B226" s="106" t="s">
        <v>242</v>
      </c>
      <c r="C226" s="20">
        <v>2369</v>
      </c>
      <c r="D226" s="62">
        <v>260</v>
      </c>
      <c r="E226" s="107">
        <v>593</v>
      </c>
      <c r="F226" s="107">
        <f t="shared" si="4"/>
        <v>154180</v>
      </c>
      <c r="G226" s="20" t="s">
        <v>270</v>
      </c>
    </row>
    <row r="227" spans="1:7">
      <c r="A227" s="20" t="s">
        <v>62</v>
      </c>
      <c r="B227" s="106" t="s">
        <v>244</v>
      </c>
      <c r="C227" s="62">
        <v>2259</v>
      </c>
      <c r="D227" s="62">
        <v>260</v>
      </c>
      <c r="E227" s="107">
        <v>2005</v>
      </c>
      <c r="F227" s="107">
        <f t="shared" si="4"/>
        <v>521300</v>
      </c>
      <c r="G227" s="20" t="s">
        <v>272</v>
      </c>
    </row>
    <row r="228" spans="1:7">
      <c r="A228" s="20" t="s">
        <v>47</v>
      </c>
      <c r="B228" s="106" t="s">
        <v>245</v>
      </c>
      <c r="C228" s="20">
        <v>11428</v>
      </c>
      <c r="D228" s="62">
        <v>1</v>
      </c>
      <c r="E228" s="107">
        <v>1325000</v>
      </c>
      <c r="F228" s="107">
        <f t="shared" si="4"/>
        <v>1325000</v>
      </c>
      <c r="G228" s="20" t="s">
        <v>264</v>
      </c>
    </row>
    <row r="229" spans="1:7">
      <c r="A229" s="20" t="s">
        <v>47</v>
      </c>
      <c r="B229" s="106" t="s">
        <v>246</v>
      </c>
      <c r="C229" s="20">
        <v>10875</v>
      </c>
      <c r="D229" s="62">
        <v>1</v>
      </c>
      <c r="E229" s="107">
        <v>2615250</v>
      </c>
      <c r="F229" s="107">
        <f t="shared" si="4"/>
        <v>2615250</v>
      </c>
      <c r="G229" s="20" t="s">
        <v>264</v>
      </c>
    </row>
    <row r="230" spans="1:7">
      <c r="A230" s="20" t="s">
        <v>47</v>
      </c>
      <c r="B230" s="106" t="s">
        <v>247</v>
      </c>
      <c r="C230" s="20">
        <v>11423</v>
      </c>
      <c r="D230" s="62">
        <v>1</v>
      </c>
      <c r="E230" s="107">
        <v>319456</v>
      </c>
      <c r="F230" s="107">
        <f t="shared" si="4"/>
        <v>319456</v>
      </c>
      <c r="G230" s="20" t="s">
        <v>268</v>
      </c>
    </row>
    <row r="231" spans="1:7">
      <c r="A231" s="20" t="s">
        <v>47</v>
      </c>
      <c r="B231" s="106" t="s">
        <v>248</v>
      </c>
      <c r="C231" s="20">
        <v>11422</v>
      </c>
      <c r="D231" s="62">
        <v>7</v>
      </c>
      <c r="E231" s="107">
        <v>152600</v>
      </c>
      <c r="F231" s="107">
        <f t="shared" si="4"/>
        <v>1068200</v>
      </c>
      <c r="G231" s="20" t="s">
        <v>268</v>
      </c>
    </row>
    <row r="232" spans="1:7">
      <c r="A232" s="20" t="s">
        <v>56</v>
      </c>
      <c r="B232" s="106" t="s">
        <v>248</v>
      </c>
      <c r="C232" s="20">
        <v>11422</v>
      </c>
      <c r="D232" s="62">
        <v>1</v>
      </c>
      <c r="E232" s="107">
        <v>152600</v>
      </c>
      <c r="F232" s="107">
        <f t="shared" si="4"/>
        <v>152600</v>
      </c>
      <c r="G232" s="20" t="s">
        <v>268</v>
      </c>
    </row>
    <row r="233" spans="1:7" ht="30">
      <c r="A233" s="20" t="s">
        <v>49</v>
      </c>
      <c r="B233" s="112" t="s">
        <v>249</v>
      </c>
      <c r="C233" s="62" t="s">
        <v>250</v>
      </c>
      <c r="D233" s="62">
        <v>4</v>
      </c>
      <c r="E233" s="107">
        <v>220366.67</v>
      </c>
      <c r="F233" s="107">
        <f t="shared" si="4"/>
        <v>881466.68</v>
      </c>
      <c r="G233" s="20" t="s">
        <v>268</v>
      </c>
    </row>
    <row r="234" spans="1:7" ht="30">
      <c r="A234" s="20" t="s">
        <v>49</v>
      </c>
      <c r="B234" s="112" t="s">
        <v>251</v>
      </c>
      <c r="C234" s="62" t="s">
        <v>250</v>
      </c>
      <c r="D234" s="62">
        <v>1</v>
      </c>
      <c r="E234" s="107">
        <v>290098</v>
      </c>
      <c r="F234" s="107">
        <f t="shared" si="4"/>
        <v>290098</v>
      </c>
      <c r="G234" s="20" t="s">
        <v>268</v>
      </c>
    </row>
    <row r="235" spans="1:7">
      <c r="A235" s="20" t="s">
        <v>56</v>
      </c>
      <c r="B235" s="106" t="s">
        <v>252</v>
      </c>
      <c r="C235" s="20">
        <v>11425</v>
      </c>
      <c r="D235" s="62">
        <v>9</v>
      </c>
      <c r="E235" s="107">
        <v>102950</v>
      </c>
      <c r="F235" s="107">
        <f t="shared" si="4"/>
        <v>926550</v>
      </c>
      <c r="G235" s="20" t="s">
        <v>268</v>
      </c>
    </row>
    <row r="236" spans="1:7">
      <c r="A236" s="20" t="s">
        <v>49</v>
      </c>
      <c r="B236" s="106" t="s">
        <v>252</v>
      </c>
      <c r="C236" s="20">
        <v>11425</v>
      </c>
      <c r="D236" s="62">
        <v>20</v>
      </c>
      <c r="E236" s="107">
        <v>102950</v>
      </c>
      <c r="F236" s="107">
        <f t="shared" si="4"/>
        <v>2059000</v>
      </c>
      <c r="G236" s="20" t="s">
        <v>268</v>
      </c>
    </row>
    <row r="237" spans="1:7">
      <c r="A237" s="20" t="s">
        <v>47</v>
      </c>
      <c r="B237" s="106" t="s">
        <v>253</v>
      </c>
      <c r="C237" s="20">
        <v>11425</v>
      </c>
      <c r="D237" s="62">
        <v>65</v>
      </c>
      <c r="E237" s="107">
        <v>102950</v>
      </c>
      <c r="F237" s="107">
        <f t="shared" si="4"/>
        <v>6691750</v>
      </c>
      <c r="G237" s="20" t="s">
        <v>268</v>
      </c>
    </row>
    <row r="238" spans="1:7">
      <c r="A238" s="20" t="s">
        <v>47</v>
      </c>
      <c r="B238" s="106" t="s">
        <v>254</v>
      </c>
      <c r="C238" s="20">
        <v>10907</v>
      </c>
      <c r="D238" s="62">
        <v>22</v>
      </c>
      <c r="E238" s="107">
        <v>22525</v>
      </c>
      <c r="F238" s="107">
        <f t="shared" si="4"/>
        <v>495550</v>
      </c>
      <c r="G238" s="20" t="s">
        <v>268</v>
      </c>
    </row>
    <row r="239" spans="1:7">
      <c r="A239" s="20"/>
      <c r="B239" s="20"/>
      <c r="C239" s="20" t="s">
        <v>17</v>
      </c>
      <c r="D239" s="20"/>
      <c r="E239" s="118"/>
      <c r="F239" s="119">
        <f>SUM(F2:F238)</f>
        <v>115155117.00833334</v>
      </c>
    </row>
    <row r="240" spans="1:7">
      <c r="E240" s="120"/>
      <c r="F240" s="121"/>
    </row>
    <row r="241" spans="5:6">
      <c r="E241" s="122"/>
    </row>
    <row r="252" spans="5:6">
      <c r="F252" s="84"/>
    </row>
    <row r="253" spans="5:6">
      <c r="F253" s="84"/>
    </row>
  </sheetData>
  <autoFilter ref="G1:G261" xr:uid="{E60F2FF0-A2E1-42C8-B3B5-D60C4159653E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0E570-05C6-4130-956F-D2381AE646D4}">
  <dimension ref="A1:AE35"/>
  <sheetViews>
    <sheetView zoomScaleNormal="100" workbookViewId="0">
      <selection activeCell="L30" sqref="L30"/>
    </sheetView>
  </sheetViews>
  <sheetFormatPr defaultRowHeight="15"/>
  <cols>
    <col min="1" max="1" width="59.140625" customWidth="1"/>
    <col min="2" max="31" width="5.7109375" customWidth="1"/>
  </cols>
  <sheetData>
    <row r="1" spans="1:31">
      <c r="A1" s="235" t="s">
        <v>18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</row>
    <row r="2" spans="1:31" ht="15.75" thickBot="1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</row>
    <row r="3" spans="1:31" ht="15.75" thickBot="1">
      <c r="A3" s="44" t="s">
        <v>19</v>
      </c>
      <c r="B3" s="253" t="s">
        <v>20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</row>
    <row r="4" spans="1:31" ht="15.75" thickBot="1">
      <c r="A4" s="91" t="s">
        <v>0</v>
      </c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>
        <v>13</v>
      </c>
      <c r="O4" s="46">
        <v>14</v>
      </c>
      <c r="P4" s="46">
        <v>15</v>
      </c>
      <c r="Q4" s="46">
        <v>16</v>
      </c>
      <c r="R4" s="46">
        <v>17</v>
      </c>
      <c r="S4" s="46">
        <v>18</v>
      </c>
      <c r="T4" s="46">
        <v>19</v>
      </c>
      <c r="U4" s="47">
        <v>20</v>
      </c>
      <c r="V4" s="46">
        <v>21</v>
      </c>
      <c r="W4" s="46">
        <v>22</v>
      </c>
      <c r="X4" s="46">
        <v>23</v>
      </c>
      <c r="Y4" s="46">
        <v>24</v>
      </c>
      <c r="Z4" s="46">
        <v>25</v>
      </c>
      <c r="AA4" s="46">
        <v>26</v>
      </c>
      <c r="AB4" s="46">
        <v>27</v>
      </c>
      <c r="AC4" s="46">
        <v>28</v>
      </c>
      <c r="AD4" s="46">
        <v>29</v>
      </c>
      <c r="AE4" s="46">
        <v>30</v>
      </c>
    </row>
    <row r="5" spans="1:31">
      <c r="A5" s="92" t="s">
        <v>21</v>
      </c>
      <c r="B5" s="96"/>
      <c r="C5" s="49"/>
      <c r="D5" s="49"/>
      <c r="E5" s="129"/>
      <c r="F5" s="130"/>
      <c r="G5" s="131"/>
      <c r="H5" s="131"/>
      <c r="I5" s="131"/>
      <c r="J5" s="131"/>
      <c r="K5" s="132">
        <v>1</v>
      </c>
      <c r="L5" s="130"/>
      <c r="M5" s="131"/>
      <c r="N5" s="131"/>
      <c r="O5" s="131"/>
      <c r="P5" s="131"/>
      <c r="Q5" s="131"/>
      <c r="R5" s="131"/>
      <c r="S5" s="131"/>
      <c r="T5" s="131"/>
      <c r="U5" s="132">
        <v>1</v>
      </c>
      <c r="V5" s="129"/>
      <c r="W5" s="130"/>
      <c r="X5" s="130"/>
      <c r="Y5" s="131"/>
      <c r="Z5" s="131"/>
      <c r="AA5" s="131"/>
      <c r="AB5" s="131"/>
      <c r="AC5" s="131"/>
      <c r="AD5" s="131"/>
      <c r="AE5" s="132">
        <v>1</v>
      </c>
    </row>
    <row r="6" spans="1:31">
      <c r="A6" s="93" t="s">
        <v>39</v>
      </c>
      <c r="B6" s="97"/>
      <c r="C6" s="97"/>
      <c r="D6" s="97"/>
      <c r="E6" s="133"/>
      <c r="F6" s="134"/>
      <c r="G6" s="135"/>
      <c r="H6" s="135"/>
      <c r="I6" s="136">
        <v>0.5</v>
      </c>
      <c r="J6" s="135"/>
      <c r="K6" s="134"/>
      <c r="L6" s="135"/>
      <c r="M6" s="135"/>
      <c r="N6" s="136">
        <v>0.5</v>
      </c>
      <c r="O6" s="135"/>
      <c r="P6" s="134"/>
      <c r="Q6" s="135"/>
      <c r="R6" s="135"/>
      <c r="S6" s="136">
        <v>0.5</v>
      </c>
      <c r="T6" s="135"/>
      <c r="U6" s="134"/>
      <c r="V6" s="133"/>
      <c r="W6" s="134"/>
      <c r="X6" s="135"/>
      <c r="Y6" s="136">
        <v>0.5</v>
      </c>
      <c r="Z6" s="134"/>
      <c r="AA6" s="134"/>
      <c r="AB6" s="135"/>
      <c r="AC6" s="134"/>
      <c r="AD6" s="136">
        <v>0.5</v>
      </c>
      <c r="AE6" s="134"/>
    </row>
    <row r="7" spans="1:31">
      <c r="A7" s="94" t="s">
        <v>40</v>
      </c>
      <c r="B7" s="98"/>
      <c r="C7" s="98"/>
      <c r="D7" s="98"/>
      <c r="E7" s="133"/>
      <c r="F7" s="134"/>
      <c r="G7" s="135"/>
      <c r="H7" s="135"/>
      <c r="I7" s="136">
        <v>0.3</v>
      </c>
      <c r="J7" s="135"/>
      <c r="K7" s="134"/>
      <c r="L7" s="135"/>
      <c r="M7" s="135"/>
      <c r="N7" s="136">
        <v>0.3</v>
      </c>
      <c r="O7" s="135"/>
      <c r="P7" s="134"/>
      <c r="Q7" s="135"/>
      <c r="R7" s="135"/>
      <c r="S7" s="136">
        <v>0.3</v>
      </c>
      <c r="T7" s="135"/>
      <c r="U7" s="134"/>
      <c r="V7" s="133"/>
      <c r="W7" s="134"/>
      <c r="X7" s="135"/>
      <c r="Y7" s="136">
        <v>0.3</v>
      </c>
      <c r="Z7" s="134"/>
      <c r="AA7" s="134"/>
      <c r="AB7" s="135">
        <v>0.5</v>
      </c>
      <c r="AC7" s="134"/>
      <c r="AD7" s="136">
        <v>0.3</v>
      </c>
      <c r="AE7" s="134"/>
    </row>
    <row r="8" spans="1:31">
      <c r="A8" s="94" t="s">
        <v>22</v>
      </c>
      <c r="B8" s="56"/>
      <c r="C8" s="98"/>
      <c r="D8" s="56"/>
      <c r="E8" s="133"/>
      <c r="F8" s="134"/>
      <c r="G8" s="134"/>
      <c r="H8" s="134"/>
      <c r="I8" s="134"/>
      <c r="J8" s="134"/>
      <c r="K8" s="136">
        <v>1</v>
      </c>
      <c r="L8" s="134"/>
      <c r="M8" s="134"/>
      <c r="N8" s="134"/>
      <c r="O8" s="134"/>
      <c r="P8" s="134"/>
      <c r="Q8" s="134"/>
      <c r="R8" s="134"/>
      <c r="S8" s="134"/>
      <c r="T8" s="134"/>
      <c r="U8" s="136">
        <v>1</v>
      </c>
      <c r="V8" s="133"/>
      <c r="W8" s="134"/>
      <c r="X8" s="134"/>
      <c r="Y8" s="134"/>
      <c r="Z8" s="134"/>
      <c r="AA8" s="134"/>
      <c r="AB8" s="134">
        <v>0.3</v>
      </c>
      <c r="AC8" s="134">
        <v>1</v>
      </c>
      <c r="AD8" s="134"/>
      <c r="AE8" s="136"/>
    </row>
    <row r="9" spans="1:31">
      <c r="A9" s="94" t="s">
        <v>23</v>
      </c>
      <c r="B9" s="98"/>
      <c r="C9" s="98"/>
      <c r="D9" s="98"/>
      <c r="E9" s="134"/>
      <c r="F9" s="137">
        <v>0.3</v>
      </c>
      <c r="G9" s="134"/>
      <c r="H9" s="134"/>
      <c r="I9" s="134"/>
      <c r="J9" s="134"/>
      <c r="K9" s="136">
        <v>1</v>
      </c>
      <c r="L9" s="134"/>
      <c r="M9" s="134"/>
      <c r="N9" s="134"/>
      <c r="O9" s="134"/>
      <c r="P9" s="136">
        <v>0.3</v>
      </c>
      <c r="Q9" s="134"/>
      <c r="R9" s="134"/>
      <c r="S9" s="134"/>
      <c r="T9" s="134"/>
      <c r="U9" s="136">
        <v>1</v>
      </c>
      <c r="V9" s="133"/>
      <c r="W9" s="134"/>
      <c r="X9" s="134"/>
      <c r="Y9" s="134"/>
      <c r="Z9" s="136">
        <v>0.3</v>
      </c>
      <c r="AA9" s="134"/>
      <c r="AB9" s="134"/>
      <c r="AC9" s="134"/>
      <c r="AD9" s="136">
        <v>1</v>
      </c>
      <c r="AE9" s="133"/>
    </row>
    <row r="10" spans="1:31">
      <c r="A10" s="94" t="s">
        <v>24</v>
      </c>
      <c r="B10" s="98"/>
      <c r="C10" s="98"/>
      <c r="D10" s="98"/>
      <c r="E10" s="133"/>
      <c r="F10" s="134"/>
      <c r="G10" s="134"/>
      <c r="H10" s="134"/>
      <c r="I10" s="136">
        <v>1</v>
      </c>
      <c r="J10" s="134"/>
      <c r="K10" s="134"/>
      <c r="L10" s="134"/>
      <c r="M10" s="134"/>
      <c r="N10" s="136">
        <v>1</v>
      </c>
      <c r="O10" s="134"/>
      <c r="P10" s="134"/>
      <c r="Q10" s="134"/>
      <c r="R10" s="134"/>
      <c r="S10" s="134"/>
      <c r="T10" s="136"/>
      <c r="U10" s="134"/>
      <c r="V10" s="133"/>
      <c r="W10" s="134"/>
      <c r="X10" s="134"/>
      <c r="Y10" s="136">
        <v>1</v>
      </c>
      <c r="Z10" s="134"/>
      <c r="AA10" s="134"/>
      <c r="AB10" s="134"/>
      <c r="AC10" s="134"/>
      <c r="AD10" s="134"/>
      <c r="AE10" s="136">
        <v>1</v>
      </c>
    </row>
    <row r="11" spans="1:31">
      <c r="A11" s="94" t="s">
        <v>25</v>
      </c>
      <c r="B11" s="98"/>
      <c r="C11" s="98"/>
      <c r="D11" s="98"/>
      <c r="E11" s="133"/>
      <c r="F11" s="134"/>
      <c r="G11" s="134"/>
      <c r="H11" s="134"/>
      <c r="I11" s="134"/>
      <c r="J11" s="134"/>
      <c r="K11" s="136">
        <v>1</v>
      </c>
      <c r="L11" s="134"/>
      <c r="M11" s="134"/>
      <c r="N11" s="134"/>
      <c r="O11" s="134"/>
      <c r="P11" s="134"/>
      <c r="Q11" s="134"/>
      <c r="R11" s="134"/>
      <c r="S11" s="134"/>
      <c r="T11" s="134"/>
      <c r="U11" s="136">
        <v>1</v>
      </c>
      <c r="V11" s="133"/>
      <c r="W11" s="134"/>
      <c r="X11" s="134"/>
      <c r="Y11" s="134"/>
      <c r="Z11" s="134"/>
      <c r="AA11" s="134"/>
      <c r="AB11" s="134"/>
      <c r="AC11" s="134">
        <v>1</v>
      </c>
      <c r="AD11" s="134"/>
      <c r="AE11" s="136">
        <v>1</v>
      </c>
    </row>
    <row r="12" spans="1:31" ht="15.75" thickBot="1">
      <c r="A12" s="95" t="s">
        <v>26</v>
      </c>
      <c r="B12" s="105"/>
      <c r="C12" s="104"/>
      <c r="D12" s="103"/>
      <c r="E12" s="138"/>
      <c r="F12" s="139">
        <v>0.3</v>
      </c>
      <c r="G12" s="140"/>
      <c r="H12" s="140"/>
      <c r="I12" s="140"/>
      <c r="J12" s="140"/>
      <c r="K12" s="139">
        <v>1</v>
      </c>
      <c r="L12" s="140"/>
      <c r="M12" s="140"/>
      <c r="N12" s="140"/>
      <c r="O12" s="140"/>
      <c r="P12" s="139">
        <v>0.3</v>
      </c>
      <c r="Q12" s="140"/>
      <c r="R12" s="140"/>
      <c r="S12" s="140"/>
      <c r="T12" s="140"/>
      <c r="U12" s="139">
        <v>1</v>
      </c>
      <c r="V12" s="138"/>
      <c r="W12" s="140"/>
      <c r="X12" s="140"/>
      <c r="Y12" s="140"/>
      <c r="Z12" s="139">
        <v>0.3</v>
      </c>
      <c r="AA12" s="140"/>
      <c r="AB12" s="140"/>
      <c r="AC12" s="140">
        <v>1</v>
      </c>
      <c r="AD12" s="140"/>
      <c r="AE12" s="136"/>
    </row>
    <row r="13" spans="1:31">
      <c r="B13" s="123">
        <f>SUM(B5:B12)</f>
        <v>0</v>
      </c>
      <c r="C13" s="125">
        <f>SUM(C6:C12)</f>
        <v>0</v>
      </c>
      <c r="D13" s="127">
        <f>SUM(D5:D11)</f>
        <v>0</v>
      </c>
      <c r="E13" s="240" t="s">
        <v>28</v>
      </c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A13" s="240"/>
      <c r="AB13" s="240"/>
      <c r="AC13" s="240"/>
      <c r="AD13" s="240"/>
      <c r="AE13" s="240"/>
    </row>
    <row r="14" spans="1:31">
      <c r="A14" s="85"/>
      <c r="B14" s="124"/>
      <c r="C14" s="126"/>
      <c r="D14" s="128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</row>
    <row r="15" spans="1:31" ht="15.75" thickBot="1">
      <c r="A15" s="84"/>
    </row>
    <row r="16" spans="1:31" ht="15.75" thickBot="1">
      <c r="A16" s="242" t="s">
        <v>29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</row>
    <row r="17" spans="1:31" ht="15.75" thickBot="1">
      <c r="A17" s="45" t="s">
        <v>0</v>
      </c>
      <c r="B17" s="74">
        <v>1</v>
      </c>
      <c r="C17" s="75">
        <v>2</v>
      </c>
      <c r="D17" s="75">
        <v>3</v>
      </c>
      <c r="E17" s="75">
        <v>4</v>
      </c>
      <c r="F17" s="75">
        <v>5</v>
      </c>
      <c r="G17" s="75">
        <v>6</v>
      </c>
      <c r="H17" s="75">
        <v>7</v>
      </c>
      <c r="I17" s="75">
        <v>8</v>
      </c>
      <c r="J17" s="75">
        <v>9</v>
      </c>
      <c r="K17" s="75">
        <v>10</v>
      </c>
      <c r="L17" s="75">
        <v>11</v>
      </c>
      <c r="M17" s="75">
        <v>12</v>
      </c>
      <c r="N17" s="75">
        <v>13</v>
      </c>
      <c r="O17" s="75">
        <v>14</v>
      </c>
      <c r="P17" s="75">
        <v>15</v>
      </c>
      <c r="Q17" s="75">
        <v>16</v>
      </c>
      <c r="R17" s="75">
        <v>17</v>
      </c>
      <c r="S17" s="75">
        <v>18</v>
      </c>
      <c r="T17" s="75">
        <v>19</v>
      </c>
      <c r="U17" s="76">
        <v>20</v>
      </c>
      <c r="V17" s="46">
        <v>21</v>
      </c>
      <c r="W17" s="46">
        <v>22</v>
      </c>
      <c r="X17" s="46">
        <v>23</v>
      </c>
      <c r="Y17" s="46">
        <v>24</v>
      </c>
      <c r="Z17" s="46">
        <v>25</v>
      </c>
      <c r="AA17" s="46">
        <v>26</v>
      </c>
      <c r="AB17" s="46">
        <v>27</v>
      </c>
      <c r="AC17" s="46">
        <v>28</v>
      </c>
      <c r="AD17" s="46">
        <v>29</v>
      </c>
      <c r="AE17" s="46">
        <v>30</v>
      </c>
    </row>
    <row r="18" spans="1:31" ht="15.75" thickBot="1">
      <c r="A18" s="3" t="s">
        <v>42</v>
      </c>
      <c r="B18" s="48"/>
      <c r="C18" s="49"/>
      <c r="D18" s="50"/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141">
        <v>0.05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141">
        <v>0.1</v>
      </c>
      <c r="S18" s="77">
        <v>0</v>
      </c>
      <c r="T18" s="77">
        <v>0</v>
      </c>
      <c r="U18" s="78">
        <v>0</v>
      </c>
      <c r="V18" s="79">
        <v>0</v>
      </c>
      <c r="W18" s="79">
        <v>0</v>
      </c>
      <c r="X18" s="79">
        <v>0</v>
      </c>
      <c r="Y18" s="141">
        <v>0.05</v>
      </c>
      <c r="Z18" s="79">
        <v>0</v>
      </c>
      <c r="AA18" s="79">
        <v>0</v>
      </c>
      <c r="AB18" s="79">
        <v>0</v>
      </c>
      <c r="AC18" s="79">
        <v>0</v>
      </c>
      <c r="AD18" s="79">
        <v>0</v>
      </c>
      <c r="AE18" s="141">
        <v>0.1</v>
      </c>
    </row>
    <row r="19" spans="1:31" ht="15.75" thickBot="1">
      <c r="A19" s="54" t="s">
        <v>31</v>
      </c>
      <c r="B19" s="55"/>
      <c r="C19" s="56"/>
      <c r="D19" s="57"/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141">
        <v>0.15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141">
        <f>K19</f>
        <v>0.15</v>
      </c>
      <c r="S19" s="77">
        <v>0</v>
      </c>
      <c r="T19" s="77">
        <v>0</v>
      </c>
      <c r="U19" s="78">
        <v>0</v>
      </c>
      <c r="V19" s="59">
        <v>0</v>
      </c>
      <c r="W19" s="59">
        <v>0</v>
      </c>
      <c r="X19" s="59">
        <v>0</v>
      </c>
      <c r="Y19" s="141">
        <f>R19</f>
        <v>0.15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141">
        <v>0.15</v>
      </c>
    </row>
    <row r="20" spans="1:31" ht="15.75" thickBot="1">
      <c r="A20" s="54" t="s">
        <v>32</v>
      </c>
      <c r="B20" s="55"/>
      <c r="C20" s="60"/>
      <c r="D20" s="57"/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141">
        <v>0.05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141">
        <f>K20*2</f>
        <v>0.1</v>
      </c>
      <c r="S20" s="77">
        <v>0</v>
      </c>
      <c r="T20" s="77">
        <v>0</v>
      </c>
      <c r="U20" s="78">
        <v>0</v>
      </c>
      <c r="V20" s="59">
        <v>0</v>
      </c>
      <c r="W20" s="59">
        <v>0</v>
      </c>
      <c r="X20" s="59">
        <v>0</v>
      </c>
      <c r="Y20" s="141">
        <f>K20</f>
        <v>0.05</v>
      </c>
      <c r="Z20" s="59">
        <v>0</v>
      </c>
      <c r="AA20" s="59">
        <v>0</v>
      </c>
      <c r="AB20" s="59">
        <v>0</v>
      </c>
      <c r="AC20" s="59">
        <v>0</v>
      </c>
      <c r="AD20" s="59">
        <v>0</v>
      </c>
      <c r="AE20" s="141">
        <v>0.1</v>
      </c>
    </row>
    <row r="21" spans="1:31" ht="15.75" thickBot="1">
      <c r="A21" s="54" t="s">
        <v>33</v>
      </c>
      <c r="B21" s="61"/>
      <c r="C21" s="56"/>
      <c r="D21" s="57"/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141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141">
        <v>0.1</v>
      </c>
      <c r="S21" s="77">
        <v>0</v>
      </c>
      <c r="T21" s="77">
        <v>0</v>
      </c>
      <c r="U21" s="78">
        <v>0</v>
      </c>
      <c r="V21" s="59">
        <v>0</v>
      </c>
      <c r="W21" s="59">
        <v>0</v>
      </c>
      <c r="X21" s="59">
        <v>0</v>
      </c>
      <c r="Y21" s="141">
        <f>K21</f>
        <v>0</v>
      </c>
      <c r="Z21" s="59">
        <v>0</v>
      </c>
      <c r="AA21" s="59">
        <v>0</v>
      </c>
      <c r="AB21" s="59">
        <v>0</v>
      </c>
      <c r="AC21" s="59">
        <v>0</v>
      </c>
      <c r="AD21" s="59">
        <v>0</v>
      </c>
      <c r="AE21" s="141">
        <v>0.1</v>
      </c>
    </row>
    <row r="22" spans="1:31" ht="15.75" thickBot="1">
      <c r="A22" s="54" t="s">
        <v>34</v>
      </c>
      <c r="B22" s="55"/>
      <c r="C22" s="60"/>
      <c r="D22" s="57"/>
      <c r="E22" s="80">
        <v>0</v>
      </c>
      <c r="F22" s="80">
        <v>0</v>
      </c>
      <c r="G22" s="80">
        <v>0</v>
      </c>
      <c r="H22" s="80">
        <v>0</v>
      </c>
      <c r="I22" s="80">
        <v>0</v>
      </c>
      <c r="J22" s="80">
        <v>0</v>
      </c>
      <c r="K22" s="141">
        <v>0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141">
        <v>0.1</v>
      </c>
      <c r="S22" s="80">
        <v>0</v>
      </c>
      <c r="T22" s="80">
        <v>0</v>
      </c>
      <c r="U22" s="81">
        <v>0</v>
      </c>
      <c r="V22" s="82">
        <v>0</v>
      </c>
      <c r="W22" s="82">
        <v>0</v>
      </c>
      <c r="X22" s="82">
        <v>0</v>
      </c>
      <c r="Y22" s="141">
        <f>K22</f>
        <v>0</v>
      </c>
      <c r="Z22" s="82">
        <v>0</v>
      </c>
      <c r="AA22" s="82">
        <v>0</v>
      </c>
      <c r="AB22" s="82">
        <v>0</v>
      </c>
      <c r="AC22" s="82">
        <v>0</v>
      </c>
      <c r="AD22" s="82">
        <v>0</v>
      </c>
      <c r="AE22" s="141">
        <v>0.1</v>
      </c>
    </row>
    <row r="23" spans="1:31">
      <c r="B23" s="66" t="s">
        <v>27</v>
      </c>
      <c r="C23" s="67"/>
      <c r="D23" s="68"/>
      <c r="E23" s="244" t="s">
        <v>28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</row>
    <row r="24" spans="1:31" ht="15.75" thickBot="1">
      <c r="A24" s="69"/>
      <c r="B24" s="70" t="s">
        <v>41</v>
      </c>
      <c r="C24" s="71"/>
      <c r="D24" s="72"/>
      <c r="E24" s="245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46"/>
      <c r="AB24" s="246"/>
      <c r="AC24" s="246"/>
      <c r="AD24" s="246"/>
      <c r="AE24" s="246"/>
    </row>
    <row r="26" spans="1:31">
      <c r="A26" t="s">
        <v>35</v>
      </c>
    </row>
    <row r="27" spans="1:31">
      <c r="A27" t="s">
        <v>36</v>
      </c>
    </row>
    <row r="28" spans="1:31">
      <c r="A28" s="83" t="s">
        <v>37</v>
      </c>
    </row>
    <row r="32" spans="1:31">
      <c r="A32" s="84"/>
    </row>
    <row r="34" spans="4:4">
      <c r="D34" s="84"/>
    </row>
    <row r="35" spans="4:4">
      <c r="D35" s="84"/>
    </row>
  </sheetData>
  <mergeCells count="5">
    <mergeCell ref="E23:AE24"/>
    <mergeCell ref="E13:AE14"/>
    <mergeCell ref="A1:AE2"/>
    <mergeCell ref="B3:AE3"/>
    <mergeCell ref="A16:AE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7E139-FA78-4A23-A3D8-D13365A6EE3F}">
  <dimension ref="A1"/>
  <sheetViews>
    <sheetView topLeftCell="O1" workbookViewId="0">
      <selection activeCell="L17" sqref="L17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3F62B-591E-49DA-AD70-24307DBEC5CB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0f7d34-2a18-43ca-8208-3839fed7b85a">
      <Terms xmlns="http://schemas.microsoft.com/office/infopath/2007/PartnerControls"/>
    </lcf76f155ced4ddcb4097134ff3c332f>
    <TaxCatchAll xmlns="06b09655-6bbe-41ae-b53e-f8d8e0bf49a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E13A70169ABF4A80C3C13558FB5C33" ma:contentTypeVersion="13" ma:contentTypeDescription="Crie um novo documento." ma:contentTypeScope="" ma:versionID="22b84e42de2cb19af8bba168255d715e">
  <xsd:schema xmlns:xsd="http://www.w3.org/2001/XMLSchema" xmlns:xs="http://www.w3.org/2001/XMLSchema" xmlns:p="http://schemas.microsoft.com/office/2006/metadata/properties" xmlns:ns2="560f7d34-2a18-43ca-8208-3839fed7b85a" xmlns:ns3="06b09655-6bbe-41ae-b53e-f8d8e0bf49a3" targetNamespace="http://schemas.microsoft.com/office/2006/metadata/properties" ma:root="true" ma:fieldsID="e8faf9233d87de483ef7f85506176b69" ns2:_="" ns3:_="">
    <xsd:import namespace="560f7d34-2a18-43ca-8208-3839fed7b85a"/>
    <xsd:import namespace="06b09655-6bbe-41ae-b53e-f8d8e0bf49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0f7d34-2a18-43ca-8208-3839fed7b8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4a3eb1a-ecbe-4ed9-819a-de8481f10e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b09655-6bbe-41ae-b53e-f8d8e0bf49a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8197b88-1dd8-4b8c-bbb0-88aa7e79ec3c}" ma:internalName="TaxCatchAll" ma:showField="CatchAllData" ma:web="06b09655-6bbe-41ae-b53e-f8d8e0bf49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D4070A-E2E2-4CCF-BB19-12AC2304B524}">
  <ds:schemaRefs>
    <ds:schemaRef ds:uri="http://schemas.microsoft.com/office/2006/metadata/properties"/>
    <ds:schemaRef ds:uri="http://schemas.microsoft.com/office/infopath/2007/PartnerControls"/>
    <ds:schemaRef ds:uri="560f7d34-2a18-43ca-8208-3839fed7b85a"/>
    <ds:schemaRef ds:uri="06b09655-6bbe-41ae-b53e-f8d8e0bf49a3"/>
  </ds:schemaRefs>
</ds:datastoreItem>
</file>

<file path=customXml/itemProps2.xml><?xml version="1.0" encoding="utf-8"?>
<ds:datastoreItem xmlns:ds="http://schemas.openxmlformats.org/officeDocument/2006/customXml" ds:itemID="{2FE77EAF-E526-4E79-BAD0-42CEFFA22E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FC86D1-CD9A-45F4-A4D6-FC46591743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OBRAS</vt:lpstr>
      <vt:lpstr>reinvestimentos</vt:lpstr>
      <vt:lpstr>CAPEX EQUI REVISADO</vt:lpstr>
      <vt:lpstr>Word</vt:lpstr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Clarissa de Oliveira Silva</cp:lastModifiedBy>
  <cp:lastPrinted>2021-12-17T16:05:48Z</cp:lastPrinted>
  <dcterms:created xsi:type="dcterms:W3CDTF">2021-07-20T13:27:50Z</dcterms:created>
  <dcterms:modified xsi:type="dcterms:W3CDTF">2023-06-14T13:43:52Z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0x01010002E13A70169ABF4A80C3C13558FB5C33</vt:lpwstr>
  </property>
  <property fmtid="{D5CDD505-2E9C-101B-9397-08002B2CF9AE}" pid="3" name="MediaServiceImageTags">
    <vt:lpwstr/>
  </property>
</Properties>
</file>