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53222"/>
  <mc:AlternateContent xmlns:mc="http://schemas.openxmlformats.org/markup-compatibility/2006">
    <mc:Choice Requires="x15">
      <x15ac:absPath xmlns:x15ac="http://schemas.microsoft.com/office/spreadsheetml/2010/11/ac" url="C:\Users\b039130\Downloads\"/>
    </mc:Choice>
  </mc:AlternateContent>
  <bookViews>
    <workbookView xWindow="0" yWindow="0" windowWidth="10590" windowHeight="3045" tabRatio="898"/>
  </bookViews>
  <sheets>
    <sheet name="Índice" sheetId="1" r:id="rId1"/>
    <sheet name="Balanço Patrimonial" sheetId="9" r:id="rId2"/>
    <sheet name="DRE Trimestral" sheetId="2" r:id="rId3"/>
    <sheet name="DRE Gerencial (Trimestral)" sheetId="10" state="hidden" r:id="rId4"/>
    <sheet name="DRE Gerencial (Anual)" sheetId="17" state="hidden" r:id="rId5"/>
    <sheet name="DRE Anual" sheetId="16" r:id="rId6"/>
    <sheet name="Captação" sheetId="12" r:id="rId7"/>
    <sheet name="Gerenciamento_Capital" sheetId="14" r:id="rId8"/>
    <sheet name="Dividendos e JCP" sheetId="15" r:id="rId9"/>
    <sheet name="Notas Explicativas" sheetId="26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Regression_Int" hidden="1">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0" i="2" l="1"/>
  <c r="Q47" i="26" l="1"/>
  <c r="Q46" i="26"/>
  <c r="Q45" i="26"/>
  <c r="Q12" i="26"/>
  <c r="Q26" i="26" s="1"/>
  <c r="Q45" i="12"/>
  <c r="Q46" i="12" l="1"/>
  <c r="E11" i="16"/>
  <c r="Q11" i="2"/>
  <c r="P36" i="14" l="1"/>
  <c r="P35" i="14"/>
  <c r="P34" i="14"/>
  <c r="E56" i="16"/>
  <c r="Q56" i="2"/>
  <c r="Q49" i="2"/>
  <c r="Q50" i="2"/>
  <c r="E50" i="16" s="1"/>
  <c r="E49" i="16"/>
  <c r="Q48" i="2"/>
  <c r="E48" i="16" s="1"/>
  <c r="Q43" i="2"/>
  <c r="E43" i="16" s="1"/>
  <c r="Q42" i="2"/>
  <c r="Q37" i="2"/>
  <c r="E37" i="16" s="1"/>
  <c r="Q36" i="2"/>
  <c r="E36" i="16" s="1"/>
  <c r="Q35" i="2"/>
  <c r="E35" i="16" s="1"/>
  <c r="Q34" i="2"/>
  <c r="E34" i="16" s="1"/>
  <c r="Q33" i="2"/>
  <c r="E33" i="16" s="1"/>
  <c r="Q32" i="2"/>
  <c r="Q31" i="2"/>
  <c r="Q30" i="2"/>
  <c r="E24" i="16"/>
  <c r="Q24" i="2"/>
  <c r="Q21" i="2"/>
  <c r="Q20" i="2"/>
  <c r="E20" i="16" s="1"/>
  <c r="Q19" i="2"/>
  <c r="E19" i="16"/>
  <c r="Q16" i="2"/>
  <c r="E16" i="16" s="1"/>
  <c r="E15" i="16"/>
  <c r="Q15" i="2"/>
  <c r="Q14" i="2"/>
  <c r="Q13" i="2"/>
  <c r="E13" i="16"/>
  <c r="E54" i="16"/>
  <c r="E53" i="16"/>
  <c r="E42" i="16"/>
  <c r="E31" i="16"/>
  <c r="E32" i="16"/>
  <c r="E30" i="16"/>
  <c r="E21" i="16"/>
  <c r="E12" i="16"/>
  <c r="E14" i="16"/>
  <c r="Q12" i="2"/>
  <c r="N108" i="9" l="1"/>
  <c r="O108" i="9"/>
  <c r="P45" i="26" l="1"/>
  <c r="N47" i="26" l="1"/>
  <c r="O47" i="26"/>
  <c r="P46" i="26"/>
  <c r="P11" i="14" l="1"/>
  <c r="P12" i="26" l="1"/>
  <c r="P26" i="26" s="1"/>
  <c r="P47" i="26" s="1"/>
  <c r="P45" i="12" l="1"/>
  <c r="P46" i="12" s="1"/>
  <c r="P41" i="2" l="1"/>
  <c r="N26" i="9"/>
  <c r="O26" i="9"/>
  <c r="P26" i="9"/>
  <c r="J50" i="9" l="1"/>
  <c r="I50" i="9"/>
  <c r="J49" i="9"/>
  <c r="I49" i="9"/>
  <c r="O45" i="12" l="1"/>
  <c r="O46" i="26" l="1"/>
  <c r="O26" i="26" l="1"/>
  <c r="O12" i="26"/>
  <c r="O11" i="14"/>
  <c r="O34" i="14"/>
  <c r="O46" i="12" l="1"/>
  <c r="N46" i="12"/>
  <c r="K12" i="26" l="1"/>
  <c r="L12" i="26"/>
  <c r="N12" i="26"/>
  <c r="N12" i="15" l="1"/>
  <c r="N45" i="12" l="1"/>
  <c r="N45" i="26" l="1"/>
  <c r="N46" i="26"/>
  <c r="N26" i="26"/>
  <c r="O70" i="9" l="1"/>
  <c r="P70" i="9"/>
  <c r="Q70" i="9"/>
  <c r="R70" i="9"/>
  <c r="S70" i="9"/>
  <c r="T70" i="9"/>
  <c r="U70" i="9"/>
  <c r="V70" i="9"/>
  <c r="W70" i="9"/>
  <c r="X70" i="9"/>
  <c r="Y70" i="9"/>
  <c r="N74" i="9"/>
  <c r="N78" i="9"/>
  <c r="L45" i="12" l="1"/>
  <c r="M45" i="12"/>
  <c r="M46" i="12" l="1"/>
  <c r="M46" i="26" l="1"/>
  <c r="M47" i="26" s="1"/>
  <c r="M12" i="26"/>
  <c r="M26" i="26" s="1"/>
  <c r="D56" i="16"/>
  <c r="M56" i="2" l="1"/>
  <c r="M50" i="2"/>
  <c r="M49" i="2"/>
  <c r="M48" i="2"/>
  <c r="M43" i="2"/>
  <c r="M42" i="2"/>
  <c r="M37" i="2"/>
  <c r="M36" i="2"/>
  <c r="M35" i="2"/>
  <c r="M34" i="2"/>
  <c r="M33" i="2"/>
  <c r="M32" i="2"/>
  <c r="M31" i="2"/>
  <c r="M30" i="2"/>
  <c r="M24" i="2"/>
  <c r="M21" i="2"/>
  <c r="M20" i="2"/>
  <c r="M19" i="2"/>
  <c r="M16" i="2"/>
  <c r="M15" i="2"/>
  <c r="M14" i="2"/>
  <c r="M13" i="2"/>
  <c r="M12" i="2"/>
  <c r="M11" i="2"/>
  <c r="M18" i="2" l="1"/>
  <c r="N70" i="9" l="1"/>
  <c r="L46" i="26"/>
  <c r="L26" i="26"/>
  <c r="L47" i="26" l="1"/>
  <c r="L46" i="12"/>
  <c r="L38" i="9" l="1"/>
  <c r="Y31" i="14" l="1"/>
  <c r="X31" i="14"/>
  <c r="W31" i="14"/>
  <c r="V31" i="14"/>
  <c r="U31" i="14"/>
  <c r="T31" i="14"/>
  <c r="S31" i="14"/>
  <c r="R31" i="14"/>
  <c r="Q31" i="14"/>
  <c r="P31" i="14"/>
  <c r="O31" i="14"/>
  <c r="N31" i="14"/>
  <c r="M31" i="14"/>
  <c r="Y86" i="9" l="1"/>
  <c r="X86" i="9"/>
  <c r="W86" i="9"/>
  <c r="V86" i="9"/>
  <c r="U86" i="9"/>
  <c r="T86" i="9"/>
  <c r="S86" i="9"/>
  <c r="R86" i="9"/>
  <c r="Q86" i="9"/>
  <c r="P86" i="9"/>
  <c r="O86" i="9"/>
  <c r="N86" i="9"/>
  <c r="M86" i="9"/>
  <c r="L86" i="9"/>
  <c r="K86" i="9"/>
  <c r="J86" i="9"/>
  <c r="I86" i="9"/>
  <c r="H86" i="9"/>
  <c r="G86" i="9"/>
  <c r="F86" i="9"/>
  <c r="E86" i="9"/>
  <c r="D86" i="9"/>
  <c r="C86" i="9"/>
  <c r="B86" i="9"/>
  <c r="C34" i="9" l="1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B34" i="9"/>
  <c r="C38" i="9"/>
  <c r="D38" i="9"/>
  <c r="E38" i="9"/>
  <c r="F38" i="9"/>
  <c r="G38" i="9"/>
  <c r="H38" i="9"/>
  <c r="I38" i="9"/>
  <c r="J38" i="9"/>
  <c r="K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B38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B28" i="9"/>
  <c r="C26" i="9"/>
  <c r="D26" i="9"/>
  <c r="E26" i="9"/>
  <c r="F26" i="9"/>
  <c r="G26" i="9"/>
  <c r="H26" i="9"/>
  <c r="I26" i="9"/>
  <c r="J26" i="9"/>
  <c r="K26" i="9"/>
  <c r="L26" i="9"/>
  <c r="M26" i="9"/>
  <c r="Q26" i="9"/>
  <c r="R26" i="9"/>
  <c r="S26" i="9"/>
  <c r="T26" i="9"/>
  <c r="U26" i="9"/>
  <c r="V26" i="9"/>
  <c r="W26" i="9"/>
  <c r="X26" i="9"/>
  <c r="Y26" i="9"/>
  <c r="B26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B22" i="9"/>
  <c r="C16" i="9"/>
  <c r="C14" i="9" s="1"/>
  <c r="D16" i="9"/>
  <c r="D14" i="9" s="1"/>
  <c r="E16" i="9"/>
  <c r="E14" i="9" s="1"/>
  <c r="F16" i="9"/>
  <c r="F14" i="9" s="1"/>
  <c r="G16" i="9"/>
  <c r="G14" i="9" s="1"/>
  <c r="H16" i="9"/>
  <c r="H14" i="9" s="1"/>
  <c r="I16" i="9"/>
  <c r="I14" i="9" s="1"/>
  <c r="J16" i="9"/>
  <c r="J14" i="9" s="1"/>
  <c r="K16" i="9"/>
  <c r="K14" i="9" s="1"/>
  <c r="L16" i="9"/>
  <c r="L14" i="9" s="1"/>
  <c r="M16" i="9"/>
  <c r="M14" i="9" s="1"/>
  <c r="N16" i="9"/>
  <c r="N14" i="9" s="1"/>
  <c r="O16" i="9"/>
  <c r="P16" i="9"/>
  <c r="Q16" i="9"/>
  <c r="R16" i="9"/>
  <c r="R14" i="9" s="1"/>
  <c r="S16" i="9"/>
  <c r="S14" i="9" s="1"/>
  <c r="T16" i="9"/>
  <c r="T14" i="9" s="1"/>
  <c r="U16" i="9"/>
  <c r="U14" i="9" s="1"/>
  <c r="V16" i="9"/>
  <c r="V14" i="9" s="1"/>
  <c r="W16" i="9"/>
  <c r="W14" i="9" s="1"/>
  <c r="X16" i="9"/>
  <c r="X14" i="9" s="1"/>
  <c r="Y16" i="9"/>
  <c r="Y14" i="9" s="1"/>
  <c r="B16" i="9"/>
  <c r="B14" i="9" s="1"/>
  <c r="K46" i="12"/>
  <c r="F28" i="16"/>
  <c r="G28" i="16"/>
  <c r="O14" i="9" l="1"/>
  <c r="Q14" i="9"/>
  <c r="P14" i="9"/>
  <c r="K26" i="26"/>
  <c r="K47" i="26" s="1"/>
  <c r="K46" i="26"/>
  <c r="K45" i="12"/>
  <c r="I25" i="26" l="1"/>
  <c r="I52" i="9" l="1"/>
  <c r="J52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Y48" i="9"/>
  <c r="J12" i="26" l="1"/>
  <c r="J46" i="12" l="1"/>
  <c r="J46" i="26" l="1"/>
  <c r="J26" i="26"/>
  <c r="J47" i="26" s="1"/>
  <c r="J45" i="12"/>
  <c r="I45" i="12"/>
  <c r="H45" i="12"/>
  <c r="J56" i="9" l="1"/>
  <c r="J55" i="9"/>
  <c r="J48" i="9"/>
  <c r="J97" i="9" l="1"/>
  <c r="J41" i="2"/>
  <c r="I46" i="26" l="1"/>
  <c r="I12" i="26"/>
  <c r="I26" i="26" s="1"/>
  <c r="I46" i="12"/>
  <c r="I47" i="26" l="1"/>
  <c r="C46" i="12"/>
  <c r="D46" i="12"/>
  <c r="E46" i="12"/>
  <c r="F46" i="12"/>
  <c r="G46" i="12"/>
  <c r="B46" i="12"/>
  <c r="C56" i="16" l="1"/>
  <c r="C54" i="16"/>
  <c r="C53" i="16"/>
  <c r="C50" i="16"/>
  <c r="C49" i="16"/>
  <c r="C48" i="16"/>
  <c r="C43" i="16"/>
  <c r="C42" i="16"/>
  <c r="C36" i="16"/>
  <c r="C35" i="16"/>
  <c r="C34" i="16"/>
  <c r="C33" i="16"/>
  <c r="C32" i="16"/>
  <c r="C31" i="16"/>
  <c r="C30" i="16"/>
  <c r="C24" i="16"/>
  <c r="C21" i="16"/>
  <c r="C20" i="16"/>
  <c r="C19" i="16"/>
  <c r="C16" i="16"/>
  <c r="C15" i="16"/>
  <c r="C14" i="16"/>
  <c r="C13" i="16"/>
  <c r="C12" i="16"/>
  <c r="C11" i="16"/>
  <c r="I56" i="9" l="1"/>
  <c r="I55" i="9"/>
  <c r="I48" i="9"/>
  <c r="H32" i="14" l="1"/>
  <c r="G32" i="14"/>
  <c r="H29" i="14"/>
  <c r="G29" i="14"/>
  <c r="H27" i="14"/>
  <c r="G27" i="14"/>
  <c r="H46" i="26"/>
  <c r="H12" i="26"/>
  <c r="H26" i="26" s="1"/>
  <c r="H47" i="26" s="1"/>
  <c r="H56" i="9" l="1"/>
  <c r="H55" i="9"/>
  <c r="H52" i="9"/>
  <c r="H48" i="9" l="1"/>
  <c r="H46" i="12"/>
  <c r="H33" i="14" l="1"/>
  <c r="E33" i="14"/>
  <c r="G46" i="26" l="1"/>
  <c r="G12" i="26"/>
  <c r="G26" i="26" s="1"/>
  <c r="G47" i="26" s="1"/>
  <c r="G45" i="12" l="1"/>
  <c r="F45" i="12"/>
  <c r="G56" i="9" l="1"/>
  <c r="G55" i="9"/>
  <c r="G52" i="9"/>
  <c r="G48" i="9" l="1"/>
  <c r="F12" i="26"/>
  <c r="F26" i="26" s="1"/>
  <c r="F47" i="26" s="1"/>
  <c r="F46" i="26"/>
  <c r="Y89" i="9" l="1"/>
  <c r="X89" i="9"/>
  <c r="W89" i="9"/>
  <c r="V89" i="9"/>
  <c r="U89" i="9"/>
  <c r="T89" i="9"/>
  <c r="S89" i="9"/>
  <c r="R89" i="9"/>
  <c r="Q89" i="9"/>
  <c r="P89" i="9"/>
  <c r="O89" i="9"/>
  <c r="N89" i="9"/>
  <c r="M89" i="9"/>
  <c r="L89" i="9"/>
  <c r="K89" i="9"/>
  <c r="J89" i="9"/>
  <c r="I89" i="9"/>
  <c r="H89" i="9"/>
  <c r="Y78" i="9"/>
  <c r="X78" i="9"/>
  <c r="W78" i="9"/>
  <c r="V78" i="9"/>
  <c r="U78" i="9"/>
  <c r="T78" i="9"/>
  <c r="S78" i="9"/>
  <c r="R78" i="9"/>
  <c r="Q78" i="9"/>
  <c r="P78" i="9"/>
  <c r="O78" i="9"/>
  <c r="M78" i="9"/>
  <c r="L78" i="9"/>
  <c r="K78" i="9"/>
  <c r="J78" i="9"/>
  <c r="I78" i="9"/>
  <c r="H78" i="9"/>
  <c r="G78" i="9"/>
  <c r="F78" i="9"/>
  <c r="Y74" i="9"/>
  <c r="X74" i="9"/>
  <c r="W74" i="9"/>
  <c r="V74" i="9"/>
  <c r="U74" i="9"/>
  <c r="T74" i="9"/>
  <c r="S74" i="9"/>
  <c r="R74" i="9"/>
  <c r="Q74" i="9"/>
  <c r="P74" i="9"/>
  <c r="O74" i="9"/>
  <c r="M74" i="9"/>
  <c r="L74" i="9"/>
  <c r="K74" i="9"/>
  <c r="J74" i="9"/>
  <c r="I74" i="9"/>
  <c r="H74" i="9"/>
  <c r="G74" i="9"/>
  <c r="Y64" i="9"/>
  <c r="Y63" i="9" s="1"/>
  <c r="X64" i="9"/>
  <c r="W64" i="9"/>
  <c r="V64" i="9"/>
  <c r="U64" i="9"/>
  <c r="T64" i="9"/>
  <c r="S64" i="9"/>
  <c r="S63" i="9" s="1"/>
  <c r="R64" i="9"/>
  <c r="R63" i="9" s="1"/>
  <c r="Q64" i="9"/>
  <c r="P64" i="9"/>
  <c r="O64" i="9"/>
  <c r="N64" i="9"/>
  <c r="N63" i="9" s="1"/>
  <c r="M64" i="9"/>
  <c r="L64" i="9"/>
  <c r="K64" i="9"/>
  <c r="J64" i="9"/>
  <c r="I64" i="9"/>
  <c r="H64" i="9"/>
  <c r="G64" i="9"/>
  <c r="F56" i="9"/>
  <c r="F55" i="9"/>
  <c r="F52" i="9"/>
  <c r="Q63" i="9" l="1"/>
  <c r="T63" i="9"/>
  <c r="U63" i="9"/>
  <c r="V63" i="9"/>
  <c r="O63" i="9"/>
  <c r="W63" i="9"/>
  <c r="P63" i="9"/>
  <c r="X63" i="9"/>
  <c r="F48" i="9"/>
  <c r="F74" i="9"/>
  <c r="F64" i="9"/>
  <c r="E45" i="12" l="1"/>
  <c r="E46" i="26"/>
  <c r="E12" i="26"/>
  <c r="E26" i="26" l="1"/>
  <c r="E47" i="26" s="1"/>
  <c r="B56" i="16"/>
  <c r="B54" i="16"/>
  <c r="B53" i="16"/>
  <c r="B50" i="16"/>
  <c r="B49" i="16"/>
  <c r="B48" i="16"/>
  <c r="B43" i="16"/>
  <c r="B42" i="16"/>
  <c r="B36" i="16"/>
  <c r="B35" i="16"/>
  <c r="B34" i="16"/>
  <c r="B33" i="16"/>
  <c r="B32" i="16"/>
  <c r="B31" i="16"/>
  <c r="B30" i="16"/>
  <c r="B24" i="16"/>
  <c r="B21" i="16"/>
  <c r="B20" i="16"/>
  <c r="B19" i="16"/>
  <c r="B16" i="16"/>
  <c r="B15" i="16"/>
  <c r="B14" i="16"/>
  <c r="B13" i="16"/>
  <c r="B12" i="16"/>
  <c r="B11" i="16"/>
  <c r="E78" i="9" l="1"/>
  <c r="E56" i="9"/>
  <c r="E55" i="9"/>
  <c r="E52" i="9"/>
  <c r="E48" i="9" l="1"/>
  <c r="E64" i="9"/>
  <c r="E74" i="9"/>
  <c r="D17" i="12" l="1"/>
  <c r="D12" i="26" l="1"/>
  <c r="D46" i="26" l="1"/>
  <c r="D26" i="26"/>
  <c r="D47" i="26" s="1"/>
  <c r="D14" i="14"/>
  <c r="D45" i="12"/>
  <c r="D56" i="9"/>
  <c r="D55" i="9"/>
  <c r="D52" i="9"/>
  <c r="D48" i="9" l="1"/>
  <c r="D64" i="9"/>
  <c r="D74" i="9"/>
  <c r="D78" i="9"/>
  <c r="C17" i="12" l="1"/>
  <c r="C46" i="26" l="1"/>
  <c r="C12" i="26"/>
  <c r="C26" i="26" s="1"/>
  <c r="C47" i="26" s="1"/>
  <c r="C33" i="14" l="1"/>
  <c r="C17" i="14" l="1"/>
  <c r="C20" i="14"/>
  <c r="C36" i="14" s="1"/>
  <c r="C14" i="14"/>
  <c r="C12" i="14"/>
  <c r="C45" i="12"/>
  <c r="C26" i="14" l="1"/>
  <c r="C27" i="14" s="1"/>
  <c r="C24" i="14"/>
  <c r="C28" i="14"/>
  <c r="C29" i="14" s="1"/>
  <c r="C35" i="14"/>
  <c r="C11" i="14"/>
  <c r="C78" i="9"/>
  <c r="C56" i="9"/>
  <c r="C55" i="9"/>
  <c r="C52" i="9"/>
  <c r="C48" i="9" l="1"/>
  <c r="C64" i="9"/>
  <c r="C74" i="9"/>
  <c r="C31" i="14"/>
  <c r="C32" i="14" s="1"/>
  <c r="C25" i="14"/>
  <c r="C34" i="14"/>
  <c r="B17" i="14"/>
  <c r="C18" i="16" l="1"/>
  <c r="D18" i="16"/>
  <c r="E18" i="16"/>
  <c r="F18" i="16"/>
  <c r="G18" i="16"/>
  <c r="C18" i="2"/>
  <c r="D18" i="2"/>
  <c r="E18" i="2"/>
  <c r="F18" i="2"/>
  <c r="G18" i="2"/>
  <c r="H18" i="2"/>
  <c r="I18" i="2"/>
  <c r="J18" i="2"/>
  <c r="K18" i="2"/>
  <c r="L18" i="2"/>
  <c r="N18" i="2"/>
  <c r="O18" i="2"/>
  <c r="P18" i="2"/>
  <c r="Q18" i="2"/>
  <c r="R18" i="2"/>
  <c r="S18" i="2"/>
  <c r="T18" i="2"/>
  <c r="U18" i="2"/>
  <c r="V18" i="2"/>
  <c r="W18" i="2"/>
  <c r="X18" i="2"/>
  <c r="Y18" i="2"/>
  <c r="F89" i="9"/>
  <c r="C70" i="9"/>
  <c r="C63" i="9" s="1"/>
  <c r="D70" i="9"/>
  <c r="D63" i="9" s="1"/>
  <c r="E70" i="9"/>
  <c r="E63" i="9" s="1"/>
  <c r="F70" i="9"/>
  <c r="F63" i="9" s="1"/>
  <c r="G70" i="9"/>
  <c r="G63" i="9" s="1"/>
  <c r="H70" i="9"/>
  <c r="H63" i="9" s="1"/>
  <c r="I70" i="9"/>
  <c r="I63" i="9" s="1"/>
  <c r="J70" i="9"/>
  <c r="J63" i="9" s="1"/>
  <c r="K70" i="9"/>
  <c r="K63" i="9" s="1"/>
  <c r="L70" i="9"/>
  <c r="L63" i="9" s="1"/>
  <c r="M70" i="9"/>
  <c r="M63" i="9" s="1"/>
  <c r="Y97" i="9" l="1"/>
  <c r="Q97" i="9"/>
  <c r="H97" i="9"/>
  <c r="X97" i="9"/>
  <c r="P97" i="9"/>
  <c r="R97" i="9"/>
  <c r="V97" i="9"/>
  <c r="U97" i="9"/>
  <c r="T97" i="9"/>
  <c r="N97" i="9"/>
  <c r="M97" i="9"/>
  <c r="L97" i="9"/>
  <c r="S97" i="9"/>
  <c r="W97" i="9"/>
  <c r="O97" i="9"/>
  <c r="R107" i="9"/>
  <c r="K97" i="9"/>
  <c r="I97" i="9"/>
  <c r="E97" i="9"/>
  <c r="G97" i="9"/>
  <c r="F97" i="9"/>
  <c r="C97" i="9"/>
  <c r="D97" i="9"/>
  <c r="G89" i="9"/>
  <c r="D89" i="9"/>
  <c r="C89" i="9"/>
  <c r="E89" i="9"/>
  <c r="B97" i="9"/>
  <c r="B18" i="16"/>
  <c r="B18" i="2"/>
  <c r="U107" i="9" l="1"/>
  <c r="S107" i="9"/>
  <c r="X107" i="9"/>
  <c r="L107" i="9"/>
  <c r="T107" i="9"/>
  <c r="E107" i="9"/>
  <c r="G107" i="9"/>
  <c r="D107" i="9"/>
  <c r="N107" i="9"/>
  <c r="Q107" i="9"/>
  <c r="I107" i="9"/>
  <c r="Y107" i="9"/>
  <c r="J107" i="9"/>
  <c r="K107" i="9"/>
  <c r="H107" i="9"/>
  <c r="C107" i="9"/>
  <c r="W107" i="9"/>
  <c r="M107" i="9"/>
  <c r="F107" i="9"/>
  <c r="P107" i="9"/>
  <c r="P108" i="9" s="1"/>
  <c r="V107" i="9"/>
  <c r="O107" i="9"/>
  <c r="B78" i="9"/>
  <c r="B70" i="9"/>
  <c r="B64" i="9" l="1"/>
  <c r="B74" i="9"/>
  <c r="B89" i="9"/>
  <c r="B56" i="9"/>
  <c r="B55" i="9"/>
  <c r="B52" i="9"/>
  <c r="B63" i="9" l="1"/>
  <c r="B48" i="9"/>
  <c r="B107" i="9" l="1"/>
  <c r="C9" i="9" l="1"/>
  <c r="B45" i="12" l="1"/>
  <c r="B17" i="12" l="1"/>
  <c r="B15" i="12"/>
  <c r="B46" i="26"/>
  <c r="B25" i="26"/>
  <c r="B12" i="26" s="1"/>
  <c r="B26" i="26" s="1"/>
  <c r="B47" i="26" s="1"/>
  <c r="Y20" i="14" l="1"/>
  <c r="X20" i="14"/>
  <c r="W20" i="14"/>
  <c r="V20" i="14"/>
  <c r="U20" i="14"/>
  <c r="T20" i="14"/>
  <c r="S20" i="14"/>
  <c r="R20" i="14"/>
  <c r="Q20" i="14"/>
  <c r="Q36" i="14" s="1"/>
  <c r="P20" i="14"/>
  <c r="O20" i="14"/>
  <c r="N20" i="14"/>
  <c r="M20" i="14"/>
  <c r="L20" i="14"/>
  <c r="K20" i="14"/>
  <c r="J20" i="14"/>
  <c r="I20" i="14"/>
  <c r="I33" i="14" s="1"/>
  <c r="H20" i="14"/>
  <c r="G20" i="14"/>
  <c r="G33" i="14" s="1"/>
  <c r="F20" i="14"/>
  <c r="F33" i="14" s="1"/>
  <c r="E20" i="14"/>
  <c r="D20" i="14"/>
  <c r="D33" i="14" s="1"/>
  <c r="B20" i="14"/>
  <c r="Y17" i="14"/>
  <c r="X17" i="14"/>
  <c r="W17" i="14"/>
  <c r="V17" i="14"/>
  <c r="U17" i="14"/>
  <c r="T17" i="14"/>
  <c r="S17" i="14"/>
  <c r="R17" i="14"/>
  <c r="J17" i="14"/>
  <c r="I17" i="14"/>
  <c r="H17" i="14"/>
  <c r="G17" i="14"/>
  <c r="F17" i="14"/>
  <c r="E17" i="14"/>
  <c r="D17" i="14"/>
  <c r="Y14" i="14"/>
  <c r="X14" i="14"/>
  <c r="W14" i="14"/>
  <c r="W12" i="14" s="1"/>
  <c r="W35" i="14" s="1"/>
  <c r="V14" i="14"/>
  <c r="V12" i="14" s="1"/>
  <c r="V11" i="14" s="1"/>
  <c r="V34" i="14" s="1"/>
  <c r="U14" i="14"/>
  <c r="U12" i="14" s="1"/>
  <c r="U35" i="14" s="1"/>
  <c r="T14" i="14"/>
  <c r="S14" i="14"/>
  <c r="R14" i="14"/>
  <c r="O12" i="14"/>
  <c r="N12" i="14"/>
  <c r="N11" i="14" s="1"/>
  <c r="M12" i="14"/>
  <c r="J14" i="14"/>
  <c r="J12" i="14" s="1"/>
  <c r="I14" i="14"/>
  <c r="I12" i="14" s="1"/>
  <c r="H14" i="14"/>
  <c r="H12" i="14" s="1"/>
  <c r="H11" i="14" s="1"/>
  <c r="G14" i="14"/>
  <c r="G12" i="14" s="1"/>
  <c r="G35" i="14" s="1"/>
  <c r="F14" i="14"/>
  <c r="F12" i="14" s="1"/>
  <c r="F11" i="14" s="1"/>
  <c r="E14" i="14"/>
  <c r="E12" i="14" s="1"/>
  <c r="B14" i="14"/>
  <c r="Y12" i="14"/>
  <c r="Y35" i="14" s="1"/>
  <c r="X12" i="14"/>
  <c r="T12" i="14"/>
  <c r="S12" i="14"/>
  <c r="S35" i="14" s="1"/>
  <c r="R12" i="14"/>
  <c r="R11" i="14" s="1"/>
  <c r="Q12" i="14"/>
  <c r="Q35" i="14" s="1"/>
  <c r="P12" i="14"/>
  <c r="L12" i="14"/>
  <c r="L11" i="14" s="1"/>
  <c r="K12" i="14"/>
  <c r="D12" i="14"/>
  <c r="B12" i="14"/>
  <c r="X11" i="14"/>
  <c r="T11" i="14"/>
  <c r="B11" i="14"/>
  <c r="O35" i="14" l="1"/>
  <c r="N34" i="14"/>
  <c r="M35" i="14"/>
  <c r="K35" i="14"/>
  <c r="J24" i="14"/>
  <c r="J26" i="14"/>
  <c r="J33" i="14"/>
  <c r="J11" i="14"/>
  <c r="J34" i="14" s="1"/>
  <c r="I35" i="14"/>
  <c r="F34" i="14"/>
  <c r="E35" i="14"/>
  <c r="H28" i="14"/>
  <c r="L36" i="14"/>
  <c r="E11" i="14"/>
  <c r="E34" i="14" s="1"/>
  <c r="G11" i="14"/>
  <c r="G34" i="14" s="1"/>
  <c r="I11" i="14"/>
  <c r="K11" i="14"/>
  <c r="K34" i="14" s="1"/>
  <c r="M11" i="14"/>
  <c r="M34" i="14" s="1"/>
  <c r="Q11" i="14"/>
  <c r="Q34" i="14" s="1"/>
  <c r="S11" i="14"/>
  <c r="S34" i="14" s="1"/>
  <c r="U11" i="14"/>
  <c r="W11" i="14"/>
  <c r="W34" i="14" s="1"/>
  <c r="Y11" i="14"/>
  <c r="F35" i="14"/>
  <c r="H35" i="14"/>
  <c r="J35" i="14"/>
  <c r="L35" i="14"/>
  <c r="N35" i="14"/>
  <c r="R35" i="14"/>
  <c r="T35" i="14"/>
  <c r="V35" i="14"/>
  <c r="X35" i="14"/>
  <c r="D35" i="14"/>
  <c r="D11" i="14"/>
  <c r="D34" i="14" s="1"/>
  <c r="E36" i="14"/>
  <c r="G36" i="14"/>
  <c r="I36" i="14"/>
  <c r="K36" i="14"/>
  <c r="M36" i="14"/>
  <c r="O36" i="14"/>
  <c r="S36" i="14"/>
  <c r="U36" i="14"/>
  <c r="W36" i="14"/>
  <c r="Y36" i="14"/>
  <c r="H24" i="14"/>
  <c r="H31" i="14" s="1"/>
  <c r="H26" i="14"/>
  <c r="D36" i="14"/>
  <c r="F36" i="14"/>
  <c r="H36" i="14"/>
  <c r="J36" i="14"/>
  <c r="N36" i="14"/>
  <c r="R36" i="14"/>
  <c r="T36" i="14"/>
  <c r="V36" i="14"/>
  <c r="X36" i="14"/>
  <c r="D24" i="14"/>
  <c r="D31" i="14" s="1"/>
  <c r="L31" i="14"/>
  <c r="D26" i="14"/>
  <c r="D27" i="14" s="1"/>
  <c r="D28" i="14"/>
  <c r="D29" i="14" s="1"/>
  <c r="B35" i="14"/>
  <c r="B33" i="14"/>
  <c r="B36" i="14"/>
  <c r="D25" i="14"/>
  <c r="B34" i="14"/>
  <c r="L34" i="14"/>
  <c r="R34" i="14"/>
  <c r="T34" i="14"/>
  <c r="X34" i="14"/>
  <c r="B24" i="14"/>
  <c r="B31" i="14" s="1"/>
  <c r="B32" i="14" s="1"/>
  <c r="F24" i="14"/>
  <c r="F31" i="14" s="1"/>
  <c r="F32" i="14" s="1"/>
  <c r="J31" i="14"/>
  <c r="J32" i="14" s="1"/>
  <c r="B26" i="14"/>
  <c r="F26" i="14"/>
  <c r="F27" i="14" s="1"/>
  <c r="B27" i="14"/>
  <c r="J27" i="14"/>
  <c r="B28" i="14"/>
  <c r="B29" i="14" s="1"/>
  <c r="F28" i="14"/>
  <c r="F29" i="14" s="1"/>
  <c r="J28" i="14"/>
  <c r="J29" i="14" s="1"/>
  <c r="H34" i="14"/>
  <c r="I34" i="14"/>
  <c r="U34" i="14"/>
  <c r="Y34" i="14"/>
  <c r="E24" i="14"/>
  <c r="E31" i="14" s="1"/>
  <c r="G24" i="14"/>
  <c r="G31" i="14" s="1"/>
  <c r="I24" i="14"/>
  <c r="I31" i="14" s="1"/>
  <c r="I32" i="14" s="1"/>
  <c r="K31" i="14"/>
  <c r="E26" i="14"/>
  <c r="E27" i="14" s="1"/>
  <c r="G26" i="14"/>
  <c r="I26" i="14"/>
  <c r="I27" i="14"/>
  <c r="E28" i="14"/>
  <c r="E29" i="14" s="1"/>
  <c r="G28" i="14"/>
  <c r="I28" i="14"/>
  <c r="I29" i="14" s="1"/>
  <c r="I25" i="14" l="1"/>
  <c r="H25" i="14"/>
  <c r="E25" i="14"/>
  <c r="E32" i="14"/>
  <c r="F25" i="14"/>
  <c r="D32" i="14"/>
  <c r="B25" i="14"/>
  <c r="Y54" i="9" l="1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L58" i="9" s="1"/>
  <c r="K45" i="9"/>
  <c r="J45" i="9"/>
  <c r="I45" i="9"/>
  <c r="H45" i="9"/>
  <c r="G45" i="9"/>
  <c r="F45" i="9"/>
  <c r="E45" i="9"/>
  <c r="D45" i="9"/>
  <c r="C45" i="9"/>
  <c r="B45" i="9"/>
  <c r="B54" i="9"/>
  <c r="W58" i="9" l="1"/>
  <c r="O58" i="9"/>
  <c r="G58" i="9"/>
  <c r="T58" i="9"/>
  <c r="T108" i="9" s="1"/>
  <c r="D58" i="9"/>
  <c r="D108" i="9" s="1"/>
  <c r="X58" i="9"/>
  <c r="Y58" i="9"/>
  <c r="H58" i="9"/>
  <c r="I58" i="9"/>
  <c r="I108" i="9" s="1"/>
  <c r="Q58" i="9"/>
  <c r="Q108" i="9" s="1"/>
  <c r="P58" i="9"/>
  <c r="C58" i="9"/>
  <c r="K58" i="9"/>
  <c r="S58" i="9"/>
  <c r="S108" i="9" s="1"/>
  <c r="B58" i="9"/>
  <c r="E58" i="9"/>
  <c r="F58" i="9"/>
  <c r="F108" i="9" s="1"/>
  <c r="N58" i="9"/>
  <c r="V58" i="9"/>
  <c r="V108" i="9" s="1"/>
  <c r="J58" i="9"/>
  <c r="J108" i="9" s="1"/>
  <c r="U58" i="9"/>
  <c r="U108" i="9" s="1"/>
  <c r="R58" i="9"/>
  <c r="M58" i="9"/>
  <c r="M108" i="9" s="1"/>
  <c r="R108" i="9"/>
  <c r="L108" i="9"/>
  <c r="B108" i="9" l="1"/>
  <c r="X108" i="9"/>
  <c r="K108" i="9"/>
  <c r="Y108" i="9"/>
  <c r="G108" i="9"/>
  <c r="H108" i="9"/>
  <c r="W108" i="9"/>
  <c r="E108" i="9"/>
  <c r="C108" i="9"/>
  <c r="B10" i="2" l="1"/>
  <c r="B22" i="2" s="1"/>
  <c r="B26" i="2" s="1"/>
  <c r="C10" i="2"/>
  <c r="C22" i="2" s="1"/>
  <c r="C26" i="2" s="1"/>
  <c r="D10" i="2"/>
  <c r="D22" i="2" s="1"/>
  <c r="D26" i="2" s="1"/>
  <c r="E10" i="2"/>
  <c r="E22" i="2" s="1"/>
  <c r="E26" i="2" s="1"/>
  <c r="F10" i="2"/>
  <c r="F22" i="2" s="1"/>
  <c r="F26" i="2" s="1"/>
  <c r="G10" i="2"/>
  <c r="G22" i="2" s="1"/>
  <c r="G26" i="2" s="1"/>
  <c r="H10" i="2"/>
  <c r="I10" i="2"/>
  <c r="I22" i="2" s="1"/>
  <c r="I26" i="2" s="1"/>
  <c r="J10" i="2"/>
  <c r="K10" i="2"/>
  <c r="K22" i="2" s="1"/>
  <c r="K26" i="2" s="1"/>
  <c r="L10" i="2"/>
  <c r="L22" i="2" s="1"/>
  <c r="L26" i="2" s="1"/>
  <c r="M10" i="2"/>
  <c r="N10" i="2"/>
  <c r="N22" i="2" s="1"/>
  <c r="N26" i="2" s="1"/>
  <c r="O10" i="2"/>
  <c r="O22" i="2" s="1"/>
  <c r="O26" i="2" s="1"/>
  <c r="P10" i="2"/>
  <c r="P22" i="2" s="1"/>
  <c r="P26" i="2" s="1"/>
  <c r="Q10" i="2"/>
  <c r="Q22" i="2" s="1"/>
  <c r="Q26" i="2" s="1"/>
  <c r="R10" i="2"/>
  <c r="R22" i="2" s="1"/>
  <c r="R26" i="2" s="1"/>
  <c r="S10" i="2"/>
  <c r="S22" i="2" s="1"/>
  <c r="S26" i="2" s="1"/>
  <c r="T10" i="2"/>
  <c r="T22" i="2" s="1"/>
  <c r="T26" i="2" s="1"/>
  <c r="U10" i="2"/>
  <c r="U22" i="2" s="1"/>
  <c r="U26" i="2" s="1"/>
  <c r="V10" i="2"/>
  <c r="V22" i="2" s="1"/>
  <c r="V26" i="2" s="1"/>
  <c r="W10" i="2"/>
  <c r="W22" i="2" s="1"/>
  <c r="W26" i="2" s="1"/>
  <c r="X10" i="2"/>
  <c r="X22" i="2" s="1"/>
  <c r="X26" i="2" s="1"/>
  <c r="Y10" i="2"/>
  <c r="Y22" i="2" s="1"/>
  <c r="Y26" i="2" s="1"/>
  <c r="B29" i="2"/>
  <c r="B28" i="2" s="1"/>
  <c r="C29" i="2"/>
  <c r="C28" i="2" s="1"/>
  <c r="D29" i="2"/>
  <c r="D28" i="2" s="1"/>
  <c r="E29" i="2"/>
  <c r="E28" i="2" s="1"/>
  <c r="F29" i="2"/>
  <c r="F28" i="2" s="1"/>
  <c r="G29" i="2"/>
  <c r="G28" i="2" s="1"/>
  <c r="H29" i="2"/>
  <c r="H28" i="2" s="1"/>
  <c r="I29" i="2"/>
  <c r="I28" i="2" s="1"/>
  <c r="J29" i="2"/>
  <c r="J28" i="2" s="1"/>
  <c r="K29" i="2"/>
  <c r="K28" i="2" s="1"/>
  <c r="L29" i="2"/>
  <c r="L28" i="2" s="1"/>
  <c r="M29" i="2"/>
  <c r="M28" i="2" s="1"/>
  <c r="N29" i="2"/>
  <c r="N28" i="2" s="1"/>
  <c r="O29" i="2"/>
  <c r="O28" i="2" s="1"/>
  <c r="P29" i="2"/>
  <c r="P28" i="2" s="1"/>
  <c r="P39" i="2" s="1"/>
  <c r="Q29" i="2"/>
  <c r="Q28" i="2" s="1"/>
  <c r="R29" i="2"/>
  <c r="R28" i="2" s="1"/>
  <c r="S29" i="2"/>
  <c r="S28" i="2" s="1"/>
  <c r="T29" i="2"/>
  <c r="T28" i="2" s="1"/>
  <c r="U29" i="2"/>
  <c r="U28" i="2" s="1"/>
  <c r="V29" i="2"/>
  <c r="V28" i="2" s="1"/>
  <c r="W29" i="2"/>
  <c r="W28" i="2" s="1"/>
  <c r="X29" i="2"/>
  <c r="X28" i="2" s="1"/>
  <c r="Y29" i="2"/>
  <c r="Y28" i="2" s="1"/>
  <c r="B41" i="2"/>
  <c r="C41" i="2"/>
  <c r="D41" i="2"/>
  <c r="E41" i="2"/>
  <c r="F41" i="2"/>
  <c r="G41" i="2"/>
  <c r="H41" i="2"/>
  <c r="I41" i="2"/>
  <c r="K41" i="2"/>
  <c r="L41" i="2"/>
  <c r="M41" i="2"/>
  <c r="N41" i="2"/>
  <c r="O41" i="2"/>
  <c r="Q41" i="2"/>
  <c r="R41" i="2"/>
  <c r="S41" i="2"/>
  <c r="T41" i="2"/>
  <c r="U41" i="2"/>
  <c r="V41" i="2"/>
  <c r="W41" i="2"/>
  <c r="X41" i="2"/>
  <c r="Y41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M22" i="2" l="1"/>
  <c r="M26" i="2" s="1"/>
  <c r="M39" i="2" s="1"/>
  <c r="M45" i="2" s="1"/>
  <c r="M58" i="2" s="1"/>
  <c r="J22" i="2"/>
  <c r="J26" i="2" s="1"/>
  <c r="H22" i="2"/>
  <c r="H26" i="2" s="1"/>
  <c r="X39" i="2"/>
  <c r="X45" i="2" s="1"/>
  <c r="X58" i="2" s="1"/>
  <c r="T39" i="2"/>
  <c r="T45" i="2" s="1"/>
  <c r="T58" i="2" s="1"/>
  <c r="P45" i="2"/>
  <c r="P58" i="2" s="1"/>
  <c r="J39" i="2" l="1"/>
  <c r="J45" i="2" s="1"/>
  <c r="J58" i="2" s="1"/>
  <c r="H39" i="2"/>
  <c r="H45" i="2" s="1"/>
  <c r="H58" i="2" s="1"/>
  <c r="C39" i="2"/>
  <c r="C45" i="2" s="1"/>
  <c r="C58" i="2" s="1"/>
  <c r="S39" i="2"/>
  <c r="S45" i="2" s="1"/>
  <c r="S58" i="2" s="1"/>
  <c r="D39" i="2"/>
  <c r="D45" i="2" s="1"/>
  <c r="D58" i="2" s="1"/>
  <c r="L39" i="2"/>
  <c r="L45" i="2" s="1"/>
  <c r="L58" i="2" s="1"/>
  <c r="G39" i="2"/>
  <c r="G45" i="2" s="1"/>
  <c r="G58" i="2" s="1"/>
  <c r="W39" i="2"/>
  <c r="W45" i="2" s="1"/>
  <c r="W58" i="2" s="1"/>
  <c r="F39" i="2"/>
  <c r="F45" i="2" s="1"/>
  <c r="F58" i="2" s="1"/>
  <c r="K39" i="2"/>
  <c r="K45" i="2" s="1"/>
  <c r="K58" i="2" s="1"/>
  <c r="O39" i="2"/>
  <c r="O45" i="2" s="1"/>
  <c r="O58" i="2" s="1"/>
  <c r="I39" i="2"/>
  <c r="I45" i="2" s="1"/>
  <c r="I58" i="2" s="1"/>
  <c r="Q39" i="2"/>
  <c r="Q45" i="2" s="1"/>
  <c r="Q58" i="2" s="1"/>
  <c r="Y39" i="2"/>
  <c r="Y45" i="2" s="1"/>
  <c r="Y58" i="2" s="1"/>
  <c r="E39" i="2"/>
  <c r="E45" i="2" s="1"/>
  <c r="E58" i="2" s="1"/>
  <c r="U39" i="2"/>
  <c r="U45" i="2" s="1"/>
  <c r="U58" i="2" s="1"/>
  <c r="N39" i="2"/>
  <c r="N45" i="2" s="1"/>
  <c r="N58" i="2" s="1"/>
  <c r="V39" i="2"/>
  <c r="V45" i="2" s="1"/>
  <c r="V58" i="2" s="1"/>
  <c r="R39" i="2"/>
  <c r="R45" i="2" s="1"/>
  <c r="R58" i="2" s="1"/>
  <c r="B39" i="2"/>
  <c r="B45" i="2" s="1"/>
  <c r="B58" i="2" s="1"/>
  <c r="B52" i="16" l="1"/>
  <c r="C52" i="16"/>
  <c r="D52" i="16"/>
  <c r="E52" i="16"/>
  <c r="F52" i="16"/>
  <c r="G52" i="16"/>
  <c r="B47" i="16"/>
  <c r="C47" i="16"/>
  <c r="D47" i="16"/>
  <c r="E47" i="16"/>
  <c r="F47" i="16"/>
  <c r="G47" i="16"/>
  <c r="B10" i="16"/>
  <c r="B22" i="16" s="1"/>
  <c r="B26" i="16" s="1"/>
  <c r="C10" i="16"/>
  <c r="D10" i="16"/>
  <c r="E10" i="16"/>
  <c r="E22" i="16" s="1"/>
  <c r="E26" i="16" s="1"/>
  <c r="F10" i="16"/>
  <c r="F22" i="16" s="1"/>
  <c r="F26" i="16" s="1"/>
  <c r="G10" i="16"/>
  <c r="G22" i="16" s="1"/>
  <c r="G26" i="16" s="1"/>
  <c r="B41" i="16"/>
  <c r="C41" i="16"/>
  <c r="D41" i="16"/>
  <c r="E41" i="16"/>
  <c r="F41" i="16"/>
  <c r="G41" i="16"/>
  <c r="B29" i="16"/>
  <c r="B28" i="16" s="1"/>
  <c r="C29" i="16"/>
  <c r="C28" i="16" s="1"/>
  <c r="D29" i="16"/>
  <c r="D28" i="16" s="1"/>
  <c r="E29" i="16"/>
  <c r="E28" i="16" s="1"/>
  <c r="F29" i="16"/>
  <c r="G29" i="16"/>
  <c r="E39" i="16" l="1"/>
  <c r="D22" i="16"/>
  <c r="D26" i="16" s="1"/>
  <c r="C22" i="16"/>
  <c r="C26" i="16" s="1"/>
  <c r="F39" i="16"/>
  <c r="D9" i="9"/>
  <c r="E9" i="9" s="1"/>
  <c r="F9" i="9" s="1"/>
  <c r="G9" i="9" s="1"/>
  <c r="H9" i="9" s="1"/>
  <c r="I9" i="9" s="1"/>
  <c r="J9" i="9" s="1"/>
  <c r="K9" i="9" s="1"/>
  <c r="L9" i="9" s="1"/>
  <c r="M9" i="9" s="1"/>
  <c r="N9" i="9" s="1"/>
  <c r="O9" i="9" s="1"/>
  <c r="P9" i="9" s="1"/>
  <c r="Q9" i="9" s="1"/>
  <c r="R9" i="9" s="1"/>
  <c r="S9" i="9" s="1"/>
  <c r="T9" i="9" s="1"/>
  <c r="U9" i="9" s="1"/>
  <c r="V9" i="9" s="1"/>
  <c r="W9" i="9" s="1"/>
  <c r="X9" i="9" s="1"/>
  <c r="Y9" i="9" s="1"/>
  <c r="C9" i="12"/>
  <c r="D9" i="12" s="1"/>
  <c r="E9" i="12" s="1"/>
  <c r="F9" i="12" s="1"/>
  <c r="G9" i="12" s="1"/>
  <c r="H9" i="12" s="1"/>
  <c r="I9" i="12" s="1"/>
  <c r="J9" i="12" s="1"/>
  <c r="K9" i="12" s="1"/>
  <c r="L9" i="12" s="1"/>
  <c r="M9" i="12" s="1"/>
  <c r="N9" i="12" s="1"/>
  <c r="O9" i="12" s="1"/>
  <c r="P9" i="12" s="1"/>
  <c r="Q9" i="12" s="1"/>
  <c r="R9" i="12" s="1"/>
  <c r="S9" i="12" s="1"/>
  <c r="T9" i="12" s="1"/>
  <c r="U9" i="12" s="1"/>
  <c r="V9" i="12" s="1"/>
  <c r="W9" i="12" s="1"/>
  <c r="X9" i="12" s="1"/>
  <c r="Y9" i="12" s="1"/>
  <c r="C9" i="14"/>
  <c r="D9" i="14" s="1"/>
  <c r="E9" i="14" s="1"/>
  <c r="F9" i="14" s="1"/>
  <c r="G9" i="14" s="1"/>
  <c r="H9" i="14" s="1"/>
  <c r="I9" i="14" s="1"/>
  <c r="J9" i="14" s="1"/>
  <c r="K9" i="14" s="1"/>
  <c r="L9" i="14" s="1"/>
  <c r="M9" i="14" s="1"/>
  <c r="N9" i="14" s="1"/>
  <c r="O9" i="14" s="1"/>
  <c r="P9" i="14" s="1"/>
  <c r="Q9" i="14" s="1"/>
  <c r="R9" i="14" s="1"/>
  <c r="S9" i="14" s="1"/>
  <c r="T9" i="14" s="1"/>
  <c r="U9" i="14" s="1"/>
  <c r="V9" i="14" s="1"/>
  <c r="W9" i="14" s="1"/>
  <c r="X9" i="14" s="1"/>
  <c r="Y9" i="14" s="1"/>
  <c r="C9" i="15"/>
  <c r="D9" i="15" s="1"/>
  <c r="C9" i="26"/>
  <c r="D9" i="26" s="1"/>
  <c r="E9" i="26" s="1"/>
  <c r="F9" i="26" s="1"/>
  <c r="G9" i="26" s="1"/>
  <c r="H9" i="26" s="1"/>
  <c r="I9" i="26" s="1"/>
  <c r="J9" i="26" s="1"/>
  <c r="K9" i="26" s="1"/>
  <c r="L9" i="26" s="1"/>
  <c r="M9" i="26" s="1"/>
  <c r="N9" i="26" s="1"/>
  <c r="O9" i="26" s="1"/>
  <c r="P9" i="26" s="1"/>
  <c r="Q9" i="26" s="1"/>
  <c r="R9" i="26" s="1"/>
  <c r="S9" i="26" s="1"/>
  <c r="T9" i="26" s="1"/>
  <c r="U9" i="26" s="1"/>
  <c r="V9" i="26" s="1"/>
  <c r="W9" i="26" s="1"/>
  <c r="X9" i="26" s="1"/>
  <c r="Y9" i="26" s="1"/>
  <c r="E9" i="15" l="1"/>
  <c r="F9" i="15" s="1"/>
  <c r="G9" i="15" s="1"/>
  <c r="H9" i="15" s="1"/>
  <c r="I9" i="15" s="1"/>
  <c r="J9" i="15" s="1"/>
  <c r="K9" i="15" s="1"/>
  <c r="L9" i="15" s="1"/>
  <c r="M9" i="15" s="1"/>
  <c r="N9" i="15" s="1"/>
  <c r="O9" i="15" s="1"/>
  <c r="P9" i="15" s="1"/>
  <c r="Q9" i="15" s="1"/>
  <c r="R9" i="15" s="1"/>
  <c r="S9" i="15" s="1"/>
  <c r="T9" i="15" s="1"/>
  <c r="U9" i="15" s="1"/>
  <c r="V9" i="15" s="1"/>
  <c r="W9" i="15" s="1"/>
  <c r="X9" i="15" s="1"/>
  <c r="Y9" i="15" s="1"/>
  <c r="B39" i="16"/>
  <c r="B45" i="16" s="1"/>
  <c r="B58" i="16" s="1"/>
  <c r="E60" i="2" s="1"/>
  <c r="D39" i="16"/>
  <c r="D45" i="16" s="1"/>
  <c r="D58" i="16" s="1"/>
  <c r="M60" i="2" s="1"/>
  <c r="F45" i="16"/>
  <c r="F58" i="16" s="1"/>
  <c r="C39" i="16"/>
  <c r="G39" i="16"/>
  <c r="B59" i="10"/>
  <c r="C59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X59" i="10"/>
  <c r="Y59" i="10"/>
  <c r="Z59" i="10"/>
  <c r="AA59" i="10"/>
  <c r="AB59" i="10"/>
  <c r="AC59" i="10"/>
  <c r="AD59" i="10"/>
  <c r="AE59" i="10"/>
  <c r="AF59" i="10"/>
  <c r="AG59" i="10"/>
  <c r="AH59" i="10"/>
  <c r="AI59" i="10"/>
  <c r="AJ59" i="10"/>
  <c r="AK59" i="10"/>
  <c r="AL59" i="10"/>
  <c r="AM59" i="10"/>
  <c r="AN59" i="10"/>
  <c r="AO59" i="10"/>
  <c r="AP59" i="10"/>
  <c r="AQ59" i="10"/>
  <c r="AR59" i="10"/>
  <c r="AS59" i="10"/>
  <c r="AT59" i="10"/>
  <c r="C45" i="16" l="1"/>
  <c r="C58" i="16" s="1"/>
  <c r="I60" i="2" s="1"/>
  <c r="E45" i="16"/>
  <c r="E58" i="16" s="1"/>
  <c r="G45" i="16"/>
  <c r="G58" i="16" s="1"/>
  <c r="AS47" i="10"/>
  <c r="L68" i="17" l="1"/>
  <c r="L56" i="17"/>
  <c r="AT47" i="10"/>
  <c r="AR47" i="10" l="1"/>
  <c r="AL18" i="10" l="1"/>
  <c r="AO18" i="10"/>
  <c r="AP18" i="10"/>
</calcChain>
</file>

<file path=xl/sharedStrings.xml><?xml version="1.0" encoding="utf-8"?>
<sst xmlns="http://schemas.openxmlformats.org/spreadsheetml/2006/main" count="751" uniqueCount="368">
  <si>
    <t>1.</t>
  </si>
  <si>
    <t>2.</t>
  </si>
  <si>
    <t>3.</t>
  </si>
  <si>
    <t>4.</t>
  </si>
  <si>
    <t>Balanço Patrimonial</t>
  </si>
  <si>
    <t>DRE Gerencial</t>
  </si>
  <si>
    <t>Captação</t>
  </si>
  <si>
    <t>5.</t>
  </si>
  <si>
    <t>6.</t>
  </si>
  <si>
    <t>7.</t>
  </si>
  <si>
    <t>Clique no título para acessar a respectiva planilha:</t>
  </si>
  <si>
    <t>Banco ABC Brasil S.A.</t>
  </si>
  <si>
    <t>Planilha de Séries Históricas</t>
  </si>
  <si>
    <t>Índice</t>
  </si>
  <si>
    <t>-</t>
  </si>
  <si>
    <t>Depósitos</t>
  </si>
  <si>
    <t>(R$ mil)</t>
  </si>
  <si>
    <t>1T08</t>
  </si>
  <si>
    <t>2T08</t>
  </si>
  <si>
    <t>3T08</t>
  </si>
  <si>
    <t>4T08</t>
  </si>
  <si>
    <t>2008</t>
  </si>
  <si>
    <t>1T09</t>
  </si>
  <si>
    <t>2T09</t>
  </si>
  <si>
    <t>3T09</t>
  </si>
  <si>
    <t>4T09</t>
  </si>
  <si>
    <t>2009</t>
  </si>
  <si>
    <t>1T10</t>
  </si>
  <si>
    <t>2T10</t>
  </si>
  <si>
    <t>3T10</t>
  </si>
  <si>
    <t>4T10</t>
  </si>
  <si>
    <t>2010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</si>
  <si>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</si>
  <si>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</si>
  <si>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</si>
  <si>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</si>
  <si>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</si>
  <si>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</si>
  <si>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</si>
  <si>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</si>
  <si>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</si>
  <si>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</si>
  <si>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</si>
  <si>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</si>
  <si>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</si>
  <si>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</si>
  <si>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</si>
  <si>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</si>
  <si>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</si>
  <si>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</si>
  <si>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</si>
  <si>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</si>
  <si>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</si>
  <si>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</si>
  <si>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</si>
  <si>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</si>
  <si>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</si>
  <si>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Margem Financeira Publicada antes da PDD</t>
  </si>
  <si>
    <t>Efeito do hedge de investimentos no exterior</t>
  </si>
  <si>
    <t>Efeito fiscal do hedge de investimentos no exterior + outros</t>
  </si>
  <si>
    <t>Margem Financeira Gerencial antes PDD</t>
  </si>
  <si>
    <t>Margem Financeira com Clientes</t>
  </si>
  <si>
    <t>Margem Financeira com Mercado</t>
  </si>
  <si>
    <t>Provisão para Devedores Duvidosos (PDD)</t>
  </si>
  <si>
    <t>Margem Gerencial após PDD</t>
  </si>
  <si>
    <t>Receitas de Prestação de Serviços</t>
  </si>
  <si>
    <t>Despesas</t>
  </si>
  <si>
    <t>   Despesas de Pessoal &amp; Outras Administrativas (publicada)</t>
  </si>
  <si>
    <t>   Cessão do consignado</t>
  </si>
  <si>
    <t>   Efeito de Contribuições Incentivadas</t>
  </si>
  <si>
    <t>Despesas Tributárias</t>
  </si>
  <si>
    <t>Outras Receitas (Despesas) Operacionais Ajustada</t>
  </si>
  <si>
    <t>   Outras Receitas (Despesas) Operacionais Publicada</t>
  </si>
  <si>
    <t>   Efeito do hedge de investimentos no exterior</t>
  </si>
  <si>
    <t>   Efeito Anistia/Cetip</t>
  </si>
  <si>
    <t>Resultado não Operacional Gerencial</t>
  </si>
  <si>
    <t>Res. antes da Tributação sobre o Lucro e Participações</t>
  </si>
  <si>
    <t>Imposto de Renda e Contribuição Social Ajustado</t>
  </si>
  <si>
    <t>   Imposto de Renda e Contribuição Social Publicado</t>
  </si>
  <si>
    <t>   Efeito fiscal do hedge de investimentos no exterior + outros</t>
  </si>
  <si>
    <t>   Efeito Fiscal da Anistia/Cetip</t>
  </si>
  <si>
    <t>Participação nos Lucros</t>
  </si>
  <si>
    <t>Efeitos líquidos de Imposto de Renda</t>
  </si>
  <si>
    <t>Venda de participação na CETIP</t>
  </si>
  <si>
    <t>Adesão à anistia fiscal</t>
  </si>
  <si>
    <t>Eventos não recorrentes</t>
  </si>
  <si>
    <t>Garantias Prestadas</t>
  </si>
  <si>
    <t>Fees Mercado de Capitais e M&amp;A</t>
  </si>
  <si>
    <t>Tarifas</t>
  </si>
  <si>
    <t>Pessoal</t>
  </si>
  <si>
    <t>Outras Despesas Administrativas</t>
  </si>
  <si>
    <t>Total</t>
  </si>
  <si>
    <t>Margem Financeira Gerencial antes da PDD</t>
  </si>
  <si>
    <t>Margem Financeira Gerencial após PDD</t>
  </si>
  <si>
    <t>Despesas Pessoal &amp; Outras Administrativas</t>
  </si>
  <si>
    <t>Despesas Tributárias &amp; Outras Operacionais</t>
  </si>
  <si>
    <t>Resultado Operacional</t>
  </si>
  <si>
    <t>DEMONSTRAÇÃO DO RESULTADO GERENCIAL</t>
  </si>
  <si>
    <t>CAPTAÇÃO</t>
  </si>
  <si>
    <t>(R$ milhões)</t>
  </si>
  <si>
    <t xml:space="preserve">Receitas de Prestação de Serviços </t>
  </si>
  <si>
    <t xml:space="preserve">Despesas </t>
  </si>
  <si>
    <t xml:space="preserve">Resultado Operacional Gerencial </t>
  </si>
  <si>
    <t>ADEQUAÇÃO DE CAPITAL</t>
  </si>
  <si>
    <t>-4.4</t>
  </si>
  <si>
    <t>2T17</t>
  </si>
  <si>
    <t>Dividendos e JCP</t>
  </si>
  <si>
    <t>DIVIDENDOS E JCP</t>
  </si>
  <si>
    <t>3T17</t>
  </si>
  <si>
    <t>4T17</t>
  </si>
  <si>
    <t>Lucro Líquido Recorrente</t>
  </si>
  <si>
    <t>Lucro Líquido Contábil</t>
  </si>
  <si>
    <t>1T18</t>
  </si>
  <si>
    <t xml:space="preserve">A partir do primeiro trimestre de 2018, foram feitas as seguintes reclassificações: (i) a porção das despesas de INSS referente à remuneração variável passou da linha “Despesa de Pessoal” para “Participação nos Lucros (PLR)”, onde a remuneração variável é contabilizada; e (ii) a porção das despesas que geram incentivos fiscais (Lei Rouanet, Lei do Incentivo ao Esporte e FUMCAD) passou da linha “Despesas Administrativas” para “Imposto de Renda e Contribuição Social”. Essa alteração foi aplicada para os dados desde o 1T16.
</t>
  </si>
  <si>
    <t>2T18</t>
  </si>
  <si>
    <t>3T18</t>
  </si>
  <si>
    <t>4T18</t>
  </si>
  <si>
    <t>1T19</t>
  </si>
  <si>
    <t>Gerenciamento de Capital</t>
  </si>
  <si>
    <t xml:space="preserve"> </t>
  </si>
  <si>
    <t>ATIVO</t>
  </si>
  <si>
    <t/>
  </si>
  <si>
    <t>PASSIVO E PATRIMÔNIO LÍQUIDO</t>
  </si>
  <si>
    <t>Captações (Depósitos, Cessões de Crédito, Cap. Externas, LCA, LF, LFS, Mercado Aberto)</t>
  </si>
  <si>
    <t>- Depósito à Vista</t>
  </si>
  <si>
    <t>- Poupança</t>
  </si>
  <si>
    <t>- Depósito a prazo</t>
  </si>
  <si>
    <t>- CDB</t>
  </si>
  <si>
    <t>- DPGE I e II</t>
  </si>
  <si>
    <t>- CDB Subordinado</t>
  </si>
  <si>
    <t>- Depósito Interfinanceiro</t>
  </si>
  <si>
    <t>Cessões de Crédito</t>
  </si>
  <si>
    <t>- Cessão c/ coobrigação antes da 3.533</t>
  </si>
  <si>
    <t>- Cessão c/ coobrigação após à 3.533</t>
  </si>
  <si>
    <t>- FIDC após à 3.533</t>
  </si>
  <si>
    <t>- FIDC antes da 3.533</t>
  </si>
  <si>
    <t>Captação Externa</t>
  </si>
  <si>
    <t>- Dívida Subordinada</t>
  </si>
  <si>
    <t>- TVME</t>
  </si>
  <si>
    <t>LCA</t>
  </si>
  <si>
    <t>LF</t>
  </si>
  <si>
    <t>LFS</t>
  </si>
  <si>
    <t>LCI</t>
  </si>
  <si>
    <t>Captação no Mercado Aberto</t>
  </si>
  <si>
    <t xml:space="preserve">a) Patrimônio de Referência - PR (a = b + c) </t>
  </si>
  <si>
    <t>b) Patrimônio de Referência Nível I</t>
  </si>
  <si>
    <t xml:space="preserve">b.1) Capital Principal – CP </t>
  </si>
  <si>
    <t>b.2) Capital Complementar - CC</t>
  </si>
  <si>
    <t>- LFs Subordinadas</t>
  </si>
  <si>
    <t>- Ajuste Participações de não controladores Nível I</t>
  </si>
  <si>
    <t xml:space="preserve">c) Patrimônio de Referência Nível II </t>
  </si>
  <si>
    <t>c.1) Dívidas Subordinadas/LFs Subordinadas</t>
  </si>
  <si>
    <t>c.2) Ajuste Participações de não controladores do Nível II</t>
  </si>
  <si>
    <t xml:space="preserve">d) Ativos Ponderados por Risco (RWA) </t>
  </si>
  <si>
    <t>f) Margem Sobre o Patrimônio de Referência Requerido (f = a - e)</t>
  </si>
  <si>
    <t>g) Patrimônio de Referência Nível I Mínimo Requerido para o RWA (g = d x 6,0% desde janeiro de 2015)</t>
  </si>
  <si>
    <t>h) Margem sobre o Patrimônio de Referência Nível I Requerido (h = b - g)</t>
  </si>
  <si>
    <t>i) Capital Principal Mínimo Requerido para o Rwa (i = d x 4,5%)</t>
  </si>
  <si>
    <t>j) Margem sobre o Capital Principal Requerido (j = b.1 - i)</t>
  </si>
  <si>
    <t>p) Capital de Nível I (p = b/d x 100)</t>
  </si>
  <si>
    <t>Total Geral</t>
  </si>
  <si>
    <t>DRE Contábil (Anual)</t>
  </si>
  <si>
    <t xml:space="preserve">TOTAL DO ATIVO </t>
  </si>
  <si>
    <t xml:space="preserve">TOTAL DO PASSIVO E PATRIMÔNIO LÍQUIDO </t>
  </si>
  <si>
    <t>Cartão de Crédito</t>
  </si>
  <si>
    <t>Crédito Pessoal</t>
  </si>
  <si>
    <t>Pessoa Física</t>
  </si>
  <si>
    <t>Pessoa Jurídica</t>
  </si>
  <si>
    <t>CONSTRUCAO CIVIL</t>
  </si>
  <si>
    <t>TRANSPORTE DE PASSAGEIROS, EXCETO AVIACAO CIVIL</t>
  </si>
  <si>
    <t>BIOCOMBUSTIVEIS E ACUCAR</t>
  </si>
  <si>
    <t>PRESTACAO DE SERVICOS</t>
  </si>
  <si>
    <t>ATIVIDADES FINANCEIRAS, DE SEGUROS E SERVICOS RELACIONADO</t>
  </si>
  <si>
    <t>SIDERURGIA</t>
  </si>
  <si>
    <t>MATERIAIS DE CONSTRUCAO</t>
  </si>
  <si>
    <t>TRANSPORTE DE CARGAS E LOGISTICA</t>
  </si>
  <si>
    <t>ALIMENTOS</t>
  </si>
  <si>
    <t>OUTROS</t>
  </si>
  <si>
    <t>Crédito Consignado INSS</t>
  </si>
  <si>
    <t>CP INSS Débito em Conta</t>
  </si>
  <si>
    <t>Capital de Giro</t>
  </si>
  <si>
    <t xml:space="preserve">Renegociação </t>
  </si>
  <si>
    <t xml:space="preserve">Crédito Rural          </t>
  </si>
  <si>
    <t>Crédito Consignado Público</t>
  </si>
  <si>
    <t>Cartão de Crédito Consignado</t>
  </si>
  <si>
    <t xml:space="preserve">Crédito Imobiliário    </t>
  </si>
  <si>
    <t>Câmbio</t>
  </si>
  <si>
    <t xml:space="preserve">Cheque Especial </t>
  </si>
  <si>
    <t xml:space="preserve">Conta Garantida </t>
  </si>
  <si>
    <t xml:space="preserve">Cheque Empresa </t>
  </si>
  <si>
    <t>Financiamento Veículos - CDC</t>
  </si>
  <si>
    <t>Outros</t>
  </si>
  <si>
    <t>Produtos - Consolidado</t>
  </si>
  <si>
    <t>Maior Depositante</t>
  </si>
  <si>
    <t>10 Maiores Depositantes</t>
  </si>
  <si>
    <t>20 Maiores Depositantes</t>
  </si>
  <si>
    <t>50 Maiores Depositantes</t>
  </si>
  <si>
    <t>100 Maiores Depositantes</t>
  </si>
  <si>
    <t>Total Depósito a Prazo</t>
  </si>
  <si>
    <t>Concentração de Maiores Depositantes</t>
  </si>
  <si>
    <t xml:space="preserve">RESULTADO BRUTO DA INTERMEDIAÇÃO FINANCEIRA </t>
  </si>
  <si>
    <t xml:space="preserve">RECEITAS DA INTERMEDIAÇÃO FINANCEIRA </t>
  </si>
  <si>
    <t xml:space="preserve">DESPESAS DA INTERMEDIAÇÃO FINANCEIRA </t>
  </si>
  <si>
    <t xml:space="preserve">OUTRAS RECEITAS / (DESPESAS) OPERACIONAIS </t>
  </si>
  <si>
    <t xml:space="preserve">RESULTADO OPERACIONAL </t>
  </si>
  <si>
    <t>RESULTADO ANTES DA TRIBUTAÇÃO SOBRE O LUCRO E PARTICIPAÇÕES</t>
  </si>
  <si>
    <t xml:space="preserve">PARTICIPAÇÕES ESTATUTÁRIAS NO LUCRO </t>
  </si>
  <si>
    <t>(R$ Mil)</t>
  </si>
  <si>
    <t>(R$ Milhões)</t>
  </si>
  <si>
    <t>TOTAL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</si>
  <si>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</si>
  <si>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</si>
  <si>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</si>
  <si>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</si>
  <si>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</si>
  <si>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</si>
  <si>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</si>
  <si>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</si>
  <si>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</si>
  <si>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</si>
  <si>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</si>
  <si>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</si>
  <si>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</si>
  <si>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</si>
  <si>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</si>
  <si>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</si>
  <si>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</si>
  <si>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</si>
  <si>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3T24</t>
  </si>
  <si>
    <t>4T24</t>
  </si>
  <si>
    <t>1T25</t>
  </si>
  <si>
    <t>2T25</t>
  </si>
  <si>
    <t>3T25</t>
  </si>
  <si>
    <t>4T25</t>
  </si>
  <si>
    <t xml:space="preserve">IMPOSTO DE RENDA E CONTRIBUIÇÃO SOCIAL </t>
  </si>
  <si>
    <t>RESULTADO NÃO OPERACIONAL</t>
  </si>
  <si>
    <t xml:space="preserve">Adequação de Capital </t>
  </si>
  <si>
    <t xml:space="preserve"> Operações de Crédito </t>
  </si>
  <si>
    <t xml:space="preserve"> Resultado de Operações com Títulos e Valores  Mobiliários </t>
  </si>
  <si>
    <t xml:space="preserve"> Resultado com Instrumentos Financeiros Derivativos</t>
  </si>
  <si>
    <t xml:space="preserve"> Resultado de Operações de Câmbio </t>
  </si>
  <si>
    <t xml:space="preserve"> Resultado das Aplicações Compulsórias </t>
  </si>
  <si>
    <t xml:space="preserve"> Operações de Captação no Mercado</t>
  </si>
  <si>
    <t xml:space="preserve"> Operações de Venda ou de Transferência de Ativos Financeiros</t>
  </si>
  <si>
    <t xml:space="preserve"> Receitas de Prestação de Serviços</t>
  </si>
  <si>
    <t xml:space="preserve">   Receitas de Prestações de Serviços - Diversas </t>
  </si>
  <si>
    <t xml:space="preserve">   Rendas de Tarifas Bancárias </t>
  </si>
  <si>
    <t xml:space="preserve"> Despesas de Pessoal</t>
  </si>
  <si>
    <t xml:space="preserve"> Outras Despesas Administrativas</t>
  </si>
  <si>
    <t xml:space="preserve"> Despesas Tributárias</t>
  </si>
  <si>
    <t xml:space="preserve"> Outras Despesas Operacionais </t>
  </si>
  <si>
    <t xml:space="preserve"> Receitas </t>
  </si>
  <si>
    <t xml:space="preserve"> Despesas </t>
  </si>
  <si>
    <t xml:space="preserve"> Operações de Empréstimos, Cessões e Repasses</t>
  </si>
  <si>
    <t xml:space="preserve"> Provisão para Imposto de Renda </t>
  </si>
  <si>
    <t xml:space="preserve"> Provisão para Contribuição Social </t>
  </si>
  <si>
    <t xml:space="preserve"> Ativo Fiscal Diferido</t>
  </si>
  <si>
    <t xml:space="preserve"> Administradores </t>
  </si>
  <si>
    <t xml:space="preserve"> Empregados </t>
  </si>
  <si>
    <t xml:space="preserve">LUCRO LÍQUIDO </t>
  </si>
  <si>
    <t xml:space="preserve"> Outras Receitas Operacionais </t>
  </si>
  <si>
    <t xml:space="preserve">  Carteira Própria</t>
  </si>
  <si>
    <t xml:space="preserve">  Instrumentos Financeiros Derivativos</t>
  </si>
  <si>
    <t xml:space="preserve">  Vinculados à Prestação de Garantias</t>
  </si>
  <si>
    <t xml:space="preserve">  Pagamentos e Recebimentos a Liquidar</t>
  </si>
  <si>
    <t xml:space="preserve">  Correspondentes</t>
  </si>
  <si>
    <t xml:space="preserve">  Transferências Internas de Recursos</t>
  </si>
  <si>
    <t xml:space="preserve">  Despesas Antecipadas</t>
  </si>
  <si>
    <t xml:space="preserve">  INVESTIMENTOS</t>
  </si>
  <si>
    <t xml:space="preserve">   Outros Investimentos</t>
  </si>
  <si>
    <t xml:space="preserve">  INTANGÍVEL</t>
  </si>
  <si>
    <t xml:space="preserve">   (Amortização Acumulada)</t>
  </si>
  <si>
    <t xml:space="preserve">  Depósitos à Vista</t>
  </si>
  <si>
    <t xml:space="preserve">  Depósitos de Poupança</t>
  </si>
  <si>
    <t xml:space="preserve">  Depósitos Interfinanceiros</t>
  </si>
  <si>
    <t xml:space="preserve">  Depósitos a Prazo</t>
  </si>
  <si>
    <t xml:space="preserve">  Carteira de Terceiros</t>
  </si>
  <si>
    <t xml:space="preserve">  Recebimentos e Pagamentos a Liquidar</t>
  </si>
  <si>
    <t xml:space="preserve">  Recursos em Trânsito de Terceiros</t>
  </si>
  <si>
    <t xml:space="preserve"> RESULTADOS DE EXERCÍCIOS FUTUROS</t>
  </si>
  <si>
    <t xml:space="preserve"> PATRIMÔNIO LÍQUIDO</t>
  </si>
  <si>
    <t xml:space="preserve">   Ativos Intangíveis </t>
  </si>
  <si>
    <t>Demais Depositantes</t>
  </si>
  <si>
    <t>e) Patrimônio de Referência Mínimo Requerido para o RWA (e = d x fator "F" de cada período)</t>
  </si>
  <si>
    <t>q) Capital Principal (q = b1/d x 100)</t>
  </si>
  <si>
    <t>- DEPOSITOS JUDICIAIS COM REMUNERACAO</t>
  </si>
  <si>
    <t>- Certificate of Deposit - CD (TVME)</t>
  </si>
  <si>
    <t xml:space="preserve">  Aplicações Interfinanceiras de Liquidez</t>
  </si>
  <si>
    <t xml:space="preserve"> INSTRUMENTOS FINANCEIROS</t>
  </si>
  <si>
    <t xml:space="preserve">  Títulos e Valores Mobiliários</t>
  </si>
  <si>
    <t xml:space="preserve">  Relações Interfinanceiras</t>
  </si>
  <si>
    <t xml:space="preserve">  Créditos Vinculados - Depósitos no Banco Central</t>
  </si>
  <si>
    <t xml:space="preserve">  Relações Interdependências</t>
  </si>
  <si>
    <t xml:space="preserve">  Operações de Crédito</t>
  </si>
  <si>
    <t xml:space="preserve">  Outros Créditos</t>
  </si>
  <si>
    <t xml:space="preserve"> OUTROS ATIVOS</t>
  </si>
  <si>
    <t xml:space="preserve">  IMOBILIZADO</t>
  </si>
  <si>
    <t xml:space="preserve"> DEPÓSITOS E DEMAIS INSTRUMENTOS FINANCEIROS</t>
  </si>
  <si>
    <t xml:space="preserve">  Depósitos</t>
  </si>
  <si>
    <t xml:space="preserve">  Captações no Mercado Aberto</t>
  </si>
  <si>
    <t xml:space="preserve">  Recursos de Aceites e Emissão de Títulos</t>
  </si>
  <si>
    <t xml:space="preserve">  Obrigações por Operações Vinculadas a Cessão</t>
  </si>
  <si>
    <t xml:space="preserve">  Dívidas Subordinadas</t>
  </si>
  <si>
    <t xml:space="preserve">  Instrumentos de Dívida Elegíveis a Capital</t>
  </si>
  <si>
    <t xml:space="preserve"> PASSIVOS FISCAIS</t>
  </si>
  <si>
    <t xml:space="preserve">  Provisão para Outros Passivos</t>
  </si>
  <si>
    <t xml:space="preserve"> PROVISÕES</t>
  </si>
  <si>
    <t xml:space="preserve"> OUTROS PASSIVOS</t>
  </si>
  <si>
    <t xml:space="preserve">  Capital Social</t>
  </si>
  <si>
    <t xml:space="preserve">  Reservas de Capital</t>
  </si>
  <si>
    <t xml:space="preserve">  Reservas de Reavaliação</t>
  </si>
  <si>
    <t xml:space="preserve">  Reservas de Lucros</t>
  </si>
  <si>
    <t xml:space="preserve">  Outros Resultados Abrangentes</t>
  </si>
  <si>
    <t xml:space="preserve">  Lucros Acumulados</t>
  </si>
  <si>
    <t xml:space="preserve">  Participação dos Não Controladores</t>
  </si>
  <si>
    <t>PARTICIPAÇÃO DOS NÃO CONTROLADORES</t>
  </si>
  <si>
    <t xml:space="preserve">RESULTADO DA INTERMEDIAÇÃO FINANCEIRA </t>
  </si>
  <si>
    <t>JCP distribuído por ação ON (R$)</t>
  </si>
  <si>
    <t>JCP distribuído por ação PN (R$)</t>
  </si>
  <si>
    <t xml:space="preserve">  Vinculados ao Banco Central</t>
  </si>
  <si>
    <t xml:space="preserve">  Obrigações Vinculadas</t>
  </si>
  <si>
    <t xml:space="preserve">  Ativos Não Financeiros Mantidos para Venda</t>
  </si>
  <si>
    <t xml:space="preserve"> DISPONIBILIDADES</t>
  </si>
  <si>
    <t xml:space="preserve">  Créditos Vinculados - SFH - Sistema Financeiro da Habitação</t>
  </si>
  <si>
    <t xml:space="preserve">   (Depreciação Acumulada)</t>
  </si>
  <si>
    <t xml:space="preserve">  Outros Depósitos</t>
  </si>
  <si>
    <t>Notas Explicativas</t>
  </si>
  <si>
    <t>DRE Contábil (Trimestral)</t>
  </si>
  <si>
    <t>- Outros Depósitos</t>
  </si>
  <si>
    <t>n) Valor requerido de adicional de capital principal (n = d x fator "F" de cada período)</t>
  </si>
  <si>
    <t xml:space="preserve">  (Ações em Tesouraria)</t>
  </si>
  <si>
    <t>Empréstimo FGTS</t>
  </si>
  <si>
    <t xml:space="preserve">   Imóveis para Renda</t>
  </si>
  <si>
    <t>Indústria</t>
  </si>
  <si>
    <t>Comércio</t>
  </si>
  <si>
    <t>Serviços</t>
  </si>
  <si>
    <t xml:space="preserve"> Reversões / (Despesas) de Provisões</t>
  </si>
  <si>
    <t xml:space="preserve">  (Provisão para Desvalorizações)</t>
  </si>
  <si>
    <t xml:space="preserve">  Material em Estoque</t>
  </si>
  <si>
    <t xml:space="preserve"> ATIVOS FISCAIS</t>
  </si>
  <si>
    <t xml:space="preserve">  Correntes</t>
  </si>
  <si>
    <t xml:space="preserve">  Diferidos</t>
  </si>
  <si>
    <t>Total de Dividendo distribuído / provisionado - Valor (R$ Milhões)</t>
  </si>
  <si>
    <t>Dividendo distribuído / provsionado por ação ON (R$)</t>
  </si>
  <si>
    <t>Dividendo distribuído / provsionado por ação PN (R$)</t>
  </si>
  <si>
    <t>PROVISÃO PARA PERDAS ESPERADAS ASSOCIADAS AO RISCO DE CRÉDITO</t>
  </si>
  <si>
    <t xml:space="preserve">  (Provisão para Perdas Esperadas Associadas ao Risco de Crédito)</t>
  </si>
  <si>
    <t>Total de JCP distribuído / provisionado - Valor Bruto (R$ Milhões)</t>
  </si>
  <si>
    <t>Total de JCP distribuído / provisionado - Valor Líquido (R$ Milhões)</t>
  </si>
  <si>
    <t xml:space="preserve">  Vinculados a Compromissos de Recompra</t>
  </si>
  <si>
    <t> 0,169773</t>
  </si>
  <si>
    <r>
      <t>Captação (</t>
    </r>
    <r>
      <rPr>
        <b/>
        <sz val="10"/>
        <color rgb="FFFF0000"/>
        <rFont val="Roboto Light"/>
      </rPr>
      <t>Consolidado</t>
    </r>
    <r>
      <rPr>
        <b/>
        <sz val="10"/>
        <color theme="1"/>
        <rFont val="Roboto Light"/>
      </rPr>
      <t>)</t>
    </r>
  </si>
  <si>
    <r>
      <t xml:space="preserve">Setor Econômico - </t>
    </r>
    <r>
      <rPr>
        <b/>
        <sz val="10"/>
        <color rgb="FFFF0000"/>
        <rFont val="Roboto Light"/>
      </rPr>
      <t>Consolidado</t>
    </r>
  </si>
  <si>
    <r>
      <t>d.1) Risco de Crédito por Abordagem Padronizada - RWA</t>
    </r>
    <r>
      <rPr>
        <vertAlign val="subscript"/>
        <sz val="10"/>
        <color rgb="FF000000"/>
        <rFont val="Roboto Light"/>
      </rPr>
      <t>cpad</t>
    </r>
  </si>
  <si>
    <r>
      <t>d.2) Risco de Mercado - RWA</t>
    </r>
    <r>
      <rPr>
        <vertAlign val="subscript"/>
        <sz val="10"/>
        <color rgb="FF000000"/>
        <rFont val="Roboto Light"/>
      </rPr>
      <t>mpad</t>
    </r>
  </si>
  <si>
    <r>
      <t>d.3) Risco Operacional por Abordagem Padronizada - RWA</t>
    </r>
    <r>
      <rPr>
        <vertAlign val="subscript"/>
        <sz val="10"/>
        <color rgb="FF000000"/>
        <rFont val="Roboto Light"/>
      </rPr>
      <t>opad</t>
    </r>
  </si>
  <si>
    <r>
      <t>k) Valor Correspondente ao R</t>
    </r>
    <r>
      <rPr>
        <b/>
        <vertAlign val="subscript"/>
        <sz val="10"/>
        <color rgb="FF000000"/>
        <rFont val="Roboto Light"/>
      </rPr>
      <t>ban</t>
    </r>
  </si>
  <si>
    <r>
      <t>l) Patrimônio de Referência Mínimo Requerido para o Rwa e para R</t>
    </r>
    <r>
      <rPr>
        <b/>
        <vertAlign val="subscript"/>
        <sz val="10"/>
        <color rgb="FF000000"/>
        <rFont val="Roboto Light"/>
      </rPr>
      <t>ban</t>
    </r>
    <r>
      <rPr>
        <b/>
        <sz val="10"/>
        <color rgb="FF000000"/>
        <rFont val="Roboto Light"/>
      </rPr>
      <t xml:space="preserve"> (l = e + k)</t>
    </r>
  </si>
  <si>
    <r>
      <t>m) Margem sobre o PR Considerando a R</t>
    </r>
    <r>
      <rPr>
        <vertAlign val="subscript"/>
        <sz val="10"/>
        <color rgb="FF000000"/>
        <rFont val="Roboto Light"/>
      </rPr>
      <t xml:space="preserve">ban </t>
    </r>
    <r>
      <rPr>
        <sz val="10"/>
        <color rgb="FF000000"/>
        <rFont val="Roboto Light"/>
      </rPr>
      <t>(m = a - l)</t>
    </r>
  </si>
  <si>
    <r>
      <t>o) Índice de Basileia</t>
    </r>
    <r>
      <rPr>
        <b/>
        <vertAlign val="superscript"/>
        <sz val="10"/>
        <color rgb="FF000000"/>
        <rFont val="Roboto Light"/>
      </rPr>
      <t xml:space="preserve"> </t>
    </r>
    <r>
      <rPr>
        <b/>
        <sz val="10"/>
        <color rgb="FF000000"/>
        <rFont val="Roboto Light"/>
      </rPr>
      <t>(o = a/d x 100)</t>
    </r>
  </si>
  <si>
    <r>
      <t>DRE Contábil (</t>
    </r>
    <r>
      <rPr>
        <b/>
        <sz val="10"/>
        <color rgb="FFFF0000"/>
        <rFont val="Roboto Light"/>
      </rPr>
      <t>Consolidado</t>
    </r>
    <r>
      <rPr>
        <b/>
        <sz val="10"/>
        <color theme="1"/>
        <rFont val="Roboto Light"/>
      </rPr>
      <t>)</t>
    </r>
  </si>
  <si>
    <r>
      <t xml:space="preserve">Balanço Patrimonial </t>
    </r>
    <r>
      <rPr>
        <b/>
        <sz val="10"/>
        <color rgb="FFFF0000"/>
        <rFont val="Roboto Light"/>
      </rPr>
      <t>Consolidado</t>
    </r>
  </si>
  <si>
    <t xml:space="preserve">  Operações de Crédito e Outros Créditos</t>
  </si>
  <si>
    <t xml:space="preserve">  Outros Ativos Financeiros</t>
  </si>
  <si>
    <t xml:space="preserve"> OUTROS VALORES E BENS</t>
  </si>
  <si>
    <t xml:space="preserve">   Imobilizado de Uso</t>
  </si>
  <si>
    <t xml:space="preserve">  Outros Passivos Financeiros</t>
  </si>
  <si>
    <t>Banco Mercantil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</si>
</sst>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(* #,##0.00_);_(* \(#,##0.00\);_(* &quot;-&quot;??_);_(@_)"/>
    <numFmt numFmtId="165" formatCode="_-* #,##0.0_-;\-* #,##0.0_-;_-* &quot;-&quot;??_-;_-@_-"/>
    <numFmt numFmtId="166" formatCode="_-* #,##0_-;\-* #,##0_-;_-* &quot;-&quot;??_-;_-@_-"/>
    <numFmt numFmtId="167" formatCode="_-* #,##0.0_-;\-* #,##0.0_-;_-* &quot;-&quot;?_-;_-@_-"/>
    <numFmt numFmtId="168" formatCode="_-* #,##0.000_-;\-* #,##0.000_-;_-* &quot;-&quot;??_-;_-@_-"/>
    <numFmt numFmtId="169" formatCode="_(* #,##0_);_(* \(#,##0\);_(* &quot;-&quot;??_);_(@_)"/>
    <numFmt numFmtId="170" formatCode="_-* #,##0.000000_-;\-* #,##0.000000_-;_-* &quot;-&quot;??_-;_-@_-"/>
    <numFmt numFmtId="171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theme="1"/>
      <name val="Roboto Light"/>
    </font>
    <font>
      <sz val="11"/>
      <color theme="1"/>
      <name val="Roboto Light"/>
    </font>
    <font>
      <sz val="10"/>
      <color theme="1"/>
      <name val="Roboto Light"/>
    </font>
    <font>
      <b/>
      <sz val="11"/>
      <color rgb="FF1D3668"/>
      <name val="Roboto Light"/>
    </font>
    <font>
      <u/>
      <sz val="10"/>
      <color theme="10"/>
      <name val="Roboto Light"/>
    </font>
    <font>
      <b/>
      <sz val="10"/>
      <color rgb="FFFF0000"/>
      <name val="Roboto Light"/>
    </font>
    <font>
      <sz val="10"/>
      <name val="Roboto Light"/>
    </font>
    <font>
      <sz val="11"/>
      <color rgb="FF1D3668"/>
      <name val="Roboto Light"/>
    </font>
    <font>
      <b/>
      <sz val="10"/>
      <color theme="1" tint="0.34998626667073579"/>
      <name val="Roboto Light"/>
    </font>
    <font>
      <sz val="10"/>
      <color rgb="FF000000"/>
      <name val="Roboto Light"/>
    </font>
    <font>
      <b/>
      <sz val="10"/>
      <color rgb="FF000000"/>
      <name val="Roboto Light"/>
    </font>
    <font>
      <vertAlign val="subscript"/>
      <sz val="10"/>
      <color rgb="FF000000"/>
      <name val="Roboto Light"/>
    </font>
    <font>
      <b/>
      <vertAlign val="subscript"/>
      <sz val="10"/>
      <color rgb="FF000000"/>
      <name val="Roboto Light"/>
    </font>
    <font>
      <b/>
      <vertAlign val="superscript"/>
      <sz val="10"/>
      <color rgb="FF000000"/>
      <name val="Roboto Light"/>
    </font>
    <font>
      <b/>
      <sz val="10"/>
      <name val="Roboto Light"/>
    </font>
    <font>
      <sz val="10"/>
      <color rgb="FFFF0000"/>
      <name val="Roboto Light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</cellStyleXfs>
  <cellXfs count="185">
    <xf numFmtId="0" fontId="0" fillId="0" borderId="0" xfId="0"/>
    <xf numFmtId="0" fontId="3" fillId="0" borderId="0" xfId="0" applyFont="1"/>
    <xf numFmtId="0" fontId="2" fillId="0" borderId="0" xfId="0" applyFont="1"/>
    <xf numFmtId="0" fontId="2" fillId="2" borderId="0" xfId="0" applyFont="1" applyFill="1"/>
    <xf numFmtId="0" fontId="2" fillId="0" borderId="0" xfId="0" applyFont="1" applyFill="1"/>
    <xf numFmtId="0" fontId="0" fillId="0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4" fillId="0" borderId="0" xfId="0" applyFont="1" applyBorder="1"/>
    <xf numFmtId="0" fontId="6" fillId="0" borderId="0" xfId="3" applyAlignment="1">
      <alignment horizontal="center"/>
    </xf>
    <xf numFmtId="0" fontId="2" fillId="2" borderId="0" xfId="0" applyFont="1" applyFill="1" applyAlignment="1">
      <alignment horizontal="center"/>
    </xf>
    <xf numFmtId="43" fontId="1" fillId="0" borderId="0" xfId="1" applyFont="1" applyFill="1" applyAlignment="1">
      <alignment horizontal="right"/>
    </xf>
    <xf numFmtId="43" fontId="2" fillId="0" borderId="0" xfId="1" applyFont="1" applyFill="1" applyAlignment="1">
      <alignment horizontal="right"/>
    </xf>
    <xf numFmtId="165" fontId="1" fillId="0" borderId="0" xfId="1" applyNumberFormat="1" applyFont="1" applyFill="1" applyAlignment="1">
      <alignment horizontal="right"/>
    </xf>
    <xf numFmtId="0" fontId="2" fillId="0" borderId="0" xfId="0" applyFont="1" applyAlignment="1">
      <alignment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165" fontId="0" fillId="0" borderId="0" xfId="1" applyNumberFormat="1" applyFont="1" applyFill="1" applyAlignment="1">
      <alignment horizontal="right"/>
    </xf>
    <xf numFmtId="165" fontId="0" fillId="0" borderId="0" xfId="1" applyNumberFormat="1" applyFont="1" applyAlignment="1">
      <alignment horizontal="right"/>
    </xf>
    <xf numFmtId="167" fontId="2" fillId="0" borderId="0" xfId="0" applyNumberFormat="1" applyFont="1" applyFill="1" applyAlignment="1">
      <alignment horizontal="center"/>
    </xf>
    <xf numFmtId="43" fontId="0" fillId="0" borderId="0" xfId="1" applyFont="1" applyAlignment="1">
      <alignment horizontal="right"/>
    </xf>
    <xf numFmtId="43" fontId="0" fillId="0" borderId="0" xfId="1" applyFont="1" applyFill="1" applyAlignment="1">
      <alignment horizontal="right"/>
    </xf>
    <xf numFmtId="165" fontId="1" fillId="2" borderId="0" xfId="1" applyNumberFormat="1" applyFont="1" applyFill="1" applyAlignment="1">
      <alignment horizontal="right"/>
    </xf>
    <xf numFmtId="165" fontId="0" fillId="2" borderId="0" xfId="1" applyNumberFormat="1" applyFont="1" applyFill="1" applyAlignment="1">
      <alignment horizontal="right"/>
    </xf>
    <xf numFmtId="43" fontId="1" fillId="0" borderId="0" xfId="1" applyNumberFormat="1" applyFont="1" applyFill="1" applyAlignment="1">
      <alignment horizontal="right"/>
    </xf>
    <xf numFmtId="0" fontId="2" fillId="3" borderId="1" xfId="0" applyFont="1" applyFill="1" applyBorder="1"/>
    <xf numFmtId="43" fontId="2" fillId="3" borderId="1" xfId="1" applyFont="1" applyFill="1" applyBorder="1" applyAlignment="1">
      <alignment horizontal="right"/>
    </xf>
    <xf numFmtId="43" fontId="0" fillId="0" borderId="0" xfId="1" applyNumberFormat="1" applyFont="1" applyAlignment="1">
      <alignment horizontal="right"/>
    </xf>
    <xf numFmtId="43" fontId="1" fillId="0" borderId="0" xfId="1" applyFont="1" applyFill="1" applyBorder="1" applyAlignment="1">
      <alignment horizontal="right"/>
    </xf>
    <xf numFmtId="0" fontId="2" fillId="0" borderId="0" xfId="0" applyFont="1" applyFill="1" applyBorder="1"/>
    <xf numFmtId="43" fontId="2" fillId="0" borderId="0" xfId="1" applyFont="1" applyFill="1" applyBorder="1" applyAlignment="1">
      <alignment horizontal="right"/>
    </xf>
    <xf numFmtId="0" fontId="2" fillId="3" borderId="2" xfId="0" applyFont="1" applyFill="1" applyBorder="1"/>
    <xf numFmtId="43" fontId="2" fillId="3" borderId="2" xfId="1" applyFont="1" applyFill="1" applyBorder="1" applyAlignment="1">
      <alignment horizontal="right"/>
    </xf>
    <xf numFmtId="43" fontId="2" fillId="3" borderId="2" xfId="1" applyNumberFormat="1" applyFont="1" applyFill="1" applyBorder="1" applyAlignment="1">
      <alignment horizontal="right"/>
    </xf>
    <xf numFmtId="165" fontId="2" fillId="3" borderId="2" xfId="1" applyNumberFormat="1" applyFont="1" applyFill="1" applyBorder="1" applyAlignment="1">
      <alignment horizontal="right"/>
    </xf>
    <xf numFmtId="43" fontId="2" fillId="0" borderId="0" xfId="1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indent="1"/>
    </xf>
    <xf numFmtId="43" fontId="2" fillId="5" borderId="0" xfId="1" applyFont="1" applyFill="1" applyAlignment="1">
      <alignment horizontal="right"/>
    </xf>
    <xf numFmtId="43" fontId="1" fillId="5" borderId="0" xfId="1" applyFont="1" applyFill="1" applyAlignment="1">
      <alignment horizontal="right"/>
    </xf>
    <xf numFmtId="43" fontId="2" fillId="0" borderId="0" xfId="0" applyNumberFormat="1" applyFont="1" applyFill="1"/>
    <xf numFmtId="0" fontId="2" fillId="2" borderId="0" xfId="0" applyFont="1" applyFill="1" applyBorder="1" applyAlignment="1">
      <alignment horizontal="center"/>
    </xf>
    <xf numFmtId="168" fontId="1" fillId="0" borderId="0" xfId="1" applyNumberFormat="1" applyFont="1" applyFill="1" applyBorder="1" applyAlignment="1">
      <alignment horizontal="right"/>
    </xf>
    <xf numFmtId="165" fontId="1" fillId="2" borderId="0" xfId="1" applyNumberFormat="1" applyFont="1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43" fontId="0" fillId="0" borderId="0" xfId="1" applyFont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43" fontId="2" fillId="0" borderId="2" xfId="1" applyFont="1" applyFill="1" applyBorder="1" applyAlignment="1">
      <alignment horizontal="right"/>
    </xf>
    <xf numFmtId="43" fontId="2" fillId="0" borderId="0" xfId="1" quotePrefix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0" fontId="0" fillId="0" borderId="0" xfId="0" applyFont="1"/>
    <xf numFmtId="166" fontId="10" fillId="0" borderId="0" xfId="1" applyNumberFormat="1" applyFont="1" applyFill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/>
    <xf numFmtId="0" fontId="14" fillId="0" borderId="0" xfId="3" applyFont="1" applyAlignment="1">
      <alignment horizontal="center"/>
    </xf>
    <xf numFmtId="0" fontId="12" fillId="0" borderId="0" xfId="0" applyFont="1" applyFill="1"/>
    <xf numFmtId="0" fontId="10" fillId="2" borderId="0" xfId="0" applyFont="1" applyFill="1" applyBorder="1"/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2" fillId="2" borderId="0" xfId="0" applyFont="1" applyFill="1"/>
    <xf numFmtId="0" fontId="12" fillId="0" borderId="0" xfId="0" applyFont="1" applyFill="1" applyAlignment="1">
      <alignment vertical="center"/>
    </xf>
    <xf numFmtId="166" fontId="12" fillId="0" borderId="0" xfId="1" applyNumberFormat="1" applyFont="1" applyFill="1"/>
    <xf numFmtId="0" fontId="16" fillId="0" borderId="0" xfId="0" applyFont="1" applyFill="1" applyAlignment="1">
      <alignment horizontal="left" indent="2"/>
    </xf>
    <xf numFmtId="166" fontId="16" fillId="0" borderId="0" xfId="1" applyNumberFormat="1" applyFont="1" applyFill="1"/>
    <xf numFmtId="0" fontId="16" fillId="0" borderId="0" xfId="0" applyFont="1" applyFill="1"/>
    <xf numFmtId="166" fontId="16" fillId="0" borderId="0" xfId="0" applyNumberFormat="1" applyFont="1" applyFill="1"/>
    <xf numFmtId="49" fontId="16" fillId="0" borderId="0" xfId="0" applyNumberFormat="1" applyFont="1" applyFill="1" applyAlignment="1">
      <alignment horizontal="left" indent="2"/>
    </xf>
    <xf numFmtId="166" fontId="12" fillId="0" borderId="0" xfId="0" applyNumberFormat="1" applyFont="1" applyFill="1"/>
    <xf numFmtId="49" fontId="12" fillId="0" borderId="0" xfId="0" applyNumberFormat="1" applyFont="1" applyFill="1"/>
    <xf numFmtId="0" fontId="12" fillId="0" borderId="0" xfId="0" quotePrefix="1" applyFont="1" applyFill="1"/>
    <xf numFmtId="0" fontId="10" fillId="8" borderId="6" xfId="0" applyFont="1" applyFill="1" applyBorder="1"/>
    <xf numFmtId="166" fontId="12" fillId="0" borderId="0" xfId="1" applyNumberFormat="1" applyFont="1"/>
    <xf numFmtId="0" fontId="10" fillId="8" borderId="1" xfId="0" applyFont="1" applyFill="1" applyBorder="1"/>
    <xf numFmtId="0" fontId="10" fillId="7" borderId="7" xfId="0" applyFont="1" applyFill="1" applyBorder="1"/>
    <xf numFmtId="166" fontId="10" fillId="9" borderId="4" xfId="1" applyNumberFormat="1" applyFont="1" applyFill="1" applyBorder="1"/>
    <xf numFmtId="166" fontId="12" fillId="0" borderId="0" xfId="0" applyNumberFormat="1" applyFont="1"/>
    <xf numFmtId="0" fontId="10" fillId="0" borderId="0" xfId="0" applyFont="1" applyFill="1"/>
    <xf numFmtId="0" fontId="11" fillId="4" borderId="0" xfId="0" applyFont="1" applyFill="1"/>
    <xf numFmtId="0" fontId="12" fillId="4" borderId="0" xfId="0" applyFont="1" applyFill="1"/>
    <xf numFmtId="0" fontId="13" fillId="4" borderId="0" xfId="0" applyFont="1" applyFill="1"/>
    <xf numFmtId="0" fontId="17" fillId="4" borderId="0" xfId="0" applyFont="1" applyFill="1"/>
    <xf numFmtId="0" fontId="18" fillId="4" borderId="0" xfId="0" applyFont="1" applyFill="1"/>
    <xf numFmtId="0" fontId="10" fillId="4" borderId="0" xfId="0" applyFont="1" applyFill="1"/>
    <xf numFmtId="0" fontId="12" fillId="4" borderId="0" xfId="0" applyFont="1" applyFill="1" applyBorder="1"/>
    <xf numFmtId="0" fontId="11" fillId="0" borderId="0" xfId="0" applyFont="1" applyBorder="1"/>
    <xf numFmtId="0" fontId="10" fillId="0" borderId="0" xfId="0" applyFont="1" applyFill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0" borderId="0" xfId="0" applyFont="1"/>
    <xf numFmtId="166" fontId="10" fillId="0" borderId="0" xfId="1" applyNumberFormat="1" applyFont="1" applyFill="1" applyBorder="1" applyAlignment="1">
      <alignment horizontal="right"/>
    </xf>
    <xf numFmtId="0" fontId="12" fillId="0" borderId="0" xfId="0" quotePrefix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left" indent="1"/>
    </xf>
    <xf numFmtId="166" fontId="12" fillId="0" borderId="0" xfId="1" applyNumberFormat="1" applyFont="1" applyFill="1" applyBorder="1" applyAlignment="1">
      <alignment horizontal="right"/>
    </xf>
    <xf numFmtId="0" fontId="12" fillId="0" borderId="0" xfId="0" applyFont="1" applyAlignment="1">
      <alignment horizontal="left" indent="1"/>
    </xf>
    <xf numFmtId="43" fontId="12" fillId="0" borderId="0" xfId="1" applyFont="1" applyFill="1" applyBorder="1" applyAlignment="1">
      <alignment horizontal="right"/>
    </xf>
    <xf numFmtId="166" fontId="16" fillId="0" borderId="0" xfId="1" applyNumberFormat="1" applyFont="1" applyFill="1" applyBorder="1" applyAlignment="1">
      <alignment horizontal="right"/>
    </xf>
    <xf numFmtId="0" fontId="10" fillId="7" borderId="6" xfId="0" applyFont="1" applyFill="1" applyBorder="1"/>
    <xf numFmtId="166" fontId="10" fillId="7" borderId="4" xfId="1" applyNumberFormat="1" applyFont="1" applyFill="1" applyBorder="1" applyAlignment="1">
      <alignment horizontal="right"/>
    </xf>
    <xf numFmtId="43" fontId="10" fillId="7" borderId="4" xfId="1" applyFont="1" applyFill="1" applyBorder="1" applyAlignment="1">
      <alignment horizontal="right"/>
    </xf>
    <xf numFmtId="43" fontId="12" fillId="0" borderId="0" xfId="1" applyFont="1" applyFill="1" applyAlignment="1">
      <alignment horizontal="right"/>
    </xf>
    <xf numFmtId="43" fontId="12" fillId="8" borderId="1" xfId="1" applyFont="1" applyFill="1" applyBorder="1" applyAlignment="1">
      <alignment horizontal="right"/>
    </xf>
    <xf numFmtId="166" fontId="12" fillId="0" borderId="0" xfId="1" applyNumberFormat="1" applyFont="1" applyFill="1" applyAlignment="1">
      <alignment horizontal="right"/>
    </xf>
    <xf numFmtId="166" fontId="12" fillId="0" borderId="0" xfId="2" applyNumberFormat="1" applyFont="1" applyFill="1" applyAlignment="1">
      <alignment horizontal="right"/>
    </xf>
    <xf numFmtId="165" fontId="12" fillId="0" borderId="0" xfId="1" applyNumberFormat="1" applyFont="1" applyFill="1" applyAlignment="1">
      <alignment horizontal="right"/>
    </xf>
    <xf numFmtId="43" fontId="12" fillId="7" borderId="4" xfId="1" applyFont="1" applyFill="1" applyBorder="1" applyAlignment="1">
      <alignment horizontal="right"/>
    </xf>
    <xf numFmtId="43" fontId="12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0" fontId="10" fillId="8" borderId="1" xfId="0" applyFont="1" applyFill="1" applyBorder="1" applyAlignment="1">
      <alignment horizontal="left"/>
    </xf>
    <xf numFmtId="0" fontId="10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43" fontId="10" fillId="0" borderId="0" xfId="1" applyFont="1" applyFill="1" applyBorder="1" applyAlignment="1">
      <alignment horizontal="right"/>
    </xf>
    <xf numFmtId="0" fontId="10" fillId="0" borderId="0" xfId="0" quotePrefix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170" fontId="12" fillId="0" borderId="0" xfId="1" applyNumberFormat="1" applyFont="1" applyFill="1" applyBorder="1" applyAlignment="1">
      <alignment horizontal="right"/>
    </xf>
    <xf numFmtId="0" fontId="12" fillId="0" borderId="0" xfId="0" applyFont="1" applyFill="1" applyBorder="1"/>
    <xf numFmtId="9" fontId="12" fillId="0" borderId="0" xfId="2" applyFont="1" applyFill="1" applyAlignment="1">
      <alignment horizontal="right"/>
    </xf>
    <xf numFmtId="0" fontId="10" fillId="2" borderId="3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justify" vertical="center" wrapText="1"/>
    </xf>
    <xf numFmtId="166" fontId="10" fillId="8" borderId="5" xfId="1" applyNumberFormat="1" applyFont="1" applyFill="1" applyBorder="1" applyAlignment="1">
      <alignment horizontal="right"/>
    </xf>
    <xf numFmtId="0" fontId="10" fillId="8" borderId="1" xfId="0" applyFont="1" applyFill="1" applyBorder="1" applyAlignment="1">
      <alignment horizontal="justify" vertical="center" wrapText="1"/>
    </xf>
    <xf numFmtId="166" fontId="10" fillId="8" borderId="1" xfId="1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justify" vertical="center" wrapText="1"/>
    </xf>
    <xf numFmtId="0" fontId="19" fillId="0" borderId="0" xfId="0" applyFont="1" applyFill="1" applyBorder="1" applyAlignment="1">
      <alignment horizontal="justify" vertical="center" wrapText="1"/>
    </xf>
    <xf numFmtId="0" fontId="20" fillId="8" borderId="1" xfId="0" applyFont="1" applyFill="1" applyBorder="1" applyAlignment="1">
      <alignment horizontal="justify" vertical="center" wrapText="1"/>
    </xf>
    <xf numFmtId="0" fontId="19" fillId="6" borderId="0" xfId="0" applyFont="1" applyFill="1" applyBorder="1" applyAlignment="1">
      <alignment horizontal="justify" vertical="center" wrapText="1"/>
    </xf>
    <xf numFmtId="0" fontId="12" fillId="6" borderId="0" xfId="0" applyFont="1" applyFill="1" applyBorder="1" applyAlignment="1">
      <alignment horizontal="justify" vertical="center" wrapText="1"/>
    </xf>
    <xf numFmtId="0" fontId="20" fillId="0" borderId="1" xfId="0" applyFont="1" applyFill="1" applyBorder="1" applyAlignment="1">
      <alignment horizontal="justify" vertical="center" wrapText="1"/>
    </xf>
    <xf numFmtId="166" fontId="10" fillId="0" borderId="1" xfId="1" applyNumberFormat="1" applyFont="1" applyFill="1" applyBorder="1" applyAlignment="1">
      <alignment horizontal="right"/>
    </xf>
    <xf numFmtId="166" fontId="10" fillId="8" borderId="1" xfId="2" applyNumberFormat="1" applyFont="1" applyFill="1" applyBorder="1" applyAlignment="1">
      <alignment horizontal="right"/>
    </xf>
    <xf numFmtId="0" fontId="20" fillId="2" borderId="0" xfId="0" applyFont="1" applyFill="1" applyBorder="1" applyAlignment="1">
      <alignment horizontal="justify" vertical="center" wrapText="1"/>
    </xf>
    <xf numFmtId="10" fontId="10" fillId="2" borderId="0" xfId="2" applyNumberFormat="1" applyFont="1" applyFill="1" applyAlignment="1">
      <alignment horizontal="right"/>
    </xf>
    <xf numFmtId="10" fontId="10" fillId="8" borderId="1" xfId="2" applyNumberFormat="1" applyFont="1" applyFill="1" applyBorder="1" applyAlignment="1">
      <alignment horizontal="right"/>
    </xf>
    <xf numFmtId="0" fontId="10" fillId="7" borderId="0" xfId="0" applyFont="1" applyFill="1" applyBorder="1"/>
    <xf numFmtId="0" fontId="10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vertical="center"/>
    </xf>
    <xf numFmtId="166" fontId="10" fillId="2" borderId="1" xfId="0" applyNumberFormat="1" applyFont="1" applyFill="1" applyBorder="1"/>
    <xf numFmtId="169" fontId="16" fillId="5" borderId="0" xfId="1" applyNumberFormat="1" applyFont="1" applyFill="1" applyBorder="1" applyProtection="1"/>
    <xf numFmtId="169" fontId="24" fillId="2" borderId="1" xfId="1" applyNumberFormat="1" applyFont="1" applyFill="1" applyBorder="1" applyProtection="1"/>
    <xf numFmtId="169" fontId="24" fillId="0" borderId="0" xfId="1" applyNumberFormat="1" applyFont="1" applyFill="1" applyBorder="1" applyProtection="1"/>
    <xf numFmtId="0" fontId="10" fillId="7" borderId="1" xfId="0" applyFont="1" applyFill="1" applyBorder="1"/>
    <xf numFmtId="0" fontId="16" fillId="0" borderId="0" xfId="0" applyFont="1" applyFill="1" applyAlignment="1">
      <alignment horizontal="right"/>
    </xf>
    <xf numFmtId="0" fontId="25" fillId="0" borderId="8" xfId="0" applyFont="1" applyBorder="1" applyAlignment="1"/>
    <xf numFmtId="0" fontId="25" fillId="0" borderId="0" xfId="0" applyFont="1" applyAlignment="1">
      <alignment horizontal="left"/>
    </xf>
    <xf numFmtId="169" fontId="16" fillId="0" borderId="0" xfId="1" applyNumberFormat="1" applyFont="1" applyFill="1" applyBorder="1" applyProtection="1"/>
    <xf numFmtId="169" fontId="12" fillId="0" borderId="0" xfId="0" applyNumberFormat="1" applyFont="1"/>
    <xf numFmtId="0" fontId="10" fillId="9" borderId="0" xfId="0" applyFont="1" applyFill="1" applyBorder="1"/>
    <xf numFmtId="0" fontId="12" fillId="0" borderId="0" xfId="0" applyFont="1" applyFill="1" applyBorder="1" applyAlignment="1">
      <alignment horizontal="left"/>
    </xf>
    <xf numFmtId="166" fontId="10" fillId="8" borderId="1" xfId="1" applyNumberFormat="1" applyFont="1" applyFill="1" applyBorder="1"/>
    <xf numFmtId="166" fontId="10" fillId="8" borderId="1" xfId="0" applyNumberFormat="1" applyFont="1" applyFill="1" applyBorder="1"/>
    <xf numFmtId="166" fontId="10" fillId="0" borderId="0" xfId="1" applyNumberFormat="1" applyFont="1"/>
    <xf numFmtId="0" fontId="12" fillId="0" borderId="0" xfId="0" applyFont="1" applyFill="1" applyBorder="1" applyAlignment="1">
      <alignment horizontal="left" indent="1"/>
    </xf>
    <xf numFmtId="169" fontId="24" fillId="5" borderId="0" xfId="1" applyNumberFormat="1" applyFont="1" applyFill="1" applyBorder="1" applyProtection="1"/>
    <xf numFmtId="169" fontId="10" fillId="8" borderId="1" xfId="0" applyNumberFormat="1" applyFont="1" applyFill="1" applyBorder="1"/>
    <xf numFmtId="169" fontId="10" fillId="0" borderId="0" xfId="0" applyNumberFormat="1" applyFont="1" applyFill="1" applyBorder="1"/>
    <xf numFmtId="169" fontId="12" fillId="0" borderId="0" xfId="0" applyNumberFormat="1" applyFont="1" applyFill="1" applyBorder="1"/>
    <xf numFmtId="0" fontId="10" fillId="8" borderId="0" xfId="0" applyFont="1" applyFill="1" applyBorder="1" applyAlignment="1">
      <alignment horizontal="left"/>
    </xf>
    <xf numFmtId="169" fontId="10" fillId="8" borderId="0" xfId="0" applyNumberFormat="1" applyFont="1" applyFill="1"/>
    <xf numFmtId="0" fontId="10" fillId="2" borderId="1" xfId="0" applyFont="1" applyFill="1" applyBorder="1" applyAlignment="1">
      <alignment horizontal="left"/>
    </xf>
    <xf numFmtId="0" fontId="10" fillId="9" borderId="6" xfId="0" applyFont="1" applyFill="1" applyBorder="1" applyAlignment="1">
      <alignment horizontal="left"/>
    </xf>
    <xf numFmtId="169" fontId="10" fillId="9" borderId="4" xfId="0" applyNumberFormat="1" applyFont="1" applyFill="1" applyBorder="1"/>
    <xf numFmtId="170" fontId="12" fillId="0" borderId="0" xfId="1" applyNumberFormat="1" applyFont="1" applyFill="1" applyAlignment="1">
      <alignment horizontal="right"/>
    </xf>
    <xf numFmtId="166" fontId="10" fillId="0" borderId="0" xfId="0" applyNumberFormat="1" applyFont="1" applyFill="1" applyBorder="1"/>
    <xf numFmtId="3" fontId="12" fillId="0" borderId="0" xfId="0" applyNumberFormat="1" applyFont="1" applyFill="1" applyBorder="1" applyAlignment="1">
      <alignment horizontal="right"/>
    </xf>
    <xf numFmtId="166" fontId="16" fillId="0" borderId="0" xfId="1" applyNumberFormat="1" applyFont="1" applyFill="1" applyAlignment="1">
      <alignment horizontal="right"/>
    </xf>
    <xf numFmtId="171" fontId="10" fillId="2" borderId="0" xfId="2" applyNumberFormat="1" applyFont="1" applyFill="1" applyAlignment="1">
      <alignment horizontal="right"/>
    </xf>
    <xf numFmtId="171" fontId="10" fillId="8" borderId="1" xfId="2" applyNumberFormat="1" applyFont="1" applyFill="1" applyBorder="1" applyAlignment="1">
      <alignment horizontal="right"/>
    </xf>
    <xf numFmtId="169" fontId="16" fillId="0" borderId="0" xfId="1" applyNumberFormat="1" applyFont="1" applyFill="1" applyBorder="1"/>
    <xf numFmtId="169" fontId="24" fillId="0" borderId="0" xfId="1" applyNumberFormat="1" applyFont="1" applyFill="1" applyBorder="1"/>
    <xf numFmtId="3" fontId="12" fillId="0" borderId="0" xfId="0" applyNumberFormat="1" applyFont="1"/>
    <xf numFmtId="166" fontId="0" fillId="0" borderId="0" xfId="1" applyNumberFormat="1" applyFont="1" applyFill="1"/>
    <xf numFmtId="9" fontId="10" fillId="2" borderId="0" xfId="2" applyNumberFormat="1" applyFont="1" applyFill="1" applyAlignment="1">
      <alignment horizontal="right"/>
    </xf>
    <xf numFmtId="9" fontId="10" fillId="8" borderId="1" xfId="2" applyNumberFormat="1" applyFont="1" applyFill="1" applyBorder="1" applyAlignment="1">
      <alignment horizontal="right"/>
    </xf>
    <xf numFmtId="0" fontId="13" fillId="4" borderId="1" xfId="0" applyFont="1" applyFill="1" applyBorder="1" applyAlignment="1">
      <alignment horizontal="left"/>
    </xf>
    <xf numFmtId="0" fontId="7" fillId="0" borderId="0" xfId="0" applyFont="1" applyFill="1" applyAlignment="1">
      <alignment horizontal="left" wrapText="1"/>
    </xf>
  </cellXfs>
  <cellStyles count="6">
    <cellStyle name="Hiperlink" xfId="3" builtinId="8"/>
    <cellStyle name="Normal" xfId="0" builtinId="0"/>
    <cellStyle name="Normal 2" xfId="5"/>
    <cellStyle name="Porcentagem" xfId="2" builtinId="5"/>
    <cellStyle name="Separador de milhares 2" xfId="4"/>
    <cellStyle name="Vírgula" xfId="1" builtinId="3"/>
  </cellStyles>
  <dxfs count="0"/>
  <tableStyles count="0" defaultTableStyle="TableStyleMedium2" defaultPivotStyle="PivotStyleLight16"/>
  <colors>
    <mruColors>
      <color rgb="FF0000FF"/>
      <color rgb="FF00FF00"/>
      <color rgb="FF1D3668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haredStrings" Target="sharedStrings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7</xdr:col>
      <xdr:colOff>240457</xdr:colOff>
      <xdr:row>6</xdr:row>
      <xdr:rowOff>66208</xdr:rowOff>
    </xdr:to>
    <xdr:grpSp>
      <xdr:nvGrpSpPr>
        <xdr:cNvPr id="4" name="Gráfico 44">
          <a:extLst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C25C32AD-230B-6C2C-9A6A-9BB7C572D789}"/>
            </a:ext>
          </a:extLst>
        </xdr:cNvPr>
        <xdr:cNvGrpSpPr>
          <a:grpSpLocks noChangeAspect="1"/>
        </xdr:cNvGrpSpPr>
      </xdr:nvGrpSpPr>
      <xdr:grpSpPr>
        <a:xfrm>
          <a:off x="657225" y="628650"/>
          <a:ext cx="3650407" cy="637708"/>
          <a:chOff x="4270369" y="3018290"/>
          <a:chExt cx="3650407" cy="637708"/>
        </a:xfrm>
        <a:solidFill>
          <a:srgbClr val="0000FF"/>
        </a:solidFill>
      </xdr:grpSpPr>
      <xdr:sp macro="" textlink="">
        <xdr:nvSpPr>
          <xdr:cNvPr id="5" name="Forma Livre 46">
            <a:extLst>
              <a:ext uri="{FF2B5EF4-FFF2-40B4-BE49-F238E27FC236}">
  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284FB671-34F8-576A-3E31-DBE37A019148}"/>
              </a:ext>
            </a:extLst>
          </xdr:cNvPr>
          <xdr:cNvSpPr/>
        </xdr:nvSpPr>
        <xdr:spPr>
          <a:xfrm>
            <a:off x="6204252" y="3227212"/>
            <a:ext cx="418194" cy="427549"/>
          </a:xfrm>
          <a:custGeom>
            <a:avLst/>
            <a:gdLst>
              <a:gd name="connsiteX0" fmla="*/ 276331 w 418194"/>
              <a:gd name="connsiteY0" fmla="*/ 271523 h 427549"/>
              <a:gd name="connsiteX1" fmla="*/ 276331 w 418194"/>
              <a:gd name="connsiteY1" fmla="*/ 279134 h 427549"/>
              <a:gd name="connsiteX2" fmla="*/ 271000 w 418194"/>
              <a:gd name="connsiteY2" fmla="*/ 281323 h 427549"/>
              <a:gd name="connsiteX3" fmla="*/ 147248 w 418194"/>
              <a:gd name="connsiteY3" fmla="*/ 281323 h 427549"/>
              <a:gd name="connsiteX4" fmla="*/ 142488 w 418194"/>
              <a:gd name="connsiteY4" fmla="*/ 279420 h 427549"/>
              <a:gd name="connsiteX5" fmla="*/ 141631 w 418194"/>
              <a:gd name="connsiteY5" fmla="*/ 271523 h 427549"/>
              <a:gd name="connsiteX6" fmla="*/ 203793 w 418194"/>
              <a:gd name="connsiteY6" fmla="*/ 101798 h 427549"/>
              <a:gd name="connsiteX7" fmla="*/ 208743 w 418194"/>
              <a:gd name="connsiteY7" fmla="*/ 96755 h 427549"/>
              <a:gd name="connsiteX8" fmla="*/ 213122 w 418194"/>
              <a:gd name="connsiteY8" fmla="*/ 101798 h 427549"/>
              <a:gd name="connsiteX9" fmla="*/ 276331 w 418194"/>
              <a:gd name="connsiteY9" fmla="*/ 271523 h 427549"/>
              <a:gd name="connsiteX10" fmla="*/ 407223 w 418194"/>
              <a:gd name="connsiteY10" fmla="*/ 379695 h 427549"/>
              <a:gd name="connsiteX11" fmla="*/ 268811 w 418194"/>
              <a:gd name="connsiteY11" fmla="*/ 19694 h 427549"/>
              <a:gd name="connsiteX12" fmla="*/ 241014 w 418194"/>
              <a:gd name="connsiteY12" fmla="*/ 0 h 427549"/>
              <a:gd name="connsiteX13" fmla="*/ 175901 w 418194"/>
              <a:gd name="connsiteY13" fmla="*/ 0 h 427549"/>
              <a:gd name="connsiteX14" fmla="*/ 148105 w 418194"/>
              <a:gd name="connsiteY14" fmla="*/ 19884 h 427549"/>
              <a:gd name="connsiteX15" fmla="*/ 2839 w 418194"/>
              <a:gd name="connsiteY15" fmla="*/ 401862 h 427549"/>
              <a:gd name="connsiteX16" fmla="*/ 935 w 418194"/>
              <a:gd name="connsiteY16" fmla="*/ 407190 h 427549"/>
              <a:gd name="connsiteX17" fmla="*/ 15214 w 418194"/>
              <a:gd name="connsiteY17" fmla="*/ 427549 h 427549"/>
              <a:gd name="connsiteX18" fmla="*/ 71664 w 418194"/>
              <a:gd name="connsiteY18" fmla="*/ 427549 h 427549"/>
              <a:gd name="connsiteX19" fmla="*/ 74139 w 418194"/>
              <a:gd name="connsiteY19" fmla="*/ 427454 h 427549"/>
              <a:gd name="connsiteX20" fmla="*/ 98889 w 418194"/>
              <a:gd name="connsiteY20" fmla="*/ 354579 h 427549"/>
              <a:gd name="connsiteX21" fmla="*/ 113740 w 418194"/>
              <a:gd name="connsiteY21" fmla="*/ 354484 h 427549"/>
              <a:gd name="connsiteX22" fmla="*/ 305841 w 418194"/>
              <a:gd name="connsiteY22" fmla="*/ 354484 h 427549"/>
              <a:gd name="connsiteX23" fmla="*/ 309363 w 418194"/>
              <a:gd name="connsiteY23" fmla="*/ 354484 h 427549"/>
              <a:gd name="connsiteX24" fmla="*/ 315836 w 418194"/>
              <a:gd name="connsiteY24" fmla="*/ 354484 h 427549"/>
              <a:gd name="connsiteX25" fmla="*/ 319073 w 418194"/>
              <a:gd name="connsiteY25" fmla="*/ 354484 h 427549"/>
              <a:gd name="connsiteX26" fmla="*/ 343633 w 418194"/>
              <a:gd name="connsiteY26" fmla="*/ 424885 h 427549"/>
              <a:gd name="connsiteX27" fmla="*/ 344300 w 418194"/>
              <a:gd name="connsiteY27" fmla="*/ 427454 h 427549"/>
              <a:gd name="connsiteX28" fmla="*/ 402939 w 418194"/>
              <a:gd name="connsiteY28" fmla="*/ 427454 h 427549"/>
              <a:gd name="connsiteX29" fmla="*/ 417218 w 418194"/>
              <a:gd name="connsiteY29" fmla="*/ 406904 h 427549"/>
              <a:gd name="connsiteX30" fmla="*/ 407223 w 418194"/>
              <a:gd name="connsiteY30" fmla="*/ 379695 h 4275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</a:cxnLst>
            <a:rect l="l" t="t" r="r" b="b"/>
            <a:pathLst>
              <a:path w="418194" h="427549">
                <a:moveTo>
                  <a:pt x="276331" y="271523"/>
                </a:moveTo>
                <a:cubicBezTo>
                  <a:pt x="277473" y="274853"/>
                  <a:pt x="277473" y="277422"/>
                  <a:pt x="276331" y="279134"/>
                </a:cubicBezTo>
                <a:cubicBezTo>
                  <a:pt x="275950" y="279705"/>
                  <a:pt x="274903" y="281323"/>
                  <a:pt x="271000" y="281323"/>
                </a:cubicBezTo>
                <a:lnTo>
                  <a:pt x="147248" y="281323"/>
                </a:lnTo>
                <a:cubicBezTo>
                  <a:pt x="145058" y="281323"/>
                  <a:pt x="143440" y="280656"/>
                  <a:pt x="142488" y="279420"/>
                </a:cubicBezTo>
                <a:cubicBezTo>
                  <a:pt x="141727" y="278373"/>
                  <a:pt x="140775" y="276375"/>
                  <a:pt x="141631" y="271523"/>
                </a:cubicBezTo>
                <a:lnTo>
                  <a:pt x="203793" y="101798"/>
                </a:lnTo>
                <a:cubicBezTo>
                  <a:pt x="204935" y="98658"/>
                  <a:pt x="206744" y="96755"/>
                  <a:pt x="208743" y="96755"/>
                </a:cubicBezTo>
                <a:cubicBezTo>
                  <a:pt x="210266" y="96755"/>
                  <a:pt x="212170" y="97897"/>
                  <a:pt x="213122" y="101798"/>
                </a:cubicBezTo>
                <a:lnTo>
                  <a:pt x="276331" y="271523"/>
                </a:lnTo>
                <a:close/>
                <a:moveTo>
                  <a:pt x="407223" y="379695"/>
                </a:moveTo>
                <a:lnTo>
                  <a:pt x="268811" y="19694"/>
                </a:lnTo>
                <a:cubicBezTo>
                  <a:pt x="264241" y="7706"/>
                  <a:pt x="253294" y="0"/>
                  <a:pt x="241014" y="0"/>
                </a:cubicBezTo>
                <a:lnTo>
                  <a:pt x="175901" y="0"/>
                </a:lnTo>
                <a:cubicBezTo>
                  <a:pt x="163621" y="0"/>
                  <a:pt x="152674" y="7801"/>
                  <a:pt x="148105" y="19884"/>
                </a:cubicBezTo>
                <a:lnTo>
                  <a:pt x="2839" y="401862"/>
                </a:lnTo>
                <a:lnTo>
                  <a:pt x="935" y="407190"/>
                </a:lnTo>
                <a:cubicBezTo>
                  <a:pt x="-2683" y="417084"/>
                  <a:pt x="4647" y="427549"/>
                  <a:pt x="15214" y="427549"/>
                </a:cubicBezTo>
                <a:lnTo>
                  <a:pt x="71664" y="427549"/>
                </a:lnTo>
                <a:lnTo>
                  <a:pt x="74139" y="427454"/>
                </a:lnTo>
                <a:lnTo>
                  <a:pt x="98889" y="354579"/>
                </a:lnTo>
                <a:lnTo>
                  <a:pt x="113740" y="354484"/>
                </a:lnTo>
                <a:lnTo>
                  <a:pt x="305841" y="354484"/>
                </a:lnTo>
                <a:lnTo>
                  <a:pt x="309363" y="354484"/>
                </a:lnTo>
                <a:lnTo>
                  <a:pt x="315836" y="354484"/>
                </a:lnTo>
                <a:lnTo>
                  <a:pt x="319073" y="354484"/>
                </a:lnTo>
                <a:lnTo>
                  <a:pt x="343633" y="424885"/>
                </a:lnTo>
                <a:lnTo>
                  <a:pt x="344300" y="427454"/>
                </a:lnTo>
                <a:lnTo>
                  <a:pt x="402939" y="427454"/>
                </a:lnTo>
                <a:cubicBezTo>
                  <a:pt x="413601" y="427454"/>
                  <a:pt x="420931" y="416894"/>
                  <a:pt x="417218" y="406904"/>
                </a:cubicBezTo>
                <a:lnTo>
                  <a:pt x="407223" y="379695"/>
                </a:lnTo>
                <a:close/>
              </a:path>
            </a:pathLst>
          </a:custGeom>
          <a:grpFill/>
          <a:ln w="9508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solidFill>
                <a:prstClr val="black"/>
              </a:solidFill>
            </a:endParaRPr>
          </a:p>
        </xdr:txBody>
      </xdr:sp>
      <xdr:sp macro="" textlink="">
        <xdr:nvSpPr>
          <xdr:cNvPr id="6" name="Forma Livre 47">
            <a:extLst>
              <a:ext uri="{FF2B5EF4-FFF2-40B4-BE49-F238E27FC236}">
  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4806A12D-9C03-B46F-2885-E4E3684C0289}"/>
              </a:ext>
            </a:extLst>
          </xdr:cNvPr>
          <xdr:cNvSpPr/>
        </xdr:nvSpPr>
        <xdr:spPr>
          <a:xfrm>
            <a:off x="5785572" y="3227022"/>
            <a:ext cx="414945" cy="428976"/>
          </a:xfrm>
          <a:custGeom>
            <a:avLst/>
            <a:gdLst>
              <a:gd name="connsiteX0" fmla="*/ 408002 w 414945"/>
              <a:gd name="connsiteY0" fmla="*/ 306820 h 428976"/>
              <a:gd name="connsiteX1" fmla="*/ 375350 w 414945"/>
              <a:gd name="connsiteY1" fmla="*/ 279896 h 428976"/>
              <a:gd name="connsiteX2" fmla="*/ 363451 w 414945"/>
              <a:gd name="connsiteY2" fmla="*/ 275805 h 428976"/>
              <a:gd name="connsiteX3" fmla="*/ 351742 w 414945"/>
              <a:gd name="connsiteY3" fmla="*/ 283606 h 428976"/>
              <a:gd name="connsiteX4" fmla="*/ 351361 w 414945"/>
              <a:gd name="connsiteY4" fmla="*/ 284272 h 428976"/>
              <a:gd name="connsiteX5" fmla="*/ 296149 w 414945"/>
              <a:gd name="connsiteY5" fmla="*/ 335932 h 428976"/>
              <a:gd name="connsiteX6" fmla="*/ 211997 w 414945"/>
              <a:gd name="connsiteY6" fmla="*/ 352295 h 428976"/>
              <a:gd name="connsiteX7" fmla="*/ 110425 w 414945"/>
              <a:gd name="connsiteY7" fmla="*/ 321756 h 428976"/>
              <a:gd name="connsiteX8" fmla="*/ 74156 w 414945"/>
              <a:gd name="connsiteY8" fmla="*/ 226238 h 428976"/>
              <a:gd name="connsiteX9" fmla="*/ 74156 w 414945"/>
              <a:gd name="connsiteY9" fmla="*/ 202263 h 428976"/>
              <a:gd name="connsiteX10" fmla="*/ 211997 w 414945"/>
              <a:gd name="connsiteY10" fmla="*/ 76776 h 428976"/>
              <a:gd name="connsiteX11" fmla="*/ 346792 w 414945"/>
              <a:gd name="connsiteY11" fmla="*/ 139853 h 428976"/>
              <a:gd name="connsiteX12" fmla="*/ 347363 w 414945"/>
              <a:gd name="connsiteY12" fmla="*/ 140519 h 428976"/>
              <a:gd name="connsiteX13" fmla="*/ 371828 w 414945"/>
              <a:gd name="connsiteY13" fmla="*/ 142421 h 428976"/>
              <a:gd name="connsiteX14" fmla="*/ 404003 w 414945"/>
              <a:gd name="connsiteY14" fmla="*/ 112358 h 428976"/>
              <a:gd name="connsiteX15" fmla="*/ 410381 w 414945"/>
              <a:gd name="connsiteY15" fmla="*/ 102083 h 428976"/>
              <a:gd name="connsiteX16" fmla="*/ 406764 w 414945"/>
              <a:gd name="connsiteY16" fmla="*/ 89239 h 428976"/>
              <a:gd name="connsiteX17" fmla="*/ 211997 w 414945"/>
              <a:gd name="connsiteY17" fmla="*/ 0 h 428976"/>
              <a:gd name="connsiteX18" fmla="*/ 0 w 414945"/>
              <a:gd name="connsiteY18" fmla="*/ 202739 h 428976"/>
              <a:gd name="connsiteX19" fmla="*/ 0 w 414945"/>
              <a:gd name="connsiteY19" fmla="*/ 225572 h 428976"/>
              <a:gd name="connsiteX20" fmla="*/ 211997 w 414945"/>
              <a:gd name="connsiteY20" fmla="*/ 428976 h 428976"/>
              <a:gd name="connsiteX21" fmla="*/ 410857 w 414945"/>
              <a:gd name="connsiteY21" fmla="*/ 331650 h 428976"/>
              <a:gd name="connsiteX22" fmla="*/ 411524 w 414945"/>
              <a:gd name="connsiteY22" fmla="*/ 330794 h 428976"/>
              <a:gd name="connsiteX23" fmla="*/ 414760 w 414945"/>
              <a:gd name="connsiteY23" fmla="*/ 318426 h 428976"/>
              <a:gd name="connsiteX24" fmla="*/ 408002 w 414945"/>
              <a:gd name="connsiteY24" fmla="*/ 306820 h 42897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</a:cxnLst>
            <a:rect l="l" t="t" r="r" b="b"/>
            <a:pathLst>
              <a:path w="414945" h="428976">
                <a:moveTo>
                  <a:pt x="408002" y="306820"/>
                </a:moveTo>
                <a:lnTo>
                  <a:pt x="375350" y="279896"/>
                </a:lnTo>
                <a:cubicBezTo>
                  <a:pt x="371257" y="276661"/>
                  <a:pt x="367258" y="275329"/>
                  <a:pt x="363451" y="275805"/>
                </a:cubicBezTo>
                <a:cubicBezTo>
                  <a:pt x="358310" y="276471"/>
                  <a:pt x="354217" y="280371"/>
                  <a:pt x="351742" y="283606"/>
                </a:cubicBezTo>
                <a:lnTo>
                  <a:pt x="351361" y="284272"/>
                </a:lnTo>
                <a:cubicBezTo>
                  <a:pt x="336606" y="307676"/>
                  <a:pt x="318043" y="325086"/>
                  <a:pt x="296149" y="335932"/>
                </a:cubicBezTo>
                <a:cubicBezTo>
                  <a:pt x="274063" y="346777"/>
                  <a:pt x="245791" y="352295"/>
                  <a:pt x="211997" y="352295"/>
                </a:cubicBezTo>
                <a:cubicBezTo>
                  <a:pt x="169065" y="352295"/>
                  <a:pt x="134890" y="342020"/>
                  <a:pt x="110425" y="321756"/>
                </a:cubicBezTo>
                <a:cubicBezTo>
                  <a:pt x="86055" y="301492"/>
                  <a:pt x="74156" y="270286"/>
                  <a:pt x="74156" y="226238"/>
                </a:cubicBezTo>
                <a:lnTo>
                  <a:pt x="74156" y="202263"/>
                </a:lnTo>
                <a:cubicBezTo>
                  <a:pt x="74347" y="119017"/>
                  <a:pt x="120706" y="76776"/>
                  <a:pt x="211997" y="76776"/>
                </a:cubicBezTo>
                <a:cubicBezTo>
                  <a:pt x="273968" y="76776"/>
                  <a:pt x="319281" y="97897"/>
                  <a:pt x="346792" y="139853"/>
                </a:cubicBezTo>
                <a:lnTo>
                  <a:pt x="347363" y="140519"/>
                </a:lnTo>
                <a:cubicBezTo>
                  <a:pt x="355169" y="148891"/>
                  <a:pt x="363356" y="149557"/>
                  <a:pt x="371828" y="142421"/>
                </a:cubicBezTo>
                <a:lnTo>
                  <a:pt x="404003" y="112358"/>
                </a:lnTo>
                <a:cubicBezTo>
                  <a:pt x="407811" y="109218"/>
                  <a:pt x="409810" y="105984"/>
                  <a:pt x="410381" y="102083"/>
                </a:cubicBezTo>
                <a:cubicBezTo>
                  <a:pt x="410953" y="97992"/>
                  <a:pt x="409715" y="93616"/>
                  <a:pt x="406764" y="89239"/>
                </a:cubicBezTo>
                <a:cubicBezTo>
                  <a:pt x="369829" y="29968"/>
                  <a:pt x="304335" y="0"/>
                  <a:pt x="211997" y="0"/>
                </a:cubicBezTo>
                <a:cubicBezTo>
                  <a:pt x="69301" y="0"/>
                  <a:pt x="0" y="66311"/>
                  <a:pt x="0" y="202739"/>
                </a:cubicBezTo>
                <a:lnTo>
                  <a:pt x="0" y="225572"/>
                </a:lnTo>
                <a:cubicBezTo>
                  <a:pt x="0" y="362380"/>
                  <a:pt x="69396" y="428976"/>
                  <a:pt x="211997" y="428976"/>
                </a:cubicBezTo>
                <a:cubicBezTo>
                  <a:pt x="303669" y="428976"/>
                  <a:pt x="370685" y="396154"/>
                  <a:pt x="410857" y="331650"/>
                </a:cubicBezTo>
                <a:lnTo>
                  <a:pt x="411524" y="330794"/>
                </a:lnTo>
                <a:cubicBezTo>
                  <a:pt x="414284" y="327559"/>
                  <a:pt x="415427" y="323278"/>
                  <a:pt x="414760" y="318426"/>
                </a:cubicBezTo>
                <a:cubicBezTo>
                  <a:pt x="414094" y="313669"/>
                  <a:pt x="411809" y="309674"/>
                  <a:pt x="408002" y="306820"/>
                </a:cubicBezTo>
              </a:path>
            </a:pathLst>
          </a:custGeom>
          <a:grpFill/>
          <a:ln w="9508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solidFill>
                <a:prstClr val="black"/>
              </a:solidFill>
            </a:endParaRPr>
          </a:p>
        </xdr:txBody>
      </xdr:sp>
      <xdr:sp macro="" textlink="">
        <xdr:nvSpPr>
          <xdr:cNvPr id="7" name="Forma Livre 48">
            <a:extLst>
              <a:ext uri="{FF2B5EF4-FFF2-40B4-BE49-F238E27FC236}">
  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9267EB2C-DC51-175A-AE72-10F0B81F201F}"/>
              </a:ext>
            </a:extLst>
          </xdr:cNvPr>
          <xdr:cNvSpPr/>
        </xdr:nvSpPr>
        <xdr:spPr>
          <a:xfrm>
            <a:off x="6658596" y="3227022"/>
            <a:ext cx="392770" cy="427834"/>
          </a:xfrm>
          <a:custGeom>
            <a:avLst/>
            <a:gdLst>
              <a:gd name="connsiteX0" fmla="*/ 377444 w 392770"/>
              <a:gd name="connsiteY0" fmla="*/ 0 h 427834"/>
              <a:gd name="connsiteX1" fmla="*/ 332417 w 392770"/>
              <a:gd name="connsiteY1" fmla="*/ 0 h 427834"/>
              <a:gd name="connsiteX2" fmla="*/ 321661 w 392770"/>
              <a:gd name="connsiteY2" fmla="*/ 5042 h 427834"/>
              <a:gd name="connsiteX3" fmla="*/ 317091 w 392770"/>
              <a:gd name="connsiteY3" fmla="*/ 17696 h 427834"/>
              <a:gd name="connsiteX4" fmla="*/ 317091 w 392770"/>
              <a:gd name="connsiteY4" fmla="*/ 255730 h 427834"/>
              <a:gd name="connsiteX5" fmla="*/ 305953 w 392770"/>
              <a:gd name="connsiteY5" fmla="*/ 271333 h 427834"/>
              <a:gd name="connsiteX6" fmla="*/ 287486 w 392770"/>
              <a:gd name="connsiteY6" fmla="*/ 266005 h 427834"/>
              <a:gd name="connsiteX7" fmla="*/ 79868 w 392770"/>
              <a:gd name="connsiteY7" fmla="*/ 4757 h 427834"/>
              <a:gd name="connsiteX8" fmla="*/ 70158 w 392770"/>
              <a:gd name="connsiteY8" fmla="*/ 0 h 427834"/>
              <a:gd name="connsiteX9" fmla="*/ 14850 w 392770"/>
              <a:gd name="connsiteY9" fmla="*/ 0 h 427834"/>
              <a:gd name="connsiteX10" fmla="*/ 4474 w 392770"/>
              <a:gd name="connsiteY10" fmla="*/ 5042 h 427834"/>
              <a:gd name="connsiteX11" fmla="*/ 0 w 392770"/>
              <a:gd name="connsiteY11" fmla="*/ 17696 h 427834"/>
              <a:gd name="connsiteX12" fmla="*/ 0 w 392770"/>
              <a:gd name="connsiteY12" fmla="*/ 410234 h 427834"/>
              <a:gd name="connsiteX13" fmla="*/ 4474 w 392770"/>
              <a:gd name="connsiteY13" fmla="*/ 422793 h 427834"/>
              <a:gd name="connsiteX14" fmla="*/ 14850 w 392770"/>
              <a:gd name="connsiteY14" fmla="*/ 427835 h 427834"/>
              <a:gd name="connsiteX15" fmla="*/ 60448 w 392770"/>
              <a:gd name="connsiteY15" fmla="*/ 427835 h 427834"/>
              <a:gd name="connsiteX16" fmla="*/ 71205 w 392770"/>
              <a:gd name="connsiteY16" fmla="*/ 422793 h 427834"/>
              <a:gd name="connsiteX17" fmla="*/ 75774 w 392770"/>
              <a:gd name="connsiteY17" fmla="*/ 410139 h 427834"/>
              <a:gd name="connsiteX18" fmla="*/ 75774 w 392770"/>
              <a:gd name="connsiteY18" fmla="*/ 123679 h 427834"/>
              <a:gd name="connsiteX19" fmla="*/ 312903 w 392770"/>
              <a:gd name="connsiteY19" fmla="*/ 422983 h 427834"/>
              <a:gd name="connsiteX20" fmla="*/ 322612 w 392770"/>
              <a:gd name="connsiteY20" fmla="*/ 427835 h 427834"/>
              <a:gd name="connsiteX21" fmla="*/ 377349 w 392770"/>
              <a:gd name="connsiteY21" fmla="*/ 427835 h 427834"/>
              <a:gd name="connsiteX22" fmla="*/ 388011 w 392770"/>
              <a:gd name="connsiteY22" fmla="*/ 422793 h 427834"/>
              <a:gd name="connsiteX23" fmla="*/ 392770 w 392770"/>
              <a:gd name="connsiteY23" fmla="*/ 410139 h 427834"/>
              <a:gd name="connsiteX24" fmla="*/ 392770 w 392770"/>
              <a:gd name="connsiteY24" fmla="*/ 17601 h 427834"/>
              <a:gd name="connsiteX25" fmla="*/ 388011 w 392770"/>
              <a:gd name="connsiteY25" fmla="*/ 4757 h 427834"/>
              <a:gd name="connsiteX26" fmla="*/ 377444 w 392770"/>
              <a:gd name="connsiteY26" fmla="*/ 0 h 4278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</a:cxnLst>
            <a:rect l="l" t="t" r="r" b="b"/>
            <a:pathLst>
              <a:path w="392770" h="427834">
                <a:moveTo>
                  <a:pt x="377444" y="0"/>
                </a:moveTo>
                <a:lnTo>
                  <a:pt x="332417" y="0"/>
                </a:lnTo>
                <a:cubicBezTo>
                  <a:pt x="328229" y="0"/>
                  <a:pt x="324516" y="1712"/>
                  <a:pt x="321661" y="5042"/>
                </a:cubicBezTo>
                <a:cubicBezTo>
                  <a:pt x="318614" y="8562"/>
                  <a:pt x="317091" y="12749"/>
                  <a:pt x="317091" y="17696"/>
                </a:cubicBezTo>
                <a:lnTo>
                  <a:pt x="317091" y="255730"/>
                </a:lnTo>
                <a:cubicBezTo>
                  <a:pt x="317091" y="264388"/>
                  <a:pt x="311380" y="269526"/>
                  <a:pt x="305953" y="271333"/>
                </a:cubicBezTo>
                <a:cubicBezTo>
                  <a:pt x="300528" y="273236"/>
                  <a:pt x="292912" y="272760"/>
                  <a:pt x="287486" y="266005"/>
                </a:cubicBezTo>
                <a:lnTo>
                  <a:pt x="79868" y="4757"/>
                </a:lnTo>
                <a:cubicBezTo>
                  <a:pt x="77964" y="1522"/>
                  <a:pt x="74727" y="0"/>
                  <a:pt x="70158" y="0"/>
                </a:cubicBezTo>
                <a:lnTo>
                  <a:pt x="14850" y="0"/>
                </a:lnTo>
                <a:cubicBezTo>
                  <a:pt x="10757" y="0"/>
                  <a:pt x="7235" y="1712"/>
                  <a:pt x="4474" y="5042"/>
                </a:cubicBezTo>
                <a:cubicBezTo>
                  <a:pt x="1618" y="8467"/>
                  <a:pt x="0" y="12844"/>
                  <a:pt x="0" y="17696"/>
                </a:cubicBezTo>
                <a:lnTo>
                  <a:pt x="0" y="410234"/>
                </a:lnTo>
                <a:cubicBezTo>
                  <a:pt x="0" y="415086"/>
                  <a:pt x="1523" y="419368"/>
                  <a:pt x="4474" y="422793"/>
                </a:cubicBezTo>
                <a:cubicBezTo>
                  <a:pt x="7330" y="426122"/>
                  <a:pt x="10852" y="427835"/>
                  <a:pt x="14850" y="427835"/>
                </a:cubicBezTo>
                <a:lnTo>
                  <a:pt x="60448" y="427835"/>
                </a:lnTo>
                <a:cubicBezTo>
                  <a:pt x="64732" y="427835"/>
                  <a:pt x="68349" y="426122"/>
                  <a:pt x="71205" y="422793"/>
                </a:cubicBezTo>
                <a:cubicBezTo>
                  <a:pt x="74251" y="419272"/>
                  <a:pt x="75774" y="415086"/>
                  <a:pt x="75774" y="410139"/>
                </a:cubicBezTo>
                <a:lnTo>
                  <a:pt x="75774" y="123679"/>
                </a:lnTo>
                <a:lnTo>
                  <a:pt x="312903" y="422983"/>
                </a:lnTo>
                <a:cubicBezTo>
                  <a:pt x="314807" y="426218"/>
                  <a:pt x="318043" y="427835"/>
                  <a:pt x="322612" y="427835"/>
                </a:cubicBezTo>
                <a:lnTo>
                  <a:pt x="377349" y="427835"/>
                </a:lnTo>
                <a:cubicBezTo>
                  <a:pt x="381442" y="427835"/>
                  <a:pt x="384965" y="426122"/>
                  <a:pt x="388011" y="422793"/>
                </a:cubicBezTo>
                <a:cubicBezTo>
                  <a:pt x="391152" y="419272"/>
                  <a:pt x="392770" y="414991"/>
                  <a:pt x="392770" y="410139"/>
                </a:cubicBezTo>
                <a:lnTo>
                  <a:pt x="392770" y="17601"/>
                </a:lnTo>
                <a:cubicBezTo>
                  <a:pt x="392770" y="12463"/>
                  <a:pt x="391152" y="8182"/>
                  <a:pt x="388011" y="4757"/>
                </a:cubicBezTo>
                <a:cubicBezTo>
                  <a:pt x="385060" y="1712"/>
                  <a:pt x="381442" y="0"/>
                  <a:pt x="377444" y="0"/>
                </a:cubicBezTo>
              </a:path>
            </a:pathLst>
          </a:custGeom>
          <a:grpFill/>
          <a:ln w="9508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solidFill>
                <a:prstClr val="black"/>
              </a:solidFill>
            </a:endParaRPr>
          </a:p>
        </xdr:txBody>
      </xdr:sp>
      <xdr:sp macro="" textlink="">
        <xdr:nvSpPr>
          <xdr:cNvPr id="8" name="Forma Livre 49">
            <a:extLst>
              <a:ext uri="{FF2B5EF4-FFF2-40B4-BE49-F238E27FC236}">
  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7C2B05E1-6AB9-4D65-1C3E-08D9237EE247}"/>
              </a:ext>
            </a:extLst>
          </xdr:cNvPr>
          <xdr:cNvSpPr/>
        </xdr:nvSpPr>
        <xdr:spPr>
          <a:xfrm>
            <a:off x="7501729" y="3227022"/>
            <a:ext cx="76916" cy="427834"/>
          </a:xfrm>
          <a:custGeom>
            <a:avLst/>
            <a:gdLst>
              <a:gd name="connsiteX0" fmla="*/ 62066 w 76916"/>
              <a:gd name="connsiteY0" fmla="*/ 0 h 427834"/>
              <a:gd name="connsiteX1" fmla="*/ 14850 w 76916"/>
              <a:gd name="connsiteY1" fmla="*/ 0 h 427834"/>
              <a:gd name="connsiteX2" fmla="*/ 4474 w 76916"/>
              <a:gd name="connsiteY2" fmla="*/ 5042 h 427834"/>
              <a:gd name="connsiteX3" fmla="*/ 0 w 76916"/>
              <a:gd name="connsiteY3" fmla="*/ 17696 h 427834"/>
              <a:gd name="connsiteX4" fmla="*/ 0 w 76916"/>
              <a:gd name="connsiteY4" fmla="*/ 410234 h 427834"/>
              <a:gd name="connsiteX5" fmla="*/ 4474 w 76916"/>
              <a:gd name="connsiteY5" fmla="*/ 422793 h 427834"/>
              <a:gd name="connsiteX6" fmla="*/ 14850 w 76916"/>
              <a:gd name="connsiteY6" fmla="*/ 427835 h 427834"/>
              <a:gd name="connsiteX7" fmla="*/ 62066 w 76916"/>
              <a:gd name="connsiteY7" fmla="*/ 427835 h 427834"/>
              <a:gd name="connsiteX8" fmla="*/ 72633 w 76916"/>
              <a:gd name="connsiteY8" fmla="*/ 422697 h 427834"/>
              <a:gd name="connsiteX9" fmla="*/ 76917 w 76916"/>
              <a:gd name="connsiteY9" fmla="*/ 410139 h 427834"/>
              <a:gd name="connsiteX10" fmla="*/ 76917 w 76916"/>
              <a:gd name="connsiteY10" fmla="*/ 17601 h 427834"/>
              <a:gd name="connsiteX11" fmla="*/ 72443 w 76916"/>
              <a:gd name="connsiteY11" fmla="*/ 4757 h 427834"/>
              <a:gd name="connsiteX12" fmla="*/ 62066 w 76916"/>
              <a:gd name="connsiteY12" fmla="*/ 0 h 4278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</a:cxnLst>
            <a:rect l="l" t="t" r="r" b="b"/>
            <a:pathLst>
              <a:path w="76916" h="427834">
                <a:moveTo>
                  <a:pt x="62066" y="0"/>
                </a:moveTo>
                <a:lnTo>
                  <a:pt x="14850" y="0"/>
                </a:lnTo>
                <a:cubicBezTo>
                  <a:pt x="10757" y="0"/>
                  <a:pt x="7235" y="1712"/>
                  <a:pt x="4474" y="5042"/>
                </a:cubicBezTo>
                <a:cubicBezTo>
                  <a:pt x="1523" y="8467"/>
                  <a:pt x="0" y="12844"/>
                  <a:pt x="0" y="17696"/>
                </a:cubicBezTo>
                <a:lnTo>
                  <a:pt x="0" y="410234"/>
                </a:lnTo>
                <a:cubicBezTo>
                  <a:pt x="0" y="415086"/>
                  <a:pt x="1523" y="419368"/>
                  <a:pt x="4474" y="422793"/>
                </a:cubicBezTo>
                <a:cubicBezTo>
                  <a:pt x="7330" y="426122"/>
                  <a:pt x="10852" y="427835"/>
                  <a:pt x="14850" y="427835"/>
                </a:cubicBezTo>
                <a:lnTo>
                  <a:pt x="62066" y="427835"/>
                </a:lnTo>
                <a:cubicBezTo>
                  <a:pt x="66350" y="427835"/>
                  <a:pt x="69872" y="426122"/>
                  <a:pt x="72633" y="422697"/>
                </a:cubicBezTo>
                <a:cubicBezTo>
                  <a:pt x="75393" y="419272"/>
                  <a:pt x="76917" y="414896"/>
                  <a:pt x="76917" y="410139"/>
                </a:cubicBezTo>
                <a:lnTo>
                  <a:pt x="76917" y="17601"/>
                </a:lnTo>
                <a:cubicBezTo>
                  <a:pt x="76917" y="12558"/>
                  <a:pt x="75393" y="8182"/>
                  <a:pt x="72443" y="4757"/>
                </a:cubicBezTo>
                <a:cubicBezTo>
                  <a:pt x="69587" y="1617"/>
                  <a:pt x="66064" y="0"/>
                  <a:pt x="62066" y="0"/>
                </a:cubicBezTo>
              </a:path>
            </a:pathLst>
          </a:custGeom>
          <a:grpFill/>
          <a:ln w="9508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solidFill>
                <a:prstClr val="black"/>
              </a:solidFill>
            </a:endParaRPr>
          </a:p>
        </xdr:txBody>
      </xdr:sp>
      <xdr:sp macro="" textlink="">
        <xdr:nvSpPr>
          <xdr:cNvPr id="9" name="Forma Livre 50">
            <a:extLst>
              <a:ext uri="{FF2B5EF4-FFF2-40B4-BE49-F238E27FC236}">
  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5BED4FB0-049E-9715-765F-263784298C3A}"/>
              </a:ext>
            </a:extLst>
          </xdr:cNvPr>
          <xdr:cNvSpPr/>
        </xdr:nvSpPr>
        <xdr:spPr>
          <a:xfrm>
            <a:off x="7632240" y="3227117"/>
            <a:ext cx="288536" cy="427929"/>
          </a:xfrm>
          <a:custGeom>
            <a:avLst/>
            <a:gdLst>
              <a:gd name="connsiteX0" fmla="*/ 283678 w 288536"/>
              <a:gd name="connsiteY0" fmla="*/ 352676 h 427929"/>
              <a:gd name="connsiteX1" fmla="*/ 272921 w 288536"/>
              <a:gd name="connsiteY1" fmla="*/ 347729 h 427929"/>
              <a:gd name="connsiteX2" fmla="*/ 100715 w 288536"/>
              <a:gd name="connsiteY2" fmla="*/ 347729 h 427929"/>
              <a:gd name="connsiteX3" fmla="*/ 76917 w 288536"/>
              <a:gd name="connsiteY3" fmla="*/ 323944 h 427929"/>
              <a:gd name="connsiteX4" fmla="*/ 76917 w 288536"/>
              <a:gd name="connsiteY4" fmla="*/ 17696 h 427929"/>
              <a:gd name="connsiteX5" fmla="*/ 72443 w 288536"/>
              <a:gd name="connsiteY5" fmla="*/ 4852 h 427929"/>
              <a:gd name="connsiteX6" fmla="*/ 62066 w 288536"/>
              <a:gd name="connsiteY6" fmla="*/ 0 h 427929"/>
              <a:gd name="connsiteX7" fmla="*/ 14850 w 288536"/>
              <a:gd name="connsiteY7" fmla="*/ 0 h 427929"/>
              <a:gd name="connsiteX8" fmla="*/ 4474 w 288536"/>
              <a:gd name="connsiteY8" fmla="*/ 5042 h 427929"/>
              <a:gd name="connsiteX9" fmla="*/ 0 w 288536"/>
              <a:gd name="connsiteY9" fmla="*/ 17696 h 427929"/>
              <a:gd name="connsiteX10" fmla="*/ 0 w 288536"/>
              <a:gd name="connsiteY10" fmla="*/ 410234 h 427929"/>
              <a:gd name="connsiteX11" fmla="*/ 4474 w 288536"/>
              <a:gd name="connsiteY11" fmla="*/ 422888 h 427929"/>
              <a:gd name="connsiteX12" fmla="*/ 14850 w 288536"/>
              <a:gd name="connsiteY12" fmla="*/ 427930 h 427929"/>
              <a:gd name="connsiteX13" fmla="*/ 272921 w 288536"/>
              <a:gd name="connsiteY13" fmla="*/ 427930 h 427929"/>
              <a:gd name="connsiteX14" fmla="*/ 283773 w 288536"/>
              <a:gd name="connsiteY14" fmla="*/ 422983 h 427929"/>
              <a:gd name="connsiteX15" fmla="*/ 288533 w 288536"/>
              <a:gd name="connsiteY15" fmla="*/ 410329 h 427929"/>
              <a:gd name="connsiteX16" fmla="*/ 288533 w 288536"/>
              <a:gd name="connsiteY16" fmla="*/ 365519 h 427929"/>
              <a:gd name="connsiteX17" fmla="*/ 283678 w 288536"/>
              <a:gd name="connsiteY17" fmla="*/ 352676 h 42792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</a:cxnLst>
            <a:rect l="l" t="t" r="r" b="b"/>
            <a:pathLst>
              <a:path w="288536" h="427929">
                <a:moveTo>
                  <a:pt x="283678" y="352676"/>
                </a:moveTo>
                <a:cubicBezTo>
                  <a:pt x="280632" y="349441"/>
                  <a:pt x="276919" y="347729"/>
                  <a:pt x="272921" y="347729"/>
                </a:cubicBezTo>
                <a:lnTo>
                  <a:pt x="100715" y="347729"/>
                </a:lnTo>
                <a:cubicBezTo>
                  <a:pt x="87578" y="347729"/>
                  <a:pt x="76917" y="337073"/>
                  <a:pt x="76917" y="323944"/>
                </a:cubicBezTo>
                <a:lnTo>
                  <a:pt x="76917" y="17696"/>
                </a:lnTo>
                <a:cubicBezTo>
                  <a:pt x="76917" y="12558"/>
                  <a:pt x="75393" y="8277"/>
                  <a:pt x="72443" y="4852"/>
                </a:cubicBezTo>
                <a:cubicBezTo>
                  <a:pt x="69587" y="1617"/>
                  <a:pt x="66160" y="0"/>
                  <a:pt x="62066" y="0"/>
                </a:cubicBezTo>
                <a:lnTo>
                  <a:pt x="14850" y="0"/>
                </a:lnTo>
                <a:cubicBezTo>
                  <a:pt x="10757" y="0"/>
                  <a:pt x="7235" y="1712"/>
                  <a:pt x="4474" y="5042"/>
                </a:cubicBezTo>
                <a:cubicBezTo>
                  <a:pt x="1523" y="8562"/>
                  <a:pt x="0" y="12749"/>
                  <a:pt x="0" y="17696"/>
                </a:cubicBezTo>
                <a:lnTo>
                  <a:pt x="0" y="410234"/>
                </a:lnTo>
                <a:cubicBezTo>
                  <a:pt x="0" y="415086"/>
                  <a:pt x="1523" y="419367"/>
                  <a:pt x="4474" y="422888"/>
                </a:cubicBezTo>
                <a:cubicBezTo>
                  <a:pt x="7330" y="426217"/>
                  <a:pt x="10852" y="427930"/>
                  <a:pt x="14850" y="427930"/>
                </a:cubicBezTo>
                <a:lnTo>
                  <a:pt x="272921" y="427930"/>
                </a:lnTo>
                <a:cubicBezTo>
                  <a:pt x="277110" y="427930"/>
                  <a:pt x="280822" y="426217"/>
                  <a:pt x="283773" y="422983"/>
                </a:cubicBezTo>
                <a:cubicBezTo>
                  <a:pt x="286915" y="419463"/>
                  <a:pt x="288533" y="415181"/>
                  <a:pt x="288533" y="410329"/>
                </a:cubicBezTo>
                <a:lnTo>
                  <a:pt x="288533" y="365519"/>
                </a:lnTo>
                <a:cubicBezTo>
                  <a:pt x="288628" y="360382"/>
                  <a:pt x="286915" y="356101"/>
                  <a:pt x="283678" y="352676"/>
                </a:cubicBezTo>
              </a:path>
            </a:pathLst>
          </a:custGeom>
          <a:grpFill/>
          <a:ln w="9508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solidFill>
                <a:prstClr val="black"/>
              </a:solidFill>
            </a:endParaRPr>
          </a:p>
        </xdr:txBody>
      </xdr:sp>
      <xdr:sp macro="" textlink="">
        <xdr:nvSpPr>
          <xdr:cNvPr id="10" name="Forma Livre 51">
            <a:extLst>
              <a:ext uri="{FF2B5EF4-FFF2-40B4-BE49-F238E27FC236}">
  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FAD9D2A1-5205-D492-B559-1C96223063EB}"/>
              </a:ext>
            </a:extLst>
          </xdr:cNvPr>
          <xdr:cNvSpPr/>
        </xdr:nvSpPr>
        <xdr:spPr>
          <a:xfrm>
            <a:off x="5370240" y="3227022"/>
            <a:ext cx="385250" cy="427834"/>
          </a:xfrm>
          <a:custGeom>
            <a:avLst/>
            <a:gdLst>
              <a:gd name="connsiteX0" fmla="*/ 307762 w 385250"/>
              <a:gd name="connsiteY0" fmla="*/ 138806 h 427834"/>
              <a:gd name="connsiteX1" fmla="*/ 288533 w 385250"/>
              <a:gd name="connsiteY1" fmla="*/ 192274 h 427834"/>
              <a:gd name="connsiteX2" fmla="*/ 233416 w 385250"/>
              <a:gd name="connsiteY2" fmla="*/ 210445 h 427834"/>
              <a:gd name="connsiteX3" fmla="*/ 75203 w 385250"/>
              <a:gd name="connsiteY3" fmla="*/ 210445 h 427834"/>
              <a:gd name="connsiteX4" fmla="*/ 75203 w 385250"/>
              <a:gd name="connsiteY4" fmla="*/ 101131 h 427834"/>
              <a:gd name="connsiteX5" fmla="*/ 99287 w 385250"/>
              <a:gd name="connsiteY5" fmla="*/ 78013 h 427834"/>
              <a:gd name="connsiteX6" fmla="*/ 233416 w 385250"/>
              <a:gd name="connsiteY6" fmla="*/ 78013 h 427834"/>
              <a:gd name="connsiteX7" fmla="*/ 289485 w 385250"/>
              <a:gd name="connsiteY7" fmla="*/ 91523 h 427834"/>
              <a:gd name="connsiteX8" fmla="*/ 307762 w 385250"/>
              <a:gd name="connsiteY8" fmla="*/ 138806 h 427834"/>
              <a:gd name="connsiteX9" fmla="*/ 385250 w 385250"/>
              <a:gd name="connsiteY9" fmla="*/ 138806 h 427834"/>
              <a:gd name="connsiteX10" fmla="*/ 348505 w 385250"/>
              <a:gd name="connsiteY10" fmla="*/ 31681 h 427834"/>
              <a:gd name="connsiteX11" fmla="*/ 239032 w 385250"/>
              <a:gd name="connsiteY11" fmla="*/ 0 h 427834"/>
              <a:gd name="connsiteX12" fmla="*/ 14850 w 385250"/>
              <a:gd name="connsiteY12" fmla="*/ 0 h 427834"/>
              <a:gd name="connsiteX13" fmla="*/ 4474 w 385250"/>
              <a:gd name="connsiteY13" fmla="*/ 5042 h 427834"/>
              <a:gd name="connsiteX14" fmla="*/ 0 w 385250"/>
              <a:gd name="connsiteY14" fmla="*/ 17601 h 427834"/>
              <a:gd name="connsiteX15" fmla="*/ 0 w 385250"/>
              <a:gd name="connsiteY15" fmla="*/ 410139 h 427834"/>
              <a:gd name="connsiteX16" fmla="*/ 4474 w 385250"/>
              <a:gd name="connsiteY16" fmla="*/ 422697 h 427834"/>
              <a:gd name="connsiteX17" fmla="*/ 14850 w 385250"/>
              <a:gd name="connsiteY17" fmla="*/ 427740 h 427834"/>
              <a:gd name="connsiteX18" fmla="*/ 59877 w 385250"/>
              <a:gd name="connsiteY18" fmla="*/ 427740 h 427834"/>
              <a:gd name="connsiteX19" fmla="*/ 70539 w 385250"/>
              <a:gd name="connsiteY19" fmla="*/ 422793 h 427834"/>
              <a:gd name="connsiteX20" fmla="*/ 75298 w 385250"/>
              <a:gd name="connsiteY20" fmla="*/ 410139 h 427834"/>
              <a:gd name="connsiteX21" fmla="*/ 75298 w 385250"/>
              <a:gd name="connsiteY21" fmla="*/ 286460 h 427834"/>
              <a:gd name="connsiteX22" fmla="*/ 213711 w 385250"/>
              <a:gd name="connsiteY22" fmla="*/ 286460 h 427834"/>
              <a:gd name="connsiteX23" fmla="*/ 300528 w 385250"/>
              <a:gd name="connsiteY23" fmla="*/ 415943 h 427834"/>
              <a:gd name="connsiteX24" fmla="*/ 323850 w 385250"/>
              <a:gd name="connsiteY24" fmla="*/ 427835 h 427834"/>
              <a:gd name="connsiteX25" fmla="*/ 361357 w 385250"/>
              <a:gd name="connsiteY25" fmla="*/ 427835 h 427834"/>
              <a:gd name="connsiteX26" fmla="*/ 378587 w 385250"/>
              <a:gd name="connsiteY26" fmla="*/ 416608 h 427834"/>
              <a:gd name="connsiteX27" fmla="*/ 375350 w 385250"/>
              <a:gd name="connsiteY27" fmla="*/ 393680 h 427834"/>
              <a:gd name="connsiteX28" fmla="*/ 296053 w 385250"/>
              <a:gd name="connsiteY28" fmla="*/ 276851 h 427834"/>
              <a:gd name="connsiteX29" fmla="*/ 303859 w 385250"/>
              <a:gd name="connsiteY29" fmla="*/ 274092 h 427834"/>
              <a:gd name="connsiteX30" fmla="*/ 385250 w 385250"/>
              <a:gd name="connsiteY30" fmla="*/ 138806 h 4278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</a:cxnLst>
            <a:rect l="l" t="t" r="r" b="b"/>
            <a:pathLst>
              <a:path w="385250" h="427834">
                <a:moveTo>
                  <a:pt x="307762" y="138806"/>
                </a:moveTo>
                <a:cubicBezTo>
                  <a:pt x="307762" y="162781"/>
                  <a:pt x="301479" y="180286"/>
                  <a:pt x="288533" y="192274"/>
                </a:cubicBezTo>
                <a:cubicBezTo>
                  <a:pt x="275491" y="204356"/>
                  <a:pt x="256929" y="210445"/>
                  <a:pt x="233416" y="210445"/>
                </a:cubicBezTo>
                <a:lnTo>
                  <a:pt x="75203" y="210445"/>
                </a:lnTo>
                <a:lnTo>
                  <a:pt x="75203" y="101131"/>
                </a:lnTo>
                <a:cubicBezTo>
                  <a:pt x="75584" y="97231"/>
                  <a:pt x="78535" y="78013"/>
                  <a:pt x="99287" y="78013"/>
                </a:cubicBezTo>
                <a:lnTo>
                  <a:pt x="233416" y="78013"/>
                </a:lnTo>
                <a:cubicBezTo>
                  <a:pt x="258071" y="78013"/>
                  <a:pt x="276919" y="82580"/>
                  <a:pt x="289485" y="91523"/>
                </a:cubicBezTo>
                <a:cubicBezTo>
                  <a:pt x="301765" y="100275"/>
                  <a:pt x="307762" y="115783"/>
                  <a:pt x="307762" y="138806"/>
                </a:cubicBezTo>
                <a:moveTo>
                  <a:pt x="385250" y="138806"/>
                </a:moveTo>
                <a:cubicBezTo>
                  <a:pt x="385250" y="88954"/>
                  <a:pt x="372875" y="52897"/>
                  <a:pt x="348505" y="31681"/>
                </a:cubicBezTo>
                <a:cubicBezTo>
                  <a:pt x="324421" y="10655"/>
                  <a:pt x="287581" y="0"/>
                  <a:pt x="239032" y="0"/>
                </a:cubicBezTo>
                <a:lnTo>
                  <a:pt x="14850" y="0"/>
                </a:lnTo>
                <a:cubicBezTo>
                  <a:pt x="10757" y="0"/>
                  <a:pt x="7235" y="1712"/>
                  <a:pt x="4474" y="5042"/>
                </a:cubicBezTo>
                <a:cubicBezTo>
                  <a:pt x="1618" y="8467"/>
                  <a:pt x="0" y="12844"/>
                  <a:pt x="0" y="17601"/>
                </a:cubicBezTo>
                <a:lnTo>
                  <a:pt x="0" y="410139"/>
                </a:lnTo>
                <a:cubicBezTo>
                  <a:pt x="0" y="414991"/>
                  <a:pt x="1523" y="419272"/>
                  <a:pt x="4474" y="422697"/>
                </a:cubicBezTo>
                <a:cubicBezTo>
                  <a:pt x="7330" y="426027"/>
                  <a:pt x="10757" y="427740"/>
                  <a:pt x="14850" y="427740"/>
                </a:cubicBezTo>
                <a:lnTo>
                  <a:pt x="59877" y="427740"/>
                </a:lnTo>
                <a:cubicBezTo>
                  <a:pt x="63875" y="427740"/>
                  <a:pt x="67493" y="426027"/>
                  <a:pt x="70539" y="422793"/>
                </a:cubicBezTo>
                <a:cubicBezTo>
                  <a:pt x="73680" y="419272"/>
                  <a:pt x="75298" y="415086"/>
                  <a:pt x="75298" y="410139"/>
                </a:cubicBezTo>
                <a:lnTo>
                  <a:pt x="75298" y="286460"/>
                </a:lnTo>
                <a:lnTo>
                  <a:pt x="213711" y="286460"/>
                </a:lnTo>
                <a:lnTo>
                  <a:pt x="300528" y="415943"/>
                </a:lnTo>
                <a:cubicBezTo>
                  <a:pt x="306144" y="423839"/>
                  <a:pt x="313950" y="427835"/>
                  <a:pt x="323850" y="427835"/>
                </a:cubicBezTo>
                <a:lnTo>
                  <a:pt x="361357" y="427835"/>
                </a:lnTo>
                <a:cubicBezTo>
                  <a:pt x="369543" y="427835"/>
                  <a:pt x="375350" y="424029"/>
                  <a:pt x="378587" y="416608"/>
                </a:cubicBezTo>
                <a:cubicBezTo>
                  <a:pt x="381918" y="408902"/>
                  <a:pt x="380776" y="400911"/>
                  <a:pt x="375350" y="393680"/>
                </a:cubicBezTo>
                <a:lnTo>
                  <a:pt x="296053" y="276851"/>
                </a:lnTo>
                <a:lnTo>
                  <a:pt x="303859" y="274092"/>
                </a:lnTo>
                <a:cubicBezTo>
                  <a:pt x="357834" y="254969"/>
                  <a:pt x="385250" y="209493"/>
                  <a:pt x="385250" y="138806"/>
                </a:cubicBezTo>
              </a:path>
            </a:pathLst>
          </a:custGeom>
          <a:grpFill/>
          <a:ln w="9508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solidFill>
                <a:prstClr val="black"/>
              </a:solidFill>
            </a:endParaRPr>
          </a:p>
        </xdr:txBody>
      </xdr:sp>
      <xdr:sp macro="" textlink="">
        <xdr:nvSpPr>
          <xdr:cNvPr id="11" name="Forma Livre 52">
            <a:extLst>
              <a:ext uri="{FF2B5EF4-FFF2-40B4-BE49-F238E27FC236}">
  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91944833-3FAD-5815-8A02-59E549B52113}"/>
              </a:ext>
            </a:extLst>
          </xdr:cNvPr>
          <xdr:cNvSpPr/>
        </xdr:nvSpPr>
        <xdr:spPr>
          <a:xfrm>
            <a:off x="7085732" y="3227117"/>
            <a:ext cx="374683" cy="427834"/>
          </a:xfrm>
          <a:custGeom>
            <a:avLst/>
            <a:gdLst>
              <a:gd name="connsiteX0" fmla="*/ 367354 w 374683"/>
              <a:gd name="connsiteY0" fmla="*/ 7135 h 427834"/>
              <a:gd name="connsiteX1" fmla="*/ 367354 w 374683"/>
              <a:gd name="connsiteY1" fmla="*/ 7135 h 427834"/>
              <a:gd name="connsiteX2" fmla="*/ 367354 w 374683"/>
              <a:gd name="connsiteY2" fmla="*/ 7135 h 427834"/>
              <a:gd name="connsiteX3" fmla="*/ 369924 w 374683"/>
              <a:gd name="connsiteY3" fmla="*/ 4757 h 427834"/>
              <a:gd name="connsiteX4" fmla="*/ 359357 w 374683"/>
              <a:gd name="connsiteY4" fmla="*/ 0 h 427834"/>
              <a:gd name="connsiteX5" fmla="*/ 15421 w 374683"/>
              <a:gd name="connsiteY5" fmla="*/ 0 h 427834"/>
              <a:gd name="connsiteX6" fmla="*/ 4760 w 374683"/>
              <a:gd name="connsiteY6" fmla="*/ 5042 h 427834"/>
              <a:gd name="connsiteX7" fmla="*/ 0 w 374683"/>
              <a:gd name="connsiteY7" fmla="*/ 17696 h 427834"/>
              <a:gd name="connsiteX8" fmla="*/ 0 w 374683"/>
              <a:gd name="connsiteY8" fmla="*/ 60983 h 427834"/>
              <a:gd name="connsiteX9" fmla="*/ 4855 w 374683"/>
              <a:gd name="connsiteY9" fmla="*/ 73541 h 427834"/>
              <a:gd name="connsiteX10" fmla="*/ 15421 w 374683"/>
              <a:gd name="connsiteY10" fmla="*/ 78013 h 427834"/>
              <a:gd name="connsiteX11" fmla="*/ 148979 w 374683"/>
              <a:gd name="connsiteY11" fmla="*/ 78013 h 427834"/>
              <a:gd name="connsiteX12" fmla="*/ 148979 w 374683"/>
              <a:gd name="connsiteY12" fmla="*/ 410234 h 427834"/>
              <a:gd name="connsiteX13" fmla="*/ 153738 w 374683"/>
              <a:gd name="connsiteY13" fmla="*/ 422888 h 427834"/>
              <a:gd name="connsiteX14" fmla="*/ 164305 w 374683"/>
              <a:gd name="connsiteY14" fmla="*/ 427835 h 427834"/>
              <a:gd name="connsiteX15" fmla="*/ 210950 w 374683"/>
              <a:gd name="connsiteY15" fmla="*/ 427835 h 427834"/>
              <a:gd name="connsiteX16" fmla="*/ 221707 w 374683"/>
              <a:gd name="connsiteY16" fmla="*/ 422792 h 427834"/>
              <a:gd name="connsiteX17" fmla="*/ 226276 w 374683"/>
              <a:gd name="connsiteY17" fmla="*/ 410139 h 427834"/>
              <a:gd name="connsiteX18" fmla="*/ 226181 w 374683"/>
              <a:gd name="connsiteY18" fmla="*/ 99609 h 427834"/>
              <a:gd name="connsiteX19" fmla="*/ 226371 w 374683"/>
              <a:gd name="connsiteY19" fmla="*/ 98753 h 427834"/>
              <a:gd name="connsiteX20" fmla="*/ 250075 w 374683"/>
              <a:gd name="connsiteY20" fmla="*/ 77918 h 427834"/>
              <a:gd name="connsiteX21" fmla="*/ 359262 w 374683"/>
              <a:gd name="connsiteY21" fmla="*/ 77918 h 427834"/>
              <a:gd name="connsiteX22" fmla="*/ 369829 w 374683"/>
              <a:gd name="connsiteY22" fmla="*/ 73256 h 427834"/>
              <a:gd name="connsiteX23" fmla="*/ 374683 w 374683"/>
              <a:gd name="connsiteY23" fmla="*/ 60793 h 427834"/>
              <a:gd name="connsiteX24" fmla="*/ 374683 w 374683"/>
              <a:gd name="connsiteY24" fmla="*/ 17505 h 427834"/>
              <a:gd name="connsiteX25" fmla="*/ 369924 w 374683"/>
              <a:gd name="connsiteY25" fmla="*/ 4662 h 427834"/>
              <a:gd name="connsiteX26" fmla="*/ 367354 w 374683"/>
              <a:gd name="connsiteY26" fmla="*/ 7135 h 4278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</a:cxnLst>
            <a:rect l="l" t="t" r="r" b="b"/>
            <a:pathLst>
              <a:path w="374683" h="427834">
                <a:moveTo>
                  <a:pt x="367354" y="7135"/>
                </a:moveTo>
                <a:lnTo>
                  <a:pt x="367354" y="7135"/>
                </a:lnTo>
                <a:lnTo>
                  <a:pt x="367354" y="7135"/>
                </a:lnTo>
                <a:lnTo>
                  <a:pt x="369924" y="4757"/>
                </a:lnTo>
                <a:cubicBezTo>
                  <a:pt x="366973" y="1617"/>
                  <a:pt x="363356" y="0"/>
                  <a:pt x="359357" y="0"/>
                </a:cubicBezTo>
                <a:lnTo>
                  <a:pt x="15421" y="0"/>
                </a:lnTo>
                <a:cubicBezTo>
                  <a:pt x="11423" y="0"/>
                  <a:pt x="7806" y="1712"/>
                  <a:pt x="4760" y="5042"/>
                </a:cubicBezTo>
                <a:cubicBezTo>
                  <a:pt x="1618" y="8562"/>
                  <a:pt x="0" y="12749"/>
                  <a:pt x="0" y="17696"/>
                </a:cubicBezTo>
                <a:lnTo>
                  <a:pt x="0" y="60983"/>
                </a:lnTo>
                <a:cubicBezTo>
                  <a:pt x="0" y="66121"/>
                  <a:pt x="1618" y="70402"/>
                  <a:pt x="4855" y="73541"/>
                </a:cubicBezTo>
                <a:cubicBezTo>
                  <a:pt x="7806" y="76491"/>
                  <a:pt x="11423" y="78013"/>
                  <a:pt x="15421" y="78013"/>
                </a:cubicBezTo>
                <a:lnTo>
                  <a:pt x="148979" y="78013"/>
                </a:lnTo>
                <a:lnTo>
                  <a:pt x="148979" y="410234"/>
                </a:lnTo>
                <a:cubicBezTo>
                  <a:pt x="148979" y="415181"/>
                  <a:pt x="150597" y="419367"/>
                  <a:pt x="153738" y="422888"/>
                </a:cubicBezTo>
                <a:cubicBezTo>
                  <a:pt x="156689" y="426217"/>
                  <a:pt x="160307" y="427835"/>
                  <a:pt x="164305" y="427835"/>
                </a:cubicBezTo>
                <a:lnTo>
                  <a:pt x="210950" y="427835"/>
                </a:lnTo>
                <a:cubicBezTo>
                  <a:pt x="215234" y="427835"/>
                  <a:pt x="218851" y="426122"/>
                  <a:pt x="221707" y="422792"/>
                </a:cubicBezTo>
                <a:cubicBezTo>
                  <a:pt x="224753" y="419272"/>
                  <a:pt x="226276" y="415086"/>
                  <a:pt x="226276" y="410139"/>
                </a:cubicBezTo>
                <a:lnTo>
                  <a:pt x="226181" y="99609"/>
                </a:lnTo>
                <a:lnTo>
                  <a:pt x="226371" y="98753"/>
                </a:lnTo>
                <a:cubicBezTo>
                  <a:pt x="228846" y="85529"/>
                  <a:pt x="237509" y="77918"/>
                  <a:pt x="250075" y="77918"/>
                </a:cubicBezTo>
                <a:lnTo>
                  <a:pt x="359262" y="77918"/>
                </a:lnTo>
                <a:cubicBezTo>
                  <a:pt x="363260" y="77918"/>
                  <a:pt x="366878" y="76301"/>
                  <a:pt x="369829" y="73256"/>
                </a:cubicBezTo>
                <a:cubicBezTo>
                  <a:pt x="373065" y="69926"/>
                  <a:pt x="374683" y="65740"/>
                  <a:pt x="374683" y="60793"/>
                </a:cubicBezTo>
                <a:lnTo>
                  <a:pt x="374683" y="17505"/>
                </a:lnTo>
                <a:cubicBezTo>
                  <a:pt x="374683" y="12368"/>
                  <a:pt x="373065" y="8087"/>
                  <a:pt x="369924" y="4662"/>
                </a:cubicBezTo>
                <a:lnTo>
                  <a:pt x="367354" y="7135"/>
                </a:lnTo>
                <a:close/>
              </a:path>
            </a:pathLst>
          </a:custGeom>
          <a:grpFill/>
          <a:ln w="9508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solidFill>
                <a:prstClr val="black"/>
              </a:solidFill>
            </a:endParaRPr>
          </a:p>
        </xdr:txBody>
      </xdr:sp>
      <xdr:sp macro="" textlink="">
        <xdr:nvSpPr>
          <xdr:cNvPr id="12" name="Forma Livre 53">
            <a:extLst>
              <a:ext uri="{FF2B5EF4-FFF2-40B4-BE49-F238E27FC236}">
  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6C7CFF7F-4EBE-8583-693A-D4905CB75971}"/>
              </a:ext>
            </a:extLst>
          </xdr:cNvPr>
          <xdr:cNvSpPr/>
        </xdr:nvSpPr>
        <xdr:spPr>
          <a:xfrm>
            <a:off x="4964904" y="3227022"/>
            <a:ext cx="371066" cy="428024"/>
          </a:xfrm>
          <a:custGeom>
            <a:avLst/>
            <a:gdLst>
              <a:gd name="connsiteX0" fmla="*/ 355550 w 371066"/>
              <a:gd name="connsiteY0" fmla="*/ 347634 h 428024"/>
              <a:gd name="connsiteX1" fmla="*/ 150311 w 371066"/>
              <a:gd name="connsiteY1" fmla="*/ 347634 h 428024"/>
              <a:gd name="connsiteX2" fmla="*/ 150311 w 371066"/>
              <a:gd name="connsiteY2" fmla="*/ 255255 h 428024"/>
              <a:gd name="connsiteX3" fmla="*/ 214091 w 371066"/>
              <a:gd name="connsiteY3" fmla="*/ 255255 h 428024"/>
              <a:gd name="connsiteX4" fmla="*/ 226467 w 371066"/>
              <a:gd name="connsiteY4" fmla="*/ 240889 h 428024"/>
              <a:gd name="connsiteX5" fmla="*/ 226467 w 371066"/>
              <a:gd name="connsiteY5" fmla="*/ 183521 h 428024"/>
              <a:gd name="connsiteX6" fmla="*/ 214091 w 371066"/>
              <a:gd name="connsiteY6" fmla="*/ 169155 h 428024"/>
              <a:gd name="connsiteX7" fmla="*/ 150311 w 371066"/>
              <a:gd name="connsiteY7" fmla="*/ 169155 h 428024"/>
              <a:gd name="connsiteX8" fmla="*/ 150407 w 371066"/>
              <a:gd name="connsiteY8" fmla="*/ 99229 h 428024"/>
              <a:gd name="connsiteX9" fmla="*/ 174205 w 371066"/>
              <a:gd name="connsiteY9" fmla="*/ 78013 h 428024"/>
              <a:gd name="connsiteX10" fmla="*/ 353265 w 371066"/>
              <a:gd name="connsiteY10" fmla="*/ 78013 h 428024"/>
              <a:gd name="connsiteX11" fmla="*/ 363641 w 371066"/>
              <a:gd name="connsiteY11" fmla="*/ 73351 h 428024"/>
              <a:gd name="connsiteX12" fmla="*/ 368115 w 371066"/>
              <a:gd name="connsiteY12" fmla="*/ 60983 h 428024"/>
              <a:gd name="connsiteX13" fmla="*/ 368115 w 371066"/>
              <a:gd name="connsiteY13" fmla="*/ 17696 h 428024"/>
              <a:gd name="connsiteX14" fmla="*/ 363641 w 371066"/>
              <a:gd name="connsiteY14" fmla="*/ 4852 h 428024"/>
              <a:gd name="connsiteX15" fmla="*/ 353265 w 371066"/>
              <a:gd name="connsiteY15" fmla="*/ 0 h 428024"/>
              <a:gd name="connsiteX16" fmla="*/ 89006 w 371066"/>
              <a:gd name="connsiteY16" fmla="*/ 0 h 428024"/>
              <a:gd name="connsiteX17" fmla="*/ 77678 w 371066"/>
              <a:gd name="connsiteY17" fmla="*/ 5233 h 428024"/>
              <a:gd name="connsiteX18" fmla="*/ 73395 w 371066"/>
              <a:gd name="connsiteY18" fmla="*/ 17696 h 428024"/>
              <a:gd name="connsiteX19" fmla="*/ 73395 w 371066"/>
              <a:gd name="connsiteY19" fmla="*/ 169250 h 428024"/>
              <a:gd name="connsiteX20" fmla="*/ 12375 w 371066"/>
              <a:gd name="connsiteY20" fmla="*/ 169250 h 428024"/>
              <a:gd name="connsiteX21" fmla="*/ 0 w 371066"/>
              <a:gd name="connsiteY21" fmla="*/ 183616 h 428024"/>
              <a:gd name="connsiteX22" fmla="*/ 0 w 371066"/>
              <a:gd name="connsiteY22" fmla="*/ 240984 h 428024"/>
              <a:gd name="connsiteX23" fmla="*/ 12375 w 371066"/>
              <a:gd name="connsiteY23" fmla="*/ 255350 h 428024"/>
              <a:gd name="connsiteX24" fmla="*/ 73109 w 371066"/>
              <a:gd name="connsiteY24" fmla="*/ 255350 h 428024"/>
              <a:gd name="connsiteX25" fmla="*/ 73490 w 371066"/>
              <a:gd name="connsiteY25" fmla="*/ 261724 h 428024"/>
              <a:gd name="connsiteX26" fmla="*/ 73490 w 371066"/>
              <a:gd name="connsiteY26" fmla="*/ 401482 h 428024"/>
              <a:gd name="connsiteX27" fmla="*/ 79106 w 371066"/>
              <a:gd name="connsiteY27" fmla="*/ 422127 h 428024"/>
              <a:gd name="connsiteX28" fmla="*/ 97003 w 371066"/>
              <a:gd name="connsiteY28" fmla="*/ 428025 h 428024"/>
              <a:gd name="connsiteX29" fmla="*/ 355645 w 371066"/>
              <a:gd name="connsiteY29" fmla="*/ 428025 h 428024"/>
              <a:gd name="connsiteX30" fmla="*/ 366116 w 371066"/>
              <a:gd name="connsiteY30" fmla="*/ 423363 h 428024"/>
              <a:gd name="connsiteX31" fmla="*/ 371066 w 371066"/>
              <a:gd name="connsiteY31" fmla="*/ 409093 h 428024"/>
              <a:gd name="connsiteX32" fmla="*/ 371066 w 371066"/>
              <a:gd name="connsiteY32" fmla="*/ 365710 h 428024"/>
              <a:gd name="connsiteX33" fmla="*/ 366211 w 371066"/>
              <a:gd name="connsiteY33" fmla="*/ 352676 h 428024"/>
              <a:gd name="connsiteX34" fmla="*/ 355550 w 371066"/>
              <a:gd name="connsiteY34" fmla="*/ 347634 h 42802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</a:cxnLst>
            <a:rect l="l" t="t" r="r" b="b"/>
            <a:pathLst>
              <a:path w="371066" h="428024">
                <a:moveTo>
                  <a:pt x="355550" y="347634"/>
                </a:moveTo>
                <a:lnTo>
                  <a:pt x="150311" y="347634"/>
                </a:lnTo>
                <a:lnTo>
                  <a:pt x="150311" y="255255"/>
                </a:lnTo>
                <a:lnTo>
                  <a:pt x="214091" y="255255"/>
                </a:lnTo>
                <a:cubicBezTo>
                  <a:pt x="220945" y="255255"/>
                  <a:pt x="226467" y="248785"/>
                  <a:pt x="226467" y="240889"/>
                </a:cubicBezTo>
                <a:lnTo>
                  <a:pt x="226467" y="183521"/>
                </a:lnTo>
                <a:cubicBezTo>
                  <a:pt x="226467" y="175624"/>
                  <a:pt x="220945" y="169155"/>
                  <a:pt x="214091" y="169155"/>
                </a:cubicBezTo>
                <a:lnTo>
                  <a:pt x="150311" y="169155"/>
                </a:lnTo>
                <a:lnTo>
                  <a:pt x="150407" y="99229"/>
                </a:lnTo>
                <a:cubicBezTo>
                  <a:pt x="152691" y="85719"/>
                  <a:pt x="161354" y="78013"/>
                  <a:pt x="174205" y="78013"/>
                </a:cubicBezTo>
                <a:lnTo>
                  <a:pt x="353265" y="78013"/>
                </a:lnTo>
                <a:cubicBezTo>
                  <a:pt x="357358" y="78013"/>
                  <a:pt x="360785" y="76396"/>
                  <a:pt x="363641" y="73351"/>
                </a:cubicBezTo>
                <a:cubicBezTo>
                  <a:pt x="366592" y="70021"/>
                  <a:pt x="368115" y="65931"/>
                  <a:pt x="368115" y="60983"/>
                </a:cubicBezTo>
                <a:lnTo>
                  <a:pt x="368115" y="17696"/>
                </a:lnTo>
                <a:cubicBezTo>
                  <a:pt x="368115" y="12558"/>
                  <a:pt x="366592" y="8277"/>
                  <a:pt x="363641" y="4852"/>
                </a:cubicBezTo>
                <a:cubicBezTo>
                  <a:pt x="360785" y="1617"/>
                  <a:pt x="357358" y="0"/>
                  <a:pt x="353265" y="0"/>
                </a:cubicBezTo>
                <a:lnTo>
                  <a:pt x="89006" y="0"/>
                </a:lnTo>
                <a:cubicBezTo>
                  <a:pt x="84532" y="0"/>
                  <a:pt x="80439" y="1903"/>
                  <a:pt x="77678" y="5233"/>
                </a:cubicBezTo>
                <a:cubicBezTo>
                  <a:pt x="74822" y="8658"/>
                  <a:pt x="73395" y="12939"/>
                  <a:pt x="73395" y="17696"/>
                </a:cubicBezTo>
                <a:lnTo>
                  <a:pt x="73395" y="169250"/>
                </a:lnTo>
                <a:lnTo>
                  <a:pt x="12375" y="169250"/>
                </a:lnTo>
                <a:cubicBezTo>
                  <a:pt x="5521" y="169250"/>
                  <a:pt x="0" y="175720"/>
                  <a:pt x="0" y="183616"/>
                </a:cubicBezTo>
                <a:lnTo>
                  <a:pt x="0" y="240984"/>
                </a:lnTo>
                <a:cubicBezTo>
                  <a:pt x="0" y="248880"/>
                  <a:pt x="5521" y="255350"/>
                  <a:pt x="12375" y="255350"/>
                </a:cubicBezTo>
                <a:lnTo>
                  <a:pt x="73109" y="255350"/>
                </a:lnTo>
                <a:lnTo>
                  <a:pt x="73490" y="261724"/>
                </a:lnTo>
                <a:lnTo>
                  <a:pt x="73490" y="401482"/>
                </a:lnTo>
                <a:cubicBezTo>
                  <a:pt x="73490" y="411281"/>
                  <a:pt x="75298" y="417940"/>
                  <a:pt x="79106" y="422127"/>
                </a:cubicBezTo>
                <a:cubicBezTo>
                  <a:pt x="80439" y="423554"/>
                  <a:pt x="84437" y="428025"/>
                  <a:pt x="97003" y="428025"/>
                </a:cubicBezTo>
                <a:lnTo>
                  <a:pt x="355645" y="428025"/>
                </a:lnTo>
                <a:cubicBezTo>
                  <a:pt x="359738" y="428025"/>
                  <a:pt x="363260" y="426503"/>
                  <a:pt x="366116" y="423363"/>
                </a:cubicBezTo>
                <a:cubicBezTo>
                  <a:pt x="369258" y="420033"/>
                  <a:pt x="371066" y="414801"/>
                  <a:pt x="371066" y="409093"/>
                </a:cubicBezTo>
                <a:lnTo>
                  <a:pt x="371066" y="365710"/>
                </a:lnTo>
                <a:cubicBezTo>
                  <a:pt x="371066" y="360572"/>
                  <a:pt x="369448" y="356196"/>
                  <a:pt x="366211" y="352676"/>
                </a:cubicBezTo>
                <a:cubicBezTo>
                  <a:pt x="362975" y="349251"/>
                  <a:pt x="359548" y="347634"/>
                  <a:pt x="355550" y="347634"/>
                </a:cubicBezTo>
              </a:path>
            </a:pathLst>
          </a:custGeom>
          <a:grpFill/>
          <a:ln w="9508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solidFill>
                <a:prstClr val="black"/>
              </a:solidFill>
            </a:endParaRPr>
          </a:p>
        </xdr:txBody>
      </xdr:sp>
      <xdr:sp macro="" textlink="">
        <xdr:nvSpPr>
          <xdr:cNvPr id="13" name="Forma Livre 54">
            <a:extLst>
              <a:ext uri="{FF2B5EF4-FFF2-40B4-BE49-F238E27FC236}">
  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8DCFF328-0652-78F5-3B47-DC7CF08595B0}"/>
              </a:ext>
            </a:extLst>
          </xdr:cNvPr>
          <xdr:cNvSpPr/>
        </xdr:nvSpPr>
        <xdr:spPr>
          <a:xfrm>
            <a:off x="4270369" y="3227022"/>
            <a:ext cx="644177" cy="427929"/>
          </a:xfrm>
          <a:custGeom>
            <a:avLst/>
            <a:gdLst>
              <a:gd name="connsiteX0" fmla="*/ 628852 w 644177"/>
              <a:gd name="connsiteY0" fmla="*/ 0 h 427929"/>
              <a:gd name="connsiteX1" fmla="*/ 574115 w 644177"/>
              <a:gd name="connsiteY1" fmla="*/ 0 h 427929"/>
              <a:gd name="connsiteX2" fmla="*/ 564501 w 644177"/>
              <a:gd name="connsiteY2" fmla="*/ 4567 h 427929"/>
              <a:gd name="connsiteX3" fmla="*/ 351647 w 644177"/>
              <a:gd name="connsiteY3" fmla="*/ 273331 h 427929"/>
              <a:gd name="connsiteX4" fmla="*/ 337082 w 644177"/>
              <a:gd name="connsiteY4" fmla="*/ 277707 h 427929"/>
              <a:gd name="connsiteX5" fmla="*/ 327753 w 644177"/>
              <a:gd name="connsiteY5" fmla="*/ 264198 h 427929"/>
              <a:gd name="connsiteX6" fmla="*/ 327753 w 644177"/>
              <a:gd name="connsiteY6" fmla="*/ 17696 h 427929"/>
              <a:gd name="connsiteX7" fmla="*/ 322993 w 644177"/>
              <a:gd name="connsiteY7" fmla="*/ 5042 h 427929"/>
              <a:gd name="connsiteX8" fmla="*/ 312332 w 644177"/>
              <a:gd name="connsiteY8" fmla="*/ 95 h 427929"/>
              <a:gd name="connsiteX9" fmla="*/ 257595 w 644177"/>
              <a:gd name="connsiteY9" fmla="*/ 95 h 427929"/>
              <a:gd name="connsiteX10" fmla="*/ 247980 w 644177"/>
              <a:gd name="connsiteY10" fmla="*/ 4662 h 427929"/>
              <a:gd name="connsiteX11" fmla="*/ 7425 w 644177"/>
              <a:gd name="connsiteY11" fmla="*/ 302063 h 427929"/>
              <a:gd name="connsiteX12" fmla="*/ 1237 w 644177"/>
              <a:gd name="connsiteY12" fmla="*/ 319663 h 427929"/>
              <a:gd name="connsiteX13" fmla="*/ 0 w 644177"/>
              <a:gd name="connsiteY13" fmla="*/ 413184 h 427929"/>
              <a:gd name="connsiteX14" fmla="*/ 6188 w 644177"/>
              <a:gd name="connsiteY14" fmla="*/ 424695 h 427929"/>
              <a:gd name="connsiteX15" fmla="*/ 15517 w 644177"/>
              <a:gd name="connsiteY15" fmla="*/ 421841 h 427929"/>
              <a:gd name="connsiteX16" fmla="*/ 227418 w 644177"/>
              <a:gd name="connsiteY16" fmla="*/ 155360 h 427929"/>
              <a:gd name="connsiteX17" fmla="*/ 241983 w 644177"/>
              <a:gd name="connsiteY17" fmla="*/ 150984 h 427929"/>
              <a:gd name="connsiteX18" fmla="*/ 251312 w 644177"/>
              <a:gd name="connsiteY18" fmla="*/ 164493 h 427929"/>
              <a:gd name="connsiteX19" fmla="*/ 251312 w 644177"/>
              <a:gd name="connsiteY19" fmla="*/ 409568 h 427929"/>
              <a:gd name="connsiteX20" fmla="*/ 254834 w 644177"/>
              <a:gd name="connsiteY20" fmla="*/ 421651 h 427929"/>
              <a:gd name="connsiteX21" fmla="*/ 266162 w 644177"/>
              <a:gd name="connsiteY21" fmla="*/ 427930 h 427929"/>
              <a:gd name="connsiteX22" fmla="*/ 321089 w 644177"/>
              <a:gd name="connsiteY22" fmla="*/ 427930 h 427929"/>
              <a:gd name="connsiteX23" fmla="*/ 331751 w 644177"/>
              <a:gd name="connsiteY23" fmla="*/ 422222 h 427929"/>
              <a:gd name="connsiteX24" fmla="*/ 544415 w 644177"/>
              <a:gd name="connsiteY24" fmla="*/ 154789 h 427929"/>
              <a:gd name="connsiteX25" fmla="*/ 558979 w 644177"/>
              <a:gd name="connsiteY25" fmla="*/ 150413 h 427929"/>
              <a:gd name="connsiteX26" fmla="*/ 568308 w 644177"/>
              <a:gd name="connsiteY26" fmla="*/ 163922 h 427929"/>
              <a:gd name="connsiteX27" fmla="*/ 568308 w 644177"/>
              <a:gd name="connsiteY27" fmla="*/ 409093 h 427929"/>
              <a:gd name="connsiteX28" fmla="*/ 573258 w 644177"/>
              <a:gd name="connsiteY28" fmla="*/ 423268 h 427929"/>
              <a:gd name="connsiteX29" fmla="*/ 583730 w 644177"/>
              <a:gd name="connsiteY29" fmla="*/ 427930 h 427929"/>
              <a:gd name="connsiteX30" fmla="*/ 627995 w 644177"/>
              <a:gd name="connsiteY30" fmla="*/ 427930 h 427929"/>
              <a:gd name="connsiteX31" fmla="*/ 638181 w 644177"/>
              <a:gd name="connsiteY31" fmla="*/ 424220 h 427929"/>
              <a:gd name="connsiteX32" fmla="*/ 644178 w 644177"/>
              <a:gd name="connsiteY32" fmla="*/ 410234 h 427929"/>
              <a:gd name="connsiteX33" fmla="*/ 644178 w 644177"/>
              <a:gd name="connsiteY33" fmla="*/ 17696 h 427929"/>
              <a:gd name="connsiteX34" fmla="*/ 639418 w 644177"/>
              <a:gd name="connsiteY34" fmla="*/ 5042 h 427929"/>
              <a:gd name="connsiteX35" fmla="*/ 628852 w 644177"/>
              <a:gd name="connsiteY35" fmla="*/ 0 h 42792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</a:cxnLst>
            <a:rect l="l" t="t" r="r" b="b"/>
            <a:pathLst>
              <a:path w="644177" h="427929">
                <a:moveTo>
                  <a:pt x="628852" y="0"/>
                </a:moveTo>
                <a:lnTo>
                  <a:pt x="574115" y="0"/>
                </a:lnTo>
                <a:cubicBezTo>
                  <a:pt x="569546" y="0"/>
                  <a:pt x="566309" y="1617"/>
                  <a:pt x="564501" y="4567"/>
                </a:cubicBezTo>
                <a:lnTo>
                  <a:pt x="351647" y="273331"/>
                </a:lnTo>
                <a:cubicBezTo>
                  <a:pt x="348029" y="277802"/>
                  <a:pt x="342318" y="279610"/>
                  <a:pt x="337082" y="277707"/>
                </a:cubicBezTo>
                <a:cubicBezTo>
                  <a:pt x="331561" y="275805"/>
                  <a:pt x="327753" y="270286"/>
                  <a:pt x="327753" y="264198"/>
                </a:cubicBezTo>
                <a:lnTo>
                  <a:pt x="327753" y="17696"/>
                </a:lnTo>
                <a:cubicBezTo>
                  <a:pt x="327753" y="12749"/>
                  <a:pt x="326135" y="8467"/>
                  <a:pt x="322993" y="5042"/>
                </a:cubicBezTo>
                <a:cubicBezTo>
                  <a:pt x="319947" y="1712"/>
                  <a:pt x="316425" y="95"/>
                  <a:pt x="312332" y="95"/>
                </a:cubicBezTo>
                <a:lnTo>
                  <a:pt x="257595" y="95"/>
                </a:lnTo>
                <a:cubicBezTo>
                  <a:pt x="253026" y="95"/>
                  <a:pt x="249789" y="1712"/>
                  <a:pt x="247980" y="4662"/>
                </a:cubicBezTo>
                <a:lnTo>
                  <a:pt x="7425" y="302063"/>
                </a:lnTo>
                <a:cubicBezTo>
                  <a:pt x="3522" y="306915"/>
                  <a:pt x="1333" y="313194"/>
                  <a:pt x="1237" y="319663"/>
                </a:cubicBezTo>
                <a:lnTo>
                  <a:pt x="0" y="413184"/>
                </a:lnTo>
                <a:cubicBezTo>
                  <a:pt x="0" y="418892"/>
                  <a:pt x="2380" y="423268"/>
                  <a:pt x="6188" y="424695"/>
                </a:cubicBezTo>
                <a:cubicBezTo>
                  <a:pt x="9329" y="425932"/>
                  <a:pt x="12756" y="424885"/>
                  <a:pt x="15517" y="421841"/>
                </a:cubicBezTo>
                <a:lnTo>
                  <a:pt x="227418" y="155360"/>
                </a:lnTo>
                <a:cubicBezTo>
                  <a:pt x="231036" y="150889"/>
                  <a:pt x="236747" y="149176"/>
                  <a:pt x="241983" y="150984"/>
                </a:cubicBezTo>
                <a:cubicBezTo>
                  <a:pt x="247504" y="152886"/>
                  <a:pt x="251312" y="158404"/>
                  <a:pt x="251312" y="164493"/>
                </a:cubicBezTo>
                <a:lnTo>
                  <a:pt x="251312" y="409568"/>
                </a:lnTo>
                <a:cubicBezTo>
                  <a:pt x="251312" y="414230"/>
                  <a:pt x="252550" y="418511"/>
                  <a:pt x="254834" y="421651"/>
                </a:cubicBezTo>
                <a:cubicBezTo>
                  <a:pt x="257785" y="425837"/>
                  <a:pt x="261593" y="427930"/>
                  <a:pt x="266162" y="427930"/>
                </a:cubicBezTo>
                <a:lnTo>
                  <a:pt x="321089" y="427930"/>
                </a:lnTo>
                <a:cubicBezTo>
                  <a:pt x="326801" y="427930"/>
                  <a:pt x="328895" y="425837"/>
                  <a:pt x="331751" y="422222"/>
                </a:cubicBezTo>
                <a:lnTo>
                  <a:pt x="544415" y="154789"/>
                </a:lnTo>
                <a:cubicBezTo>
                  <a:pt x="547937" y="150318"/>
                  <a:pt x="553744" y="148605"/>
                  <a:pt x="558979" y="150413"/>
                </a:cubicBezTo>
                <a:cubicBezTo>
                  <a:pt x="564501" y="152316"/>
                  <a:pt x="568308" y="157834"/>
                  <a:pt x="568308" y="163922"/>
                </a:cubicBezTo>
                <a:lnTo>
                  <a:pt x="568308" y="409093"/>
                </a:lnTo>
                <a:cubicBezTo>
                  <a:pt x="568308" y="414706"/>
                  <a:pt x="570117" y="419843"/>
                  <a:pt x="573258" y="423268"/>
                </a:cubicBezTo>
                <a:cubicBezTo>
                  <a:pt x="576114" y="426313"/>
                  <a:pt x="579636" y="427930"/>
                  <a:pt x="583730" y="427930"/>
                </a:cubicBezTo>
                <a:lnTo>
                  <a:pt x="627995" y="427930"/>
                </a:lnTo>
                <a:cubicBezTo>
                  <a:pt x="631898" y="427930"/>
                  <a:pt x="635515" y="426598"/>
                  <a:pt x="638181" y="424220"/>
                </a:cubicBezTo>
                <a:cubicBezTo>
                  <a:pt x="642179" y="420699"/>
                  <a:pt x="644178" y="416038"/>
                  <a:pt x="644178" y="410234"/>
                </a:cubicBezTo>
                <a:lnTo>
                  <a:pt x="644178" y="17696"/>
                </a:lnTo>
                <a:cubicBezTo>
                  <a:pt x="644178" y="12749"/>
                  <a:pt x="642560" y="8467"/>
                  <a:pt x="639418" y="5042"/>
                </a:cubicBezTo>
                <a:cubicBezTo>
                  <a:pt x="636467" y="1712"/>
                  <a:pt x="632945" y="0"/>
                  <a:pt x="628852" y="0"/>
                </a:cubicBezTo>
              </a:path>
            </a:pathLst>
          </a:custGeom>
          <a:grpFill/>
          <a:ln w="9508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solidFill>
                <a:prstClr val="black"/>
              </a:solidFill>
            </a:endParaRPr>
          </a:p>
        </xdr:txBody>
      </xdr:sp>
      <xdr:sp macro="" textlink="">
        <xdr:nvSpPr>
          <xdr:cNvPr id="14" name="Forma Livre 55">
            <a:extLst>
              <a:ext uri="{FF2B5EF4-FFF2-40B4-BE49-F238E27FC236}">
  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15470F10-5F09-2D1C-5C50-7349D7129F57}"/>
              </a:ext>
            </a:extLst>
          </xdr:cNvPr>
          <xdr:cNvSpPr/>
        </xdr:nvSpPr>
        <xdr:spPr>
          <a:xfrm>
            <a:off x="4519872" y="3021715"/>
            <a:ext cx="138983" cy="127199"/>
          </a:xfrm>
          <a:custGeom>
            <a:avLst/>
            <a:gdLst>
              <a:gd name="connsiteX0" fmla="*/ 90720 w 138983"/>
              <a:gd name="connsiteY0" fmla="*/ 97516 h 127199"/>
              <a:gd name="connsiteX1" fmla="*/ 106332 w 138983"/>
              <a:gd name="connsiteY1" fmla="*/ 84863 h 127199"/>
              <a:gd name="connsiteX2" fmla="*/ 92148 w 138983"/>
              <a:gd name="connsiteY2" fmla="*/ 73541 h 127199"/>
              <a:gd name="connsiteX3" fmla="*/ 33889 w 138983"/>
              <a:gd name="connsiteY3" fmla="*/ 73541 h 127199"/>
              <a:gd name="connsiteX4" fmla="*/ 31890 w 138983"/>
              <a:gd name="connsiteY4" fmla="*/ 75635 h 127199"/>
              <a:gd name="connsiteX5" fmla="*/ 31890 w 138983"/>
              <a:gd name="connsiteY5" fmla="*/ 95423 h 127199"/>
              <a:gd name="connsiteX6" fmla="*/ 33889 w 138983"/>
              <a:gd name="connsiteY6" fmla="*/ 97421 h 127199"/>
              <a:gd name="connsiteX7" fmla="*/ 90720 w 138983"/>
              <a:gd name="connsiteY7" fmla="*/ 97421 h 127199"/>
              <a:gd name="connsiteX8" fmla="*/ 83390 w 138983"/>
              <a:gd name="connsiteY8" fmla="*/ 51089 h 127199"/>
              <a:gd name="connsiteX9" fmla="*/ 97193 w 138983"/>
              <a:gd name="connsiteY9" fmla="*/ 39577 h 127199"/>
              <a:gd name="connsiteX10" fmla="*/ 84532 w 138983"/>
              <a:gd name="connsiteY10" fmla="*/ 29398 h 127199"/>
              <a:gd name="connsiteX11" fmla="*/ 33984 w 138983"/>
              <a:gd name="connsiteY11" fmla="*/ 29398 h 127199"/>
              <a:gd name="connsiteX12" fmla="*/ 31985 w 138983"/>
              <a:gd name="connsiteY12" fmla="*/ 31491 h 127199"/>
              <a:gd name="connsiteX13" fmla="*/ 31985 w 138983"/>
              <a:gd name="connsiteY13" fmla="*/ 48996 h 127199"/>
              <a:gd name="connsiteX14" fmla="*/ 33984 w 138983"/>
              <a:gd name="connsiteY14" fmla="*/ 51089 h 127199"/>
              <a:gd name="connsiteX15" fmla="*/ 83390 w 138983"/>
              <a:gd name="connsiteY15" fmla="*/ 51089 h 127199"/>
              <a:gd name="connsiteX16" fmla="*/ 5616 w 138983"/>
              <a:gd name="connsiteY16" fmla="*/ 127199 h 127199"/>
              <a:gd name="connsiteX17" fmla="*/ 0 w 138983"/>
              <a:gd name="connsiteY17" fmla="*/ 121586 h 127199"/>
              <a:gd name="connsiteX18" fmla="*/ 0 w 138983"/>
              <a:gd name="connsiteY18" fmla="*/ 5613 h 127199"/>
              <a:gd name="connsiteX19" fmla="*/ 5616 w 138983"/>
              <a:gd name="connsiteY19" fmla="*/ 0 h 127199"/>
              <a:gd name="connsiteX20" fmla="*/ 90149 w 138983"/>
              <a:gd name="connsiteY20" fmla="*/ 0 h 127199"/>
              <a:gd name="connsiteX21" fmla="*/ 129749 w 138983"/>
              <a:gd name="connsiteY21" fmla="*/ 31491 h 127199"/>
              <a:gd name="connsiteX22" fmla="*/ 115756 w 138983"/>
              <a:gd name="connsiteY22" fmla="*/ 58319 h 127199"/>
              <a:gd name="connsiteX23" fmla="*/ 115946 w 138983"/>
              <a:gd name="connsiteY23" fmla="*/ 60603 h 127199"/>
              <a:gd name="connsiteX24" fmla="*/ 138983 w 138983"/>
              <a:gd name="connsiteY24" fmla="*/ 89810 h 127199"/>
              <a:gd name="connsiteX25" fmla="*/ 96146 w 138983"/>
              <a:gd name="connsiteY25" fmla="*/ 127199 h 127199"/>
              <a:gd name="connsiteX26" fmla="*/ 5616 w 138983"/>
              <a:gd name="connsiteY26" fmla="*/ 127199 h 1271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</a:cxnLst>
            <a:rect l="l" t="t" r="r" b="b"/>
            <a:pathLst>
              <a:path w="138983" h="127199">
                <a:moveTo>
                  <a:pt x="90720" y="97516"/>
                </a:moveTo>
                <a:cubicBezTo>
                  <a:pt x="101096" y="97516"/>
                  <a:pt x="106332" y="93330"/>
                  <a:pt x="106332" y="84863"/>
                </a:cubicBezTo>
                <a:cubicBezTo>
                  <a:pt x="106332" y="77347"/>
                  <a:pt x="101667" y="73541"/>
                  <a:pt x="92148" y="73541"/>
                </a:cubicBezTo>
                <a:lnTo>
                  <a:pt x="33889" y="73541"/>
                </a:lnTo>
                <a:cubicBezTo>
                  <a:pt x="32556" y="73541"/>
                  <a:pt x="31795" y="74303"/>
                  <a:pt x="31890" y="75635"/>
                </a:cubicBezTo>
                <a:lnTo>
                  <a:pt x="31890" y="95423"/>
                </a:lnTo>
                <a:cubicBezTo>
                  <a:pt x="31795" y="96850"/>
                  <a:pt x="32556" y="97421"/>
                  <a:pt x="33889" y="97421"/>
                </a:cubicBezTo>
                <a:lnTo>
                  <a:pt x="90720" y="97421"/>
                </a:lnTo>
                <a:close/>
                <a:moveTo>
                  <a:pt x="83390" y="51089"/>
                </a:moveTo>
                <a:cubicBezTo>
                  <a:pt x="91767" y="51089"/>
                  <a:pt x="97193" y="46617"/>
                  <a:pt x="97193" y="39577"/>
                </a:cubicBezTo>
                <a:cubicBezTo>
                  <a:pt x="97193" y="32727"/>
                  <a:pt x="93005" y="29398"/>
                  <a:pt x="84532" y="29398"/>
                </a:cubicBezTo>
                <a:lnTo>
                  <a:pt x="33984" y="29398"/>
                </a:lnTo>
                <a:cubicBezTo>
                  <a:pt x="32652" y="29398"/>
                  <a:pt x="31890" y="30159"/>
                  <a:pt x="31985" y="31491"/>
                </a:cubicBezTo>
                <a:lnTo>
                  <a:pt x="31985" y="48996"/>
                </a:lnTo>
                <a:cubicBezTo>
                  <a:pt x="31890" y="50423"/>
                  <a:pt x="32652" y="51089"/>
                  <a:pt x="33984" y="51089"/>
                </a:cubicBezTo>
                <a:lnTo>
                  <a:pt x="83390" y="51089"/>
                </a:lnTo>
                <a:close/>
                <a:moveTo>
                  <a:pt x="5616" y="127199"/>
                </a:moveTo>
                <a:cubicBezTo>
                  <a:pt x="2285" y="127199"/>
                  <a:pt x="0" y="124821"/>
                  <a:pt x="0" y="121586"/>
                </a:cubicBezTo>
                <a:lnTo>
                  <a:pt x="0" y="5613"/>
                </a:lnTo>
                <a:cubicBezTo>
                  <a:pt x="0" y="2283"/>
                  <a:pt x="2380" y="0"/>
                  <a:pt x="5616" y="0"/>
                </a:cubicBezTo>
                <a:lnTo>
                  <a:pt x="90149" y="0"/>
                </a:lnTo>
                <a:cubicBezTo>
                  <a:pt x="115566" y="0"/>
                  <a:pt x="129749" y="11131"/>
                  <a:pt x="129749" y="31491"/>
                </a:cubicBezTo>
                <a:cubicBezTo>
                  <a:pt x="129749" y="43573"/>
                  <a:pt x="125085" y="52516"/>
                  <a:pt x="115756" y="58319"/>
                </a:cubicBezTo>
                <a:cubicBezTo>
                  <a:pt x="114518" y="59366"/>
                  <a:pt x="114518" y="60032"/>
                  <a:pt x="115946" y="60603"/>
                </a:cubicBezTo>
                <a:cubicBezTo>
                  <a:pt x="130321" y="64694"/>
                  <a:pt x="138983" y="75539"/>
                  <a:pt x="138983" y="89810"/>
                </a:cubicBezTo>
                <a:cubicBezTo>
                  <a:pt x="138983" y="114736"/>
                  <a:pt x="123086" y="127199"/>
                  <a:pt x="96146" y="127199"/>
                </a:cubicBezTo>
                <a:lnTo>
                  <a:pt x="5616" y="127199"/>
                </a:lnTo>
                <a:close/>
              </a:path>
            </a:pathLst>
          </a:custGeom>
          <a:grpFill/>
          <a:ln w="9508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solidFill>
                <a:prstClr val="black"/>
              </a:solidFill>
            </a:endParaRPr>
          </a:p>
        </xdr:txBody>
      </xdr:sp>
      <xdr:sp macro="" textlink="">
        <xdr:nvSpPr>
          <xdr:cNvPr id="15" name="Forma Livre 56">
            <a:extLst>
              <a:ext uri="{FF2B5EF4-FFF2-40B4-BE49-F238E27FC236}">
  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C5380D75-2144-51A3-0511-EE1DE29FE7B9}"/>
              </a:ext>
            </a:extLst>
          </xdr:cNvPr>
          <xdr:cNvSpPr/>
        </xdr:nvSpPr>
        <xdr:spPr>
          <a:xfrm>
            <a:off x="4675921" y="3021518"/>
            <a:ext cx="147950" cy="127395"/>
          </a:xfrm>
          <a:custGeom>
            <a:avLst/>
            <a:gdLst>
              <a:gd name="connsiteX0" fmla="*/ 94216 w 147950"/>
              <a:gd name="connsiteY0" fmla="*/ 82395 h 127395"/>
              <a:gd name="connsiteX1" fmla="*/ 95834 w 147950"/>
              <a:gd name="connsiteY1" fmla="*/ 79922 h 127395"/>
              <a:gd name="connsiteX2" fmla="*/ 75082 w 147950"/>
              <a:gd name="connsiteY2" fmla="*/ 32638 h 127395"/>
              <a:gd name="connsiteX3" fmla="*/ 72226 w 147950"/>
              <a:gd name="connsiteY3" fmla="*/ 32638 h 127395"/>
              <a:gd name="connsiteX4" fmla="*/ 51855 w 147950"/>
              <a:gd name="connsiteY4" fmla="*/ 79922 h 127395"/>
              <a:gd name="connsiteX5" fmla="*/ 53568 w 147950"/>
              <a:gd name="connsiteY5" fmla="*/ 82395 h 127395"/>
              <a:gd name="connsiteX6" fmla="*/ 94216 w 147950"/>
              <a:gd name="connsiteY6" fmla="*/ 82395 h 127395"/>
              <a:gd name="connsiteX7" fmla="*/ 6542 w 147950"/>
              <a:gd name="connsiteY7" fmla="*/ 127395 h 127395"/>
              <a:gd name="connsiteX8" fmla="*/ 1021 w 147950"/>
              <a:gd name="connsiteY8" fmla="*/ 124541 h 127395"/>
              <a:gd name="connsiteX9" fmla="*/ 640 w 147950"/>
              <a:gd name="connsiteY9" fmla="*/ 118357 h 127395"/>
              <a:gd name="connsiteX10" fmla="*/ 52140 w 147950"/>
              <a:gd name="connsiteY10" fmla="*/ 2955 h 127395"/>
              <a:gd name="connsiteX11" fmla="*/ 56805 w 147950"/>
              <a:gd name="connsiteY11" fmla="*/ 6 h 127395"/>
              <a:gd name="connsiteX12" fmla="*/ 90789 w 147950"/>
              <a:gd name="connsiteY12" fmla="*/ 6 h 127395"/>
              <a:gd name="connsiteX13" fmla="*/ 95263 w 147950"/>
              <a:gd name="connsiteY13" fmla="*/ 2955 h 127395"/>
              <a:gd name="connsiteX14" fmla="*/ 147334 w 147950"/>
              <a:gd name="connsiteY14" fmla="*/ 118357 h 127395"/>
              <a:gd name="connsiteX15" fmla="*/ 141528 w 147950"/>
              <a:gd name="connsiteY15" fmla="*/ 127395 h 127395"/>
              <a:gd name="connsiteX16" fmla="*/ 118491 w 147950"/>
              <a:gd name="connsiteY16" fmla="*/ 127395 h 127395"/>
              <a:gd name="connsiteX17" fmla="*/ 113826 w 147950"/>
              <a:gd name="connsiteY17" fmla="*/ 123971 h 127395"/>
              <a:gd name="connsiteX18" fmla="*/ 107734 w 147950"/>
              <a:gd name="connsiteY18" fmla="*/ 110080 h 127395"/>
              <a:gd name="connsiteX19" fmla="*/ 105354 w 147950"/>
              <a:gd name="connsiteY19" fmla="*/ 108558 h 127395"/>
              <a:gd name="connsiteX20" fmla="*/ 42716 w 147950"/>
              <a:gd name="connsiteY20" fmla="*/ 108558 h 127395"/>
              <a:gd name="connsiteX21" fmla="*/ 40241 w 147950"/>
              <a:gd name="connsiteY21" fmla="*/ 110080 h 127395"/>
              <a:gd name="connsiteX22" fmla="*/ 34244 w 147950"/>
              <a:gd name="connsiteY22" fmla="*/ 123971 h 127395"/>
              <a:gd name="connsiteX23" fmla="*/ 29484 w 147950"/>
              <a:gd name="connsiteY23" fmla="*/ 127395 h 127395"/>
              <a:gd name="connsiteX24" fmla="*/ 6542 w 147950"/>
              <a:gd name="connsiteY24" fmla="*/ 127395 h 127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</a:cxnLst>
            <a:rect l="l" t="t" r="r" b="b"/>
            <a:pathLst>
              <a:path w="147950" h="127395">
                <a:moveTo>
                  <a:pt x="94216" y="82395"/>
                </a:moveTo>
                <a:cubicBezTo>
                  <a:pt x="95930" y="82395"/>
                  <a:pt x="96501" y="81539"/>
                  <a:pt x="95834" y="79922"/>
                </a:cubicBezTo>
                <a:lnTo>
                  <a:pt x="75082" y="32638"/>
                </a:lnTo>
                <a:cubicBezTo>
                  <a:pt x="74606" y="30926"/>
                  <a:pt x="72988" y="30926"/>
                  <a:pt x="72226" y="32638"/>
                </a:cubicBezTo>
                <a:lnTo>
                  <a:pt x="51855" y="79922"/>
                </a:lnTo>
                <a:cubicBezTo>
                  <a:pt x="51474" y="81539"/>
                  <a:pt x="52045" y="82395"/>
                  <a:pt x="53568" y="82395"/>
                </a:cubicBezTo>
                <a:lnTo>
                  <a:pt x="94216" y="82395"/>
                </a:lnTo>
                <a:close/>
                <a:moveTo>
                  <a:pt x="6542" y="127395"/>
                </a:moveTo>
                <a:cubicBezTo>
                  <a:pt x="4067" y="127395"/>
                  <a:pt x="2259" y="126444"/>
                  <a:pt x="1021" y="124541"/>
                </a:cubicBezTo>
                <a:cubicBezTo>
                  <a:pt x="-216" y="122734"/>
                  <a:pt x="-312" y="120641"/>
                  <a:pt x="640" y="118357"/>
                </a:cubicBezTo>
                <a:lnTo>
                  <a:pt x="52140" y="2955"/>
                </a:lnTo>
                <a:cubicBezTo>
                  <a:pt x="53188" y="957"/>
                  <a:pt x="54711" y="-89"/>
                  <a:pt x="56805" y="6"/>
                </a:cubicBezTo>
                <a:lnTo>
                  <a:pt x="90789" y="6"/>
                </a:lnTo>
                <a:cubicBezTo>
                  <a:pt x="93074" y="6"/>
                  <a:pt x="94597" y="1052"/>
                  <a:pt x="95263" y="2955"/>
                </a:cubicBezTo>
                <a:lnTo>
                  <a:pt x="147334" y="118357"/>
                </a:lnTo>
                <a:cubicBezTo>
                  <a:pt x="149238" y="122829"/>
                  <a:pt x="146573" y="127395"/>
                  <a:pt x="141528" y="127395"/>
                </a:cubicBezTo>
                <a:lnTo>
                  <a:pt x="118491" y="127395"/>
                </a:lnTo>
                <a:cubicBezTo>
                  <a:pt x="116206" y="127395"/>
                  <a:pt x="114588" y="126254"/>
                  <a:pt x="113826" y="123971"/>
                </a:cubicBezTo>
                <a:lnTo>
                  <a:pt x="107734" y="110080"/>
                </a:lnTo>
                <a:cubicBezTo>
                  <a:pt x="107353" y="109034"/>
                  <a:pt x="106496" y="108653"/>
                  <a:pt x="105354" y="108558"/>
                </a:cubicBezTo>
                <a:lnTo>
                  <a:pt x="42716" y="108558"/>
                </a:lnTo>
                <a:cubicBezTo>
                  <a:pt x="41479" y="108558"/>
                  <a:pt x="40717" y="109129"/>
                  <a:pt x="40241" y="110080"/>
                </a:cubicBezTo>
                <a:lnTo>
                  <a:pt x="34244" y="123971"/>
                </a:lnTo>
                <a:cubicBezTo>
                  <a:pt x="33387" y="126254"/>
                  <a:pt x="31769" y="127395"/>
                  <a:pt x="29484" y="127395"/>
                </a:cubicBezTo>
                <a:lnTo>
                  <a:pt x="6542" y="127395"/>
                </a:lnTo>
                <a:close/>
              </a:path>
            </a:pathLst>
          </a:custGeom>
          <a:grpFill/>
          <a:ln w="9508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solidFill>
                <a:prstClr val="black"/>
              </a:solidFill>
            </a:endParaRPr>
          </a:p>
        </xdr:txBody>
      </xdr:sp>
      <xdr:sp macro="" textlink="">
        <xdr:nvSpPr>
          <xdr:cNvPr id="16" name="Forma Livre 57">
            <a:extLst>
              <a:ext uri="{FF2B5EF4-FFF2-40B4-BE49-F238E27FC236}">
  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5E31917F-D1A2-AE22-1B06-2558B9632CC3}"/>
              </a:ext>
            </a:extLst>
          </xdr:cNvPr>
          <xdr:cNvSpPr/>
        </xdr:nvSpPr>
        <xdr:spPr>
          <a:xfrm>
            <a:off x="4850576" y="3021619"/>
            <a:ext cx="134509" cy="127389"/>
          </a:xfrm>
          <a:custGeom>
            <a:avLst/>
            <a:gdLst>
              <a:gd name="connsiteX0" fmla="*/ 128893 w 134509"/>
              <a:gd name="connsiteY0" fmla="*/ 95 h 127389"/>
              <a:gd name="connsiteX1" fmla="*/ 134509 w 134509"/>
              <a:gd name="connsiteY1" fmla="*/ 5708 h 127389"/>
              <a:gd name="connsiteX2" fmla="*/ 134509 w 134509"/>
              <a:gd name="connsiteY2" fmla="*/ 121681 h 127389"/>
              <a:gd name="connsiteX3" fmla="*/ 128893 w 134509"/>
              <a:gd name="connsiteY3" fmla="*/ 127294 h 127389"/>
              <a:gd name="connsiteX4" fmla="*/ 103952 w 134509"/>
              <a:gd name="connsiteY4" fmla="*/ 127294 h 127389"/>
              <a:gd name="connsiteX5" fmla="*/ 100335 w 134509"/>
              <a:gd name="connsiteY5" fmla="*/ 125677 h 127389"/>
              <a:gd name="connsiteX6" fmla="*/ 34555 w 134509"/>
              <a:gd name="connsiteY6" fmla="*/ 49472 h 127389"/>
              <a:gd name="connsiteX7" fmla="*/ 31890 w 134509"/>
              <a:gd name="connsiteY7" fmla="*/ 50423 h 127389"/>
              <a:gd name="connsiteX8" fmla="*/ 31890 w 134509"/>
              <a:gd name="connsiteY8" fmla="*/ 121776 h 127389"/>
              <a:gd name="connsiteX9" fmla="*/ 26273 w 134509"/>
              <a:gd name="connsiteY9" fmla="*/ 127390 h 127389"/>
              <a:gd name="connsiteX10" fmla="*/ 5616 w 134509"/>
              <a:gd name="connsiteY10" fmla="*/ 127390 h 127389"/>
              <a:gd name="connsiteX11" fmla="*/ 0 w 134509"/>
              <a:gd name="connsiteY11" fmla="*/ 121776 h 127389"/>
              <a:gd name="connsiteX12" fmla="*/ 0 w 134509"/>
              <a:gd name="connsiteY12" fmla="*/ 5708 h 127389"/>
              <a:gd name="connsiteX13" fmla="*/ 5616 w 134509"/>
              <a:gd name="connsiteY13" fmla="*/ 95 h 127389"/>
              <a:gd name="connsiteX14" fmla="*/ 30557 w 134509"/>
              <a:gd name="connsiteY14" fmla="*/ 95 h 127389"/>
              <a:gd name="connsiteX15" fmla="*/ 34175 w 134509"/>
              <a:gd name="connsiteY15" fmla="*/ 1522 h 127389"/>
              <a:gd name="connsiteX16" fmla="*/ 99763 w 134509"/>
              <a:gd name="connsiteY16" fmla="*/ 77632 h 127389"/>
              <a:gd name="connsiteX17" fmla="*/ 102429 w 134509"/>
              <a:gd name="connsiteY17" fmla="*/ 76491 h 127389"/>
              <a:gd name="connsiteX18" fmla="*/ 102429 w 134509"/>
              <a:gd name="connsiteY18" fmla="*/ 5613 h 127389"/>
              <a:gd name="connsiteX19" fmla="*/ 108045 w 134509"/>
              <a:gd name="connsiteY19" fmla="*/ 0 h 127389"/>
              <a:gd name="connsiteX20" fmla="*/ 128893 w 134509"/>
              <a:gd name="connsiteY20" fmla="*/ 0 h 1273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</a:cxnLst>
            <a:rect l="l" t="t" r="r" b="b"/>
            <a:pathLst>
              <a:path w="134509" h="127389">
                <a:moveTo>
                  <a:pt x="128893" y="95"/>
                </a:moveTo>
                <a:cubicBezTo>
                  <a:pt x="132224" y="95"/>
                  <a:pt x="134509" y="2378"/>
                  <a:pt x="134509" y="5708"/>
                </a:cubicBezTo>
                <a:lnTo>
                  <a:pt x="134509" y="121681"/>
                </a:lnTo>
                <a:cubicBezTo>
                  <a:pt x="134509" y="125011"/>
                  <a:pt x="132129" y="127294"/>
                  <a:pt x="128893" y="127294"/>
                </a:cubicBezTo>
                <a:lnTo>
                  <a:pt x="103952" y="127294"/>
                </a:lnTo>
                <a:cubicBezTo>
                  <a:pt x="102334" y="127294"/>
                  <a:pt x="101096" y="126724"/>
                  <a:pt x="100335" y="125677"/>
                </a:cubicBezTo>
                <a:lnTo>
                  <a:pt x="34555" y="49472"/>
                </a:lnTo>
                <a:cubicBezTo>
                  <a:pt x="33508" y="48045"/>
                  <a:pt x="31890" y="48425"/>
                  <a:pt x="31890" y="50423"/>
                </a:cubicBezTo>
                <a:lnTo>
                  <a:pt x="31890" y="121776"/>
                </a:lnTo>
                <a:cubicBezTo>
                  <a:pt x="31890" y="125106"/>
                  <a:pt x="29510" y="127390"/>
                  <a:pt x="26273" y="127390"/>
                </a:cubicBezTo>
                <a:lnTo>
                  <a:pt x="5616" y="127390"/>
                </a:lnTo>
                <a:cubicBezTo>
                  <a:pt x="2285" y="127390"/>
                  <a:pt x="0" y="125011"/>
                  <a:pt x="0" y="121776"/>
                </a:cubicBezTo>
                <a:lnTo>
                  <a:pt x="0" y="5708"/>
                </a:lnTo>
                <a:cubicBezTo>
                  <a:pt x="0" y="2378"/>
                  <a:pt x="2380" y="95"/>
                  <a:pt x="5616" y="95"/>
                </a:cubicBezTo>
                <a:lnTo>
                  <a:pt x="30557" y="95"/>
                </a:lnTo>
                <a:cubicBezTo>
                  <a:pt x="32080" y="95"/>
                  <a:pt x="33318" y="571"/>
                  <a:pt x="34175" y="1522"/>
                </a:cubicBezTo>
                <a:lnTo>
                  <a:pt x="99763" y="77632"/>
                </a:lnTo>
                <a:cubicBezTo>
                  <a:pt x="101096" y="78964"/>
                  <a:pt x="102429" y="78489"/>
                  <a:pt x="102429" y="76491"/>
                </a:cubicBezTo>
                <a:lnTo>
                  <a:pt x="102429" y="5613"/>
                </a:lnTo>
                <a:cubicBezTo>
                  <a:pt x="102429" y="2283"/>
                  <a:pt x="104809" y="0"/>
                  <a:pt x="108045" y="0"/>
                </a:cubicBezTo>
                <a:lnTo>
                  <a:pt x="128893" y="0"/>
                </a:lnTo>
                <a:close/>
              </a:path>
            </a:pathLst>
          </a:custGeom>
          <a:grpFill/>
          <a:ln w="9508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solidFill>
                <a:prstClr val="black"/>
              </a:solidFill>
            </a:endParaRPr>
          </a:p>
        </xdr:txBody>
      </xdr:sp>
      <xdr:sp macro="" textlink="">
        <xdr:nvSpPr>
          <xdr:cNvPr id="17" name="Forma Livre 58">
            <a:extLst>
              <a:ext uri="{FF2B5EF4-FFF2-40B4-BE49-F238E27FC236}">
  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6562A0B3-1902-5D95-58E9-DF3F99133C46}"/>
              </a:ext>
            </a:extLst>
          </xdr:cNvPr>
          <xdr:cNvSpPr/>
        </xdr:nvSpPr>
        <xdr:spPr>
          <a:xfrm>
            <a:off x="5015072" y="3018290"/>
            <a:ext cx="146002" cy="133954"/>
          </a:xfrm>
          <a:custGeom>
            <a:avLst/>
            <a:gdLst>
              <a:gd name="connsiteX0" fmla="*/ 143553 w 146002"/>
              <a:gd name="connsiteY0" fmla="*/ 96470 h 133954"/>
              <a:gd name="connsiteX1" fmla="*/ 144790 w 146002"/>
              <a:gd name="connsiteY1" fmla="*/ 104366 h 133954"/>
              <a:gd name="connsiteX2" fmla="*/ 74822 w 146002"/>
              <a:gd name="connsiteY2" fmla="*/ 133954 h 133954"/>
              <a:gd name="connsiteX3" fmla="*/ 0 w 146002"/>
              <a:gd name="connsiteY3" fmla="*/ 70117 h 133954"/>
              <a:gd name="connsiteX4" fmla="*/ 0 w 146002"/>
              <a:gd name="connsiteY4" fmla="*/ 63647 h 133954"/>
              <a:gd name="connsiteX5" fmla="*/ 74822 w 146002"/>
              <a:gd name="connsiteY5" fmla="*/ 0 h 133954"/>
              <a:gd name="connsiteX6" fmla="*/ 142696 w 146002"/>
              <a:gd name="connsiteY6" fmla="*/ 26353 h 133954"/>
              <a:gd name="connsiteX7" fmla="*/ 141744 w 146002"/>
              <a:gd name="connsiteY7" fmla="*/ 34059 h 133954"/>
              <a:gd name="connsiteX8" fmla="*/ 126132 w 146002"/>
              <a:gd name="connsiteY8" fmla="*/ 47474 h 133954"/>
              <a:gd name="connsiteX9" fmla="*/ 116327 w 146002"/>
              <a:gd name="connsiteY9" fmla="*/ 46522 h 133954"/>
              <a:gd name="connsiteX10" fmla="*/ 74918 w 146002"/>
              <a:gd name="connsiteY10" fmla="*/ 30064 h 133954"/>
              <a:gd name="connsiteX11" fmla="*/ 32842 w 146002"/>
              <a:gd name="connsiteY11" fmla="*/ 63457 h 133954"/>
              <a:gd name="connsiteX12" fmla="*/ 32842 w 146002"/>
              <a:gd name="connsiteY12" fmla="*/ 70497 h 133954"/>
              <a:gd name="connsiteX13" fmla="*/ 74918 w 146002"/>
              <a:gd name="connsiteY13" fmla="*/ 103795 h 133954"/>
              <a:gd name="connsiteX14" fmla="*/ 118326 w 146002"/>
              <a:gd name="connsiteY14" fmla="*/ 86100 h 133954"/>
              <a:gd name="connsiteX15" fmla="*/ 128131 w 146002"/>
              <a:gd name="connsiteY15" fmla="*/ 84768 h 133954"/>
              <a:gd name="connsiteX16" fmla="*/ 143553 w 146002"/>
              <a:gd name="connsiteY16" fmla="*/ 96470 h 13395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</a:cxnLst>
            <a:rect l="l" t="t" r="r" b="b"/>
            <a:pathLst>
              <a:path w="146002" h="133954">
                <a:moveTo>
                  <a:pt x="143553" y="96470"/>
                </a:moveTo>
                <a:cubicBezTo>
                  <a:pt x="146408" y="98372"/>
                  <a:pt x="146694" y="101893"/>
                  <a:pt x="144790" y="104366"/>
                </a:cubicBezTo>
                <a:cubicBezTo>
                  <a:pt x="129654" y="124155"/>
                  <a:pt x="106427" y="133954"/>
                  <a:pt x="74822" y="133954"/>
                </a:cubicBezTo>
                <a:cubicBezTo>
                  <a:pt x="24941" y="133954"/>
                  <a:pt x="0" y="112738"/>
                  <a:pt x="0" y="70117"/>
                </a:cubicBezTo>
                <a:lnTo>
                  <a:pt x="0" y="63647"/>
                </a:lnTo>
                <a:cubicBezTo>
                  <a:pt x="0" y="21216"/>
                  <a:pt x="24941" y="0"/>
                  <a:pt x="74822" y="0"/>
                </a:cubicBezTo>
                <a:cubicBezTo>
                  <a:pt x="106522" y="0"/>
                  <a:pt x="129178" y="8753"/>
                  <a:pt x="142696" y="26353"/>
                </a:cubicBezTo>
                <a:cubicBezTo>
                  <a:pt x="144600" y="28827"/>
                  <a:pt x="144219" y="32347"/>
                  <a:pt x="141744" y="34059"/>
                </a:cubicBezTo>
                <a:lnTo>
                  <a:pt x="126132" y="47474"/>
                </a:lnTo>
                <a:cubicBezTo>
                  <a:pt x="122895" y="50138"/>
                  <a:pt x="119564" y="49757"/>
                  <a:pt x="116327" y="46522"/>
                </a:cubicBezTo>
                <a:cubicBezTo>
                  <a:pt x="106617" y="35582"/>
                  <a:pt x="92814" y="30159"/>
                  <a:pt x="74918" y="30064"/>
                </a:cubicBezTo>
                <a:cubicBezTo>
                  <a:pt x="46835" y="30064"/>
                  <a:pt x="32842" y="41195"/>
                  <a:pt x="32842" y="63457"/>
                </a:cubicBezTo>
                <a:lnTo>
                  <a:pt x="32842" y="70497"/>
                </a:lnTo>
                <a:cubicBezTo>
                  <a:pt x="32842" y="92664"/>
                  <a:pt x="46835" y="103795"/>
                  <a:pt x="74918" y="103795"/>
                </a:cubicBezTo>
                <a:cubicBezTo>
                  <a:pt x="94718" y="103795"/>
                  <a:pt x="109188" y="97897"/>
                  <a:pt x="118326" y="86100"/>
                </a:cubicBezTo>
                <a:cubicBezTo>
                  <a:pt x="121372" y="82675"/>
                  <a:pt x="124609" y="82199"/>
                  <a:pt x="128131" y="84768"/>
                </a:cubicBezTo>
                <a:lnTo>
                  <a:pt x="143553" y="96470"/>
                </a:lnTo>
                <a:close/>
              </a:path>
            </a:pathLst>
          </a:custGeom>
          <a:grpFill/>
          <a:ln w="9508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solidFill>
                <a:prstClr val="black"/>
              </a:solidFill>
            </a:endParaRPr>
          </a:p>
        </xdr:txBody>
      </xdr:sp>
      <xdr:sp macro="" textlink="">
        <xdr:nvSpPr>
          <xdr:cNvPr id="18" name="Forma Livre 59">
            <a:extLst>
              <a:ext uri="{FF2B5EF4-FFF2-40B4-BE49-F238E27FC236}">
  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F2E23985-80F9-97EE-88DE-792B0A0EDA4B}"/>
              </a:ext>
            </a:extLst>
          </xdr:cNvPr>
          <xdr:cNvSpPr/>
        </xdr:nvSpPr>
        <xdr:spPr>
          <a:xfrm>
            <a:off x="5177568" y="3018290"/>
            <a:ext cx="155261" cy="133954"/>
          </a:xfrm>
          <a:custGeom>
            <a:avLst/>
            <a:gdLst>
              <a:gd name="connsiteX0" fmla="*/ 110235 w 155261"/>
              <a:gd name="connsiteY0" fmla="*/ 95994 h 133954"/>
              <a:gd name="connsiteX1" fmla="*/ 122610 w 155261"/>
              <a:gd name="connsiteY1" fmla="*/ 70497 h 133954"/>
              <a:gd name="connsiteX2" fmla="*/ 122610 w 155261"/>
              <a:gd name="connsiteY2" fmla="*/ 63457 h 133954"/>
              <a:gd name="connsiteX3" fmla="*/ 77583 w 155261"/>
              <a:gd name="connsiteY3" fmla="*/ 30064 h 133954"/>
              <a:gd name="connsiteX4" fmla="*/ 46264 w 155261"/>
              <a:gd name="connsiteY4" fmla="*/ 37104 h 133954"/>
              <a:gd name="connsiteX5" fmla="*/ 32842 w 155261"/>
              <a:gd name="connsiteY5" fmla="*/ 63457 h 133954"/>
              <a:gd name="connsiteX6" fmla="*/ 32842 w 155261"/>
              <a:gd name="connsiteY6" fmla="*/ 70497 h 133954"/>
              <a:gd name="connsiteX7" fmla="*/ 45312 w 155261"/>
              <a:gd name="connsiteY7" fmla="*/ 95994 h 133954"/>
              <a:gd name="connsiteX8" fmla="*/ 77678 w 155261"/>
              <a:gd name="connsiteY8" fmla="*/ 103795 h 133954"/>
              <a:gd name="connsiteX9" fmla="*/ 110235 w 155261"/>
              <a:gd name="connsiteY9" fmla="*/ 95994 h 133954"/>
              <a:gd name="connsiteX10" fmla="*/ 0 w 155261"/>
              <a:gd name="connsiteY10" fmla="*/ 70117 h 133954"/>
              <a:gd name="connsiteX11" fmla="*/ 0 w 155261"/>
              <a:gd name="connsiteY11" fmla="*/ 63647 h 133954"/>
              <a:gd name="connsiteX12" fmla="*/ 77488 w 155261"/>
              <a:gd name="connsiteY12" fmla="*/ 0 h 133954"/>
              <a:gd name="connsiteX13" fmla="*/ 155261 w 155261"/>
              <a:gd name="connsiteY13" fmla="*/ 63647 h 133954"/>
              <a:gd name="connsiteX14" fmla="*/ 155261 w 155261"/>
              <a:gd name="connsiteY14" fmla="*/ 70117 h 133954"/>
              <a:gd name="connsiteX15" fmla="*/ 77488 w 155261"/>
              <a:gd name="connsiteY15" fmla="*/ 133954 h 133954"/>
              <a:gd name="connsiteX16" fmla="*/ 0 w 155261"/>
              <a:gd name="connsiteY16" fmla="*/ 70117 h 13395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</a:cxnLst>
            <a:rect l="l" t="t" r="r" b="b"/>
            <a:pathLst>
              <a:path w="155261" h="133954">
                <a:moveTo>
                  <a:pt x="110235" y="95994"/>
                </a:moveTo>
                <a:cubicBezTo>
                  <a:pt x="118421" y="90761"/>
                  <a:pt x="122610" y="82294"/>
                  <a:pt x="122610" y="70497"/>
                </a:cubicBezTo>
                <a:lnTo>
                  <a:pt x="122610" y="63457"/>
                </a:lnTo>
                <a:cubicBezTo>
                  <a:pt x="122610" y="41290"/>
                  <a:pt x="107569" y="30159"/>
                  <a:pt x="77583" y="30064"/>
                </a:cubicBezTo>
                <a:cubicBezTo>
                  <a:pt x="64827" y="30064"/>
                  <a:pt x="54737" y="32252"/>
                  <a:pt x="46264" y="37104"/>
                </a:cubicBezTo>
                <a:cubicBezTo>
                  <a:pt x="37697" y="41956"/>
                  <a:pt x="32842" y="51184"/>
                  <a:pt x="32842" y="63457"/>
                </a:cubicBezTo>
                <a:lnTo>
                  <a:pt x="32842" y="70497"/>
                </a:lnTo>
                <a:cubicBezTo>
                  <a:pt x="32842" y="82389"/>
                  <a:pt x="37030" y="90857"/>
                  <a:pt x="45312" y="95994"/>
                </a:cubicBezTo>
                <a:cubicBezTo>
                  <a:pt x="53499" y="101227"/>
                  <a:pt x="64256" y="103795"/>
                  <a:pt x="77678" y="103795"/>
                </a:cubicBezTo>
                <a:cubicBezTo>
                  <a:pt x="91101" y="103795"/>
                  <a:pt x="102048" y="101227"/>
                  <a:pt x="110235" y="95994"/>
                </a:cubicBezTo>
                <a:moveTo>
                  <a:pt x="0" y="70117"/>
                </a:moveTo>
                <a:lnTo>
                  <a:pt x="0" y="63647"/>
                </a:lnTo>
                <a:cubicBezTo>
                  <a:pt x="0" y="21977"/>
                  <a:pt x="25988" y="0"/>
                  <a:pt x="77488" y="0"/>
                </a:cubicBezTo>
                <a:cubicBezTo>
                  <a:pt x="129369" y="0"/>
                  <a:pt x="155261" y="21977"/>
                  <a:pt x="155261" y="63647"/>
                </a:cubicBezTo>
                <a:lnTo>
                  <a:pt x="155261" y="70117"/>
                </a:lnTo>
                <a:cubicBezTo>
                  <a:pt x="155261" y="112072"/>
                  <a:pt x="129273" y="133954"/>
                  <a:pt x="77488" y="133954"/>
                </a:cubicBezTo>
                <a:cubicBezTo>
                  <a:pt x="25893" y="134049"/>
                  <a:pt x="0" y="112738"/>
                  <a:pt x="0" y="70117"/>
                </a:cubicBezTo>
              </a:path>
            </a:pathLst>
          </a:custGeom>
          <a:grpFill/>
          <a:ln w="9508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solidFill>
                <a:prstClr val="black"/>
              </a:solidFill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57150</xdr:rowOff>
    </xdr:from>
    <xdr:to>
      <xdr:col>1</xdr:col>
      <xdr:colOff>733425</xdr:colOff>
      <xdr:row>6</xdr:row>
      <xdr:rowOff>85725</xdr:rowOff>
    </xdr:to>
    <xdr:sp macro="" textlink="">
      <xdr:nvSpPr>
        <xdr:cNvPr id="2" name="Retângulo de cantos arredondados 1"/>
        <xdr:cNvSpPr/>
      </xdr:nvSpPr>
      <xdr:spPr>
        <a:xfrm>
          <a:off x="5000625" y="790575"/>
          <a:ext cx="657225" cy="304800"/>
        </a:xfrm>
        <a:prstGeom prst="roundRect">
          <a:avLst/>
        </a:prstGeom>
        <a:noFill/>
        <a:ln w="19050">
          <a:solidFill>
            <a:schemeClr val="tx1">
              <a:lumMod val="65000"/>
              <a:lumOff val="3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16</xdr:col>
      <xdr:colOff>0</xdr:colOff>
      <xdr:row>4</xdr:row>
      <xdr:rowOff>28575</xdr:rowOff>
    </xdr:from>
    <xdr:to>
      <xdr:col>17</xdr:col>
      <xdr:colOff>9525</xdr:colOff>
      <xdr:row>6</xdr:row>
      <xdr:rowOff>66675</xdr:rowOff>
    </xdr:to>
    <xdr:sp macro="" textlink="">
      <xdr:nvSpPr>
        <xdr:cNvPr id="3" name="Retângulo de cantos arredondados 3"/>
        <xdr:cNvSpPr/>
      </xdr:nvSpPr>
      <xdr:spPr>
        <a:xfrm>
          <a:off x="39271575" y="762000"/>
          <a:ext cx="781050" cy="314325"/>
        </a:xfrm>
        <a:prstGeom prst="roundRect">
          <a:avLst/>
        </a:prstGeom>
        <a:noFill/>
        <a:ln w="19050">
          <a:solidFill>
            <a:schemeClr val="tx1">
              <a:lumMod val="65000"/>
              <a:lumOff val="3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85725</xdr:colOff>
      <xdr:row>0</xdr:row>
      <xdr:rowOff>133350</xdr:rowOff>
    </xdr:from>
    <xdr:to>
      <xdr:col>0</xdr:col>
      <xdr:colOff>981075</xdr:colOff>
      <xdr:row>4</xdr:row>
      <xdr:rowOff>64994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33350"/>
          <a:ext cx="895350" cy="579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28575</xdr:rowOff>
    </xdr:from>
    <xdr:to>
      <xdr:col>3</xdr:col>
      <xdr:colOff>0</xdr:colOff>
      <xdr:row>6</xdr:row>
      <xdr:rowOff>66675</xdr:rowOff>
    </xdr:to>
    <xdr:sp macro="" textlink="">
      <xdr:nvSpPr>
        <xdr:cNvPr id="5" name="Retângulo de cantos arredondados 4"/>
        <xdr:cNvSpPr/>
      </xdr:nvSpPr>
      <xdr:spPr>
        <a:xfrm>
          <a:off x="4857750" y="742950"/>
          <a:ext cx="800100" cy="285750"/>
        </a:xfrm>
        <a:prstGeom prst="roundRect">
          <a:avLst/>
        </a:prstGeom>
        <a:noFill/>
        <a:ln w="19050">
          <a:solidFill>
            <a:schemeClr val="tx1">
              <a:lumMod val="65000"/>
              <a:lumOff val="3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16</xdr:col>
      <xdr:colOff>704850</xdr:colOff>
      <xdr:row>4</xdr:row>
      <xdr:rowOff>28575</xdr:rowOff>
    </xdr:from>
    <xdr:to>
      <xdr:col>18</xdr:col>
      <xdr:colOff>76200</xdr:colOff>
      <xdr:row>6</xdr:row>
      <xdr:rowOff>66675</xdr:rowOff>
    </xdr:to>
    <xdr:sp macro="" textlink="">
      <xdr:nvSpPr>
        <xdr:cNvPr id="7" name="Retângulo de cantos arredondados 2"/>
        <xdr:cNvSpPr/>
      </xdr:nvSpPr>
      <xdr:spPr>
        <a:xfrm>
          <a:off x="39233475" y="762000"/>
          <a:ext cx="971550" cy="314325"/>
        </a:xfrm>
        <a:prstGeom prst="roundRect">
          <a:avLst/>
        </a:prstGeom>
        <a:noFill/>
        <a:ln w="19050">
          <a:solidFill>
            <a:schemeClr val="tx1">
              <a:lumMod val="65000"/>
              <a:lumOff val="3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95250</xdr:colOff>
      <xdr:row>0</xdr:row>
      <xdr:rowOff>76200</xdr:rowOff>
    </xdr:from>
    <xdr:to>
      <xdr:col>0</xdr:col>
      <xdr:colOff>991440</xdr:colOff>
      <xdr:row>4</xdr:row>
      <xdr:rowOff>26720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6200"/>
          <a:ext cx="896190" cy="5791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47625</xdr:rowOff>
    </xdr:from>
    <xdr:to>
      <xdr:col>2</xdr:col>
      <xdr:colOff>19050</xdr:colOff>
      <xdr:row>6</xdr:row>
      <xdr:rowOff>85725</xdr:rowOff>
    </xdr:to>
    <xdr:sp macro="" textlink="">
      <xdr:nvSpPr>
        <xdr:cNvPr id="3" name="Retângulo de cantos arredondados 2"/>
        <xdr:cNvSpPr/>
      </xdr:nvSpPr>
      <xdr:spPr>
        <a:xfrm>
          <a:off x="5314950" y="781050"/>
          <a:ext cx="800100" cy="314325"/>
        </a:xfrm>
        <a:prstGeom prst="roundRect">
          <a:avLst/>
        </a:prstGeom>
        <a:noFill/>
        <a:ln w="19050">
          <a:solidFill>
            <a:schemeClr val="tx1">
              <a:lumMod val="65000"/>
              <a:lumOff val="3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0</xdr:colOff>
      <xdr:row>4</xdr:row>
      <xdr:rowOff>28575</xdr:rowOff>
    </xdr:from>
    <xdr:to>
      <xdr:col>13</xdr:col>
      <xdr:colOff>0</xdr:colOff>
      <xdr:row>6</xdr:row>
      <xdr:rowOff>66675</xdr:rowOff>
    </xdr:to>
    <xdr:sp macro="" textlink="">
      <xdr:nvSpPr>
        <xdr:cNvPr id="6" name="Retângulo de cantos arredondados 3"/>
        <xdr:cNvSpPr/>
      </xdr:nvSpPr>
      <xdr:spPr>
        <a:xfrm>
          <a:off x="16211550" y="762000"/>
          <a:ext cx="771525" cy="314325"/>
        </a:xfrm>
        <a:prstGeom prst="roundRect">
          <a:avLst/>
        </a:prstGeom>
        <a:noFill/>
        <a:ln w="19050">
          <a:solidFill>
            <a:schemeClr val="tx1">
              <a:lumMod val="65000"/>
              <a:lumOff val="3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133350</xdr:colOff>
      <xdr:row>0</xdr:row>
      <xdr:rowOff>123825</xdr:rowOff>
    </xdr:from>
    <xdr:to>
      <xdr:col>0</xdr:col>
      <xdr:colOff>1028700</xdr:colOff>
      <xdr:row>4</xdr:row>
      <xdr:rowOff>55469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23825"/>
          <a:ext cx="895350" cy="5793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19975</xdr:colOff>
      <xdr:row>0</xdr:row>
      <xdr:rowOff>111947</xdr:rowOff>
    </xdr:from>
    <xdr:to>
      <xdr:col>0</xdr:col>
      <xdr:colOff>893534</xdr:colOff>
      <xdr:row>5</xdr:row>
      <xdr:rowOff>50071</xdr:rowOff>
    </xdr:to>
    <xdr:pic>
      <xdr:nvPicPr>
        <xdr:cNvPr id="2" name="Picture 4" descr="logo_ABC_preto.png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4081" r="11993" b="22819"/>
        <a:stretch/>
      </xdr:blipFill>
      <xdr:spPr>
        <a:xfrm>
          <a:off x="96175" y="111947"/>
          <a:ext cx="873559" cy="75727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</xdr:row>
      <xdr:rowOff>28575</xdr:rowOff>
    </xdr:from>
    <xdr:to>
      <xdr:col>2</xdr:col>
      <xdr:colOff>9525</xdr:colOff>
      <xdr:row>6</xdr:row>
      <xdr:rowOff>66675</xdr:rowOff>
    </xdr:to>
    <xdr:sp macro="" textlink="">
      <xdr:nvSpPr>
        <xdr:cNvPr id="3" name="Retângulo de cantos arredondados 2"/>
        <xdr:cNvSpPr/>
      </xdr:nvSpPr>
      <xdr:spPr>
        <a:xfrm>
          <a:off x="5000625" y="762000"/>
          <a:ext cx="809625" cy="314325"/>
        </a:xfrm>
        <a:prstGeom prst="roundRect">
          <a:avLst/>
        </a:prstGeom>
        <a:noFill/>
        <a:ln w="19050">
          <a:solidFill>
            <a:schemeClr val="tx1">
              <a:lumMod val="65000"/>
              <a:lumOff val="3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45</xdr:col>
      <xdr:colOff>0</xdr:colOff>
      <xdr:row>4</xdr:row>
      <xdr:rowOff>28575</xdr:rowOff>
    </xdr:from>
    <xdr:to>
      <xdr:col>46</xdr:col>
      <xdr:colOff>0</xdr:colOff>
      <xdr:row>6</xdr:row>
      <xdr:rowOff>66675</xdr:rowOff>
    </xdr:to>
    <xdr:sp macro="" textlink="">
      <xdr:nvSpPr>
        <xdr:cNvPr id="5" name="Retângulo de cantos arredondados 3"/>
        <xdr:cNvSpPr/>
      </xdr:nvSpPr>
      <xdr:spPr>
        <a:xfrm>
          <a:off x="41052750" y="762000"/>
          <a:ext cx="809625" cy="314325"/>
        </a:xfrm>
        <a:prstGeom prst="roundRect">
          <a:avLst/>
        </a:prstGeom>
        <a:noFill/>
        <a:ln w="19050">
          <a:solidFill>
            <a:schemeClr val="tx1">
              <a:lumMod val="65000"/>
              <a:lumOff val="3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19975</xdr:colOff>
      <xdr:row>0</xdr:row>
      <xdr:rowOff>111947</xdr:rowOff>
    </xdr:from>
    <xdr:to>
      <xdr:col>0</xdr:col>
      <xdr:colOff>893534</xdr:colOff>
      <xdr:row>5</xdr:row>
      <xdr:rowOff>50071</xdr:rowOff>
    </xdr:to>
    <xdr:pic>
      <xdr:nvPicPr>
        <xdr:cNvPr id="2" name="Picture 4" descr="logo_ABC_preto.png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4081" r="11993" b="22819"/>
        <a:stretch/>
      </xdr:blipFill>
      <xdr:spPr>
        <a:xfrm>
          <a:off x="19975" y="111947"/>
          <a:ext cx="873559" cy="75727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</xdr:row>
      <xdr:rowOff>28575</xdr:rowOff>
    </xdr:from>
    <xdr:to>
      <xdr:col>2</xdr:col>
      <xdr:colOff>0</xdr:colOff>
      <xdr:row>6</xdr:row>
      <xdr:rowOff>66675</xdr:rowOff>
    </xdr:to>
    <xdr:sp macro="" textlink="">
      <xdr:nvSpPr>
        <xdr:cNvPr id="3" name="Retângulo de cantos arredondados 2"/>
        <xdr:cNvSpPr/>
      </xdr:nvSpPr>
      <xdr:spPr>
        <a:xfrm>
          <a:off x="4924425" y="762000"/>
          <a:ext cx="809625" cy="314325"/>
        </a:xfrm>
        <a:prstGeom prst="roundRect">
          <a:avLst/>
        </a:prstGeom>
        <a:noFill/>
        <a:ln w="19050">
          <a:solidFill>
            <a:schemeClr val="tx1">
              <a:lumMod val="65000"/>
              <a:lumOff val="3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0</xdr:colOff>
      <xdr:row>4</xdr:row>
      <xdr:rowOff>28575</xdr:rowOff>
    </xdr:from>
    <xdr:to>
      <xdr:col>12</xdr:col>
      <xdr:colOff>9525</xdr:colOff>
      <xdr:row>6</xdr:row>
      <xdr:rowOff>66675</xdr:rowOff>
    </xdr:to>
    <xdr:sp macro="" textlink="">
      <xdr:nvSpPr>
        <xdr:cNvPr id="4" name="Retângulo de cantos arredondados 3"/>
        <xdr:cNvSpPr/>
      </xdr:nvSpPr>
      <xdr:spPr>
        <a:xfrm>
          <a:off x="43091100" y="762000"/>
          <a:ext cx="752475" cy="314325"/>
        </a:xfrm>
        <a:prstGeom prst="roundRect">
          <a:avLst/>
        </a:prstGeom>
        <a:noFill/>
        <a:ln w="19050">
          <a:solidFill>
            <a:schemeClr val="tx1">
              <a:lumMod val="65000"/>
              <a:lumOff val="3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57150</xdr:rowOff>
    </xdr:from>
    <xdr:to>
      <xdr:col>2</xdr:col>
      <xdr:colOff>19050</xdr:colOff>
      <xdr:row>6</xdr:row>
      <xdr:rowOff>95250</xdr:rowOff>
    </xdr:to>
    <xdr:sp macro="" textlink="">
      <xdr:nvSpPr>
        <xdr:cNvPr id="6" name="Retângulo de cantos arredondados 5"/>
        <xdr:cNvSpPr/>
      </xdr:nvSpPr>
      <xdr:spPr>
        <a:xfrm>
          <a:off x="5314950" y="790575"/>
          <a:ext cx="800100" cy="314325"/>
        </a:xfrm>
        <a:prstGeom prst="roundRect">
          <a:avLst/>
        </a:prstGeom>
        <a:noFill/>
        <a:ln w="19050">
          <a:solidFill>
            <a:schemeClr val="tx1">
              <a:lumMod val="65000"/>
              <a:lumOff val="3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180975</xdr:colOff>
      <xdr:row>0</xdr:row>
      <xdr:rowOff>104775</xdr:rowOff>
    </xdr:from>
    <xdr:to>
      <xdr:col>0</xdr:col>
      <xdr:colOff>1076325</xdr:colOff>
      <xdr:row>4</xdr:row>
      <xdr:rowOff>36419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04775"/>
          <a:ext cx="895350" cy="5793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4</xdr:row>
      <xdr:rowOff>57151</xdr:rowOff>
    </xdr:from>
    <xdr:to>
      <xdr:col>2</xdr:col>
      <xdr:colOff>1</xdr:colOff>
      <xdr:row>6</xdr:row>
      <xdr:rowOff>66676</xdr:rowOff>
    </xdr:to>
    <xdr:sp macro="" textlink="">
      <xdr:nvSpPr>
        <xdr:cNvPr id="3" name="Retângulo de cantos arredondados 2"/>
        <xdr:cNvSpPr/>
      </xdr:nvSpPr>
      <xdr:spPr>
        <a:xfrm>
          <a:off x="5400676" y="790576"/>
          <a:ext cx="742950" cy="285750"/>
        </a:xfrm>
        <a:prstGeom prst="roundRect">
          <a:avLst/>
        </a:prstGeom>
        <a:noFill/>
        <a:ln w="19050">
          <a:solidFill>
            <a:schemeClr val="tx1">
              <a:lumMod val="65000"/>
              <a:lumOff val="3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16</xdr:col>
      <xdr:colOff>0</xdr:colOff>
      <xdr:row>4</xdr:row>
      <xdr:rowOff>28575</xdr:rowOff>
    </xdr:from>
    <xdr:to>
      <xdr:col>17</xdr:col>
      <xdr:colOff>9525</xdr:colOff>
      <xdr:row>6</xdr:row>
      <xdr:rowOff>66675</xdr:rowOff>
    </xdr:to>
    <xdr:sp macro="" textlink="">
      <xdr:nvSpPr>
        <xdr:cNvPr id="5" name="Retângulo de cantos arredondados 3"/>
        <xdr:cNvSpPr/>
      </xdr:nvSpPr>
      <xdr:spPr>
        <a:xfrm>
          <a:off x="41290875" y="762000"/>
          <a:ext cx="923925" cy="314325"/>
        </a:xfrm>
        <a:prstGeom prst="roundRect">
          <a:avLst/>
        </a:prstGeom>
        <a:noFill/>
        <a:ln w="19050">
          <a:solidFill>
            <a:schemeClr val="tx1">
              <a:lumMod val="65000"/>
              <a:lumOff val="3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180975</xdr:colOff>
      <xdr:row>0</xdr:row>
      <xdr:rowOff>123825</xdr:rowOff>
    </xdr:from>
    <xdr:to>
      <xdr:col>0</xdr:col>
      <xdr:colOff>1076325</xdr:colOff>
      <xdr:row>4</xdr:row>
      <xdr:rowOff>55469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23825"/>
          <a:ext cx="895350" cy="5793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28575</xdr:rowOff>
    </xdr:from>
    <xdr:to>
      <xdr:col>2</xdr:col>
      <xdr:colOff>9525</xdr:colOff>
      <xdr:row>6</xdr:row>
      <xdr:rowOff>66675</xdr:rowOff>
    </xdr:to>
    <xdr:sp macro="" textlink="">
      <xdr:nvSpPr>
        <xdr:cNvPr id="3" name="Retângulo de cantos arredondados 2"/>
        <xdr:cNvSpPr/>
      </xdr:nvSpPr>
      <xdr:spPr>
        <a:xfrm>
          <a:off x="5000625" y="762000"/>
          <a:ext cx="809625" cy="314325"/>
        </a:xfrm>
        <a:prstGeom prst="roundRect">
          <a:avLst/>
        </a:prstGeom>
        <a:noFill/>
        <a:ln w="19050">
          <a:solidFill>
            <a:schemeClr val="tx1">
              <a:lumMod val="65000"/>
              <a:lumOff val="3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16</xdr:col>
      <xdr:colOff>0</xdr:colOff>
      <xdr:row>4</xdr:row>
      <xdr:rowOff>28575</xdr:rowOff>
    </xdr:from>
    <xdr:to>
      <xdr:col>17</xdr:col>
      <xdr:colOff>9525</xdr:colOff>
      <xdr:row>6</xdr:row>
      <xdr:rowOff>66675</xdr:rowOff>
    </xdr:to>
    <xdr:sp macro="" textlink="">
      <xdr:nvSpPr>
        <xdr:cNvPr id="5" name="Retângulo de cantos arredondados 3"/>
        <xdr:cNvSpPr/>
      </xdr:nvSpPr>
      <xdr:spPr>
        <a:xfrm>
          <a:off x="41290875" y="762000"/>
          <a:ext cx="923925" cy="314325"/>
        </a:xfrm>
        <a:prstGeom prst="roundRect">
          <a:avLst/>
        </a:prstGeom>
        <a:noFill/>
        <a:ln w="19050">
          <a:solidFill>
            <a:schemeClr val="tx1">
              <a:lumMod val="65000"/>
              <a:lumOff val="3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123825</xdr:colOff>
      <xdr:row>0</xdr:row>
      <xdr:rowOff>161925</xdr:rowOff>
    </xdr:from>
    <xdr:to>
      <xdr:col>0</xdr:col>
      <xdr:colOff>1019175</xdr:colOff>
      <xdr:row>5</xdr:row>
      <xdr:rowOff>7844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61925"/>
          <a:ext cx="895350" cy="5793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28575</xdr:rowOff>
    </xdr:from>
    <xdr:to>
      <xdr:col>3</xdr:col>
      <xdr:colOff>0</xdr:colOff>
      <xdr:row>6</xdr:row>
      <xdr:rowOff>66675</xdr:rowOff>
    </xdr:to>
    <xdr:sp macro="" textlink="">
      <xdr:nvSpPr>
        <xdr:cNvPr id="3" name="Retângulo de cantos arredondados 2"/>
        <xdr:cNvSpPr/>
      </xdr:nvSpPr>
      <xdr:spPr>
        <a:xfrm>
          <a:off x="4924425" y="762000"/>
          <a:ext cx="809625" cy="314325"/>
        </a:xfrm>
        <a:prstGeom prst="roundRect">
          <a:avLst/>
        </a:prstGeom>
        <a:noFill/>
        <a:ln w="19050">
          <a:solidFill>
            <a:schemeClr val="tx1">
              <a:lumMod val="65000"/>
              <a:lumOff val="3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18</xdr:col>
      <xdr:colOff>0</xdr:colOff>
      <xdr:row>4</xdr:row>
      <xdr:rowOff>28575</xdr:rowOff>
    </xdr:from>
    <xdr:to>
      <xdr:col>19</xdr:col>
      <xdr:colOff>9525</xdr:colOff>
      <xdr:row>6</xdr:row>
      <xdr:rowOff>66675</xdr:rowOff>
    </xdr:to>
    <xdr:sp macro="" textlink="">
      <xdr:nvSpPr>
        <xdr:cNvPr id="5" name="Retângulo de cantos arredondados 3"/>
        <xdr:cNvSpPr/>
      </xdr:nvSpPr>
      <xdr:spPr>
        <a:xfrm>
          <a:off x="41290875" y="762000"/>
          <a:ext cx="923925" cy="314325"/>
        </a:xfrm>
        <a:prstGeom prst="roundRect">
          <a:avLst/>
        </a:prstGeom>
        <a:noFill/>
        <a:ln w="19050">
          <a:solidFill>
            <a:schemeClr val="tx1">
              <a:lumMod val="65000"/>
              <a:lumOff val="3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57150</xdr:colOff>
      <xdr:row>0</xdr:row>
      <xdr:rowOff>95250</xdr:rowOff>
    </xdr:from>
    <xdr:to>
      <xdr:col>0</xdr:col>
      <xdr:colOff>952500</xdr:colOff>
      <xdr:row>4</xdr:row>
      <xdr:rowOff>26894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95250"/>
          <a:ext cx="895350" cy="5793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emonstra&#231;&#245;es%20Financeiras%20-%20MB\2022\1&#186;%20Semestre\1&#186;%20Trimestre\BMB%20-%20Demonstra&#231;&#245;es%20Financeiras%20-%201%20TRIM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emonstra&#231;&#245;es%20Financeiras%20-%20MB\2020\1&#186;%20Semestre%20de%202020\1&#186;%20Trimestre%20de%202020\BMB%20-%20Demonstra&#231;&#245;es%20Financeiras%20-%201&#186;%20TRIM-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emonstra&#231;&#245;es%20Financeiras%20-%20MB\2020\1&#186;%20Semestre%20de%202020\2&#186;%20Trimestre%20de%202020\BMB%20-%20Demonstra&#231;&#245;es%20Financeiras%20-%2030%2006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emonstra&#231;&#245;es%20Financeiras%20-%20MB\2020\2&#186;%20Semestre%20de%202020\3&#186;%20Trimestre\BMB%20-%20Demonstra&#231;&#245;es%20Financeiras%20-%2030%2009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emonstra&#231;&#245;es%20Financeiras%20-%20MB\2020\2&#186;%20Semestre%20de%202020\4&#186;%20Trimestre\BMB%20-%20Demonstra&#231;&#245;es%20Financeiras%20-%2031%2012%20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emonstra&#231;&#245;es%20Financeiras%20-%20MB\2021\1&#186;%20semestre%202021\1&#186;%20Trimestre%202021\BMB%20-%20Demonstra&#231;&#245;es%20Financeiras%20-%201&#186;%20TRIM-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emonstra&#231;&#245;es%20Financeiras%20-%20MB\2021\1&#186;%20semestre%202021\2&#186;%20Trimestre%202021\BMB%20-%20Demonstra&#231;&#245;es%20Financeiras%20-%201&#186;%20SEM-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emonstra&#231;&#245;es%20Financeiras%20-%20MB\2021\2&#186;%20semestre%202021\3&#186;%20Trimestre%202021\BMB%20-%20Demonstra&#231;&#245;es%20Financeiras%20-%2030%2009%20202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emonstra&#231;&#245;es%20Financeiras%20-%20MB\2021\2&#186;%20semestre%202021\4&#186;%20Trimestre%202021\BMB%20-%20Demonstra&#231;&#245;es%20Financeiras%20-%2031%2012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-BACEN-2022"/>
      <sheetName val="DRE-BACEN-2022"/>
      <sheetName val="DRA"/>
      <sheetName val="DMPL"/>
      <sheetName val="DFC "/>
      <sheetName val="DVA "/>
      <sheetName val="Entrada dados DVA"/>
      <sheetName val="===&gt; Planilha suporte"/>
      <sheetName val="BP-CVM-2022"/>
      <sheetName val="DRE-CVM-2022"/>
      <sheetName val="DRA Reais"/>
      <sheetName val="Extr.DRA-22"/>
      <sheetName val="BP Múlt. Reais"/>
      <sheetName val="BP Múlt.xDOMO"/>
      <sheetName val="DRE Múlt.-Reais"/>
      <sheetName val="BP CONS. Reais"/>
      <sheetName val="DRE CONS. Reais"/>
    </sheetNames>
    <sheetDataSet>
      <sheetData sheetId="0">
        <row r="98">
          <cell r="H98">
            <v>9547</v>
          </cell>
          <cell r="I98">
            <v>9547</v>
          </cell>
        </row>
        <row r="99">
          <cell r="H99">
            <v>-731</v>
          </cell>
          <cell r="I99">
            <v>-666</v>
          </cell>
        </row>
        <row r="104">
          <cell r="H104">
            <v>-206852</v>
          </cell>
          <cell r="I104">
            <v>-198190</v>
          </cell>
        </row>
        <row r="107">
          <cell r="H107">
            <v>202392</v>
          </cell>
        </row>
        <row r="108">
          <cell r="H108">
            <v>-121134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-BACEN-2020"/>
      <sheetName val="DRE-BACEN-2020"/>
      <sheetName val="MUT-Bacen-2020"/>
      <sheetName val="DRA"/>
      <sheetName val="DFC "/>
      <sheetName val="DVA "/>
      <sheetName val="Entrada dados DVA"/>
      <sheetName val="===&gt; Planilha suporte"/>
      <sheetName val="BP-CVM-2020"/>
      <sheetName val="DRE-CVM-2020"/>
      <sheetName val="MUT-CVM"/>
      <sheetName val="DRA Reais"/>
      <sheetName val="Extr.DRA"/>
      <sheetName val="BAL B  EM R$  OK"/>
      <sheetName val="DERE - SEM Reais OK"/>
      <sheetName val="BAL B  EM R$ Consolidado"/>
      <sheetName val="DERE - SEM Conso Reais OK"/>
    </sheetNames>
    <sheetDataSet>
      <sheetData sheetId="0">
        <row r="105">
          <cell r="H105">
            <v>-142970</v>
          </cell>
        </row>
        <row r="108">
          <cell r="H108">
            <v>145002</v>
          </cell>
        </row>
        <row r="109">
          <cell r="H109">
            <v>-88317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-BACEN-2020"/>
      <sheetName val="DRE-BACEN-2020"/>
      <sheetName val="DRA"/>
      <sheetName val="MUT-Bacen-2020"/>
      <sheetName val="DFC "/>
      <sheetName val="DVA "/>
      <sheetName val="Entrada dados DVA"/>
      <sheetName val="===&gt; Planilha suporte"/>
      <sheetName val="BP-CVM-2020"/>
      <sheetName val="DRE-CVM-2020"/>
      <sheetName val="MUT-CVM"/>
      <sheetName val="DRA Mil-CVM"/>
      <sheetName val="DRA Reais"/>
      <sheetName val="Extr.DRA"/>
      <sheetName val="BP Múlt. Reais"/>
      <sheetName val="DRE Múlt.-Reais"/>
      <sheetName val="BP CONS. Reais"/>
      <sheetName val="DRE CONS. Reais"/>
    </sheetNames>
    <sheetDataSet>
      <sheetData sheetId="0">
        <row r="105">
          <cell r="H105">
            <v>-149900</v>
          </cell>
        </row>
        <row r="108">
          <cell r="H108">
            <v>151732</v>
          </cell>
        </row>
        <row r="109">
          <cell r="H109">
            <v>-92827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-BACEN-2020"/>
      <sheetName val="DRE-BACEN-2020"/>
      <sheetName val="DRA"/>
      <sheetName val="MUT-Bacen-2020"/>
      <sheetName val="DFC "/>
      <sheetName val="DVA "/>
      <sheetName val="Entrada dados DVA"/>
      <sheetName val="===&gt; Planilha suporte"/>
      <sheetName val="BP-CVM-2020"/>
      <sheetName val="DRE-CVM-2020"/>
      <sheetName val="MUT-CVM"/>
      <sheetName val="BP-CVM-2020-O.Liquidez"/>
      <sheetName val="DRE-CVM-NOVO"/>
      <sheetName val="DRA Mil-CVM"/>
      <sheetName val="DRA Reais"/>
      <sheetName val="Extr.DRA"/>
      <sheetName val="BP Múlt. Reais"/>
      <sheetName val="DRE Múlt.-Reais"/>
      <sheetName val="BP CONS. Reais"/>
      <sheetName val="DRE CONS. Reais"/>
    </sheetNames>
    <sheetDataSet>
      <sheetData sheetId="0">
        <row r="105">
          <cell r="G105">
            <v>-156867</v>
          </cell>
        </row>
        <row r="108">
          <cell r="G108">
            <v>164333</v>
          </cell>
        </row>
        <row r="109">
          <cell r="G109">
            <v>-97438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-BACEN-2020"/>
      <sheetName val="DRE-BACEN-2020"/>
      <sheetName val="DRA"/>
      <sheetName val="MUT-Bacen-2020"/>
      <sheetName val="DFC "/>
      <sheetName val="DVA "/>
      <sheetName val="Entrada dados DVA"/>
      <sheetName val="===&gt; Planilha suporte"/>
      <sheetName val="BP-CVM-2020"/>
      <sheetName val="DRE-CVM-2020"/>
      <sheetName val="DRA Mil-CVM"/>
      <sheetName val="DRA Reais"/>
      <sheetName val="Extr.DRA"/>
      <sheetName val="BALANÇO Múlt. R$"/>
      <sheetName val="DRE Múlt.-R$"/>
      <sheetName val="BALANÇO CONS. R$"/>
      <sheetName val="DRE CONS. R$"/>
      <sheetName val="BP-CVM-2020-O.Liquidez"/>
      <sheetName val="Rec.Prest.Serv."/>
      <sheetName val="PDDxBx.Pass.Cont."/>
    </sheetNames>
    <sheetDataSet>
      <sheetData sheetId="0">
        <row r="107">
          <cell r="H107">
            <v>-164576</v>
          </cell>
        </row>
        <row r="110">
          <cell r="H110">
            <v>171408</v>
          </cell>
        </row>
        <row r="111">
          <cell r="H111">
            <v>-102146</v>
          </cell>
        </row>
      </sheetData>
      <sheetData sheetId="1">
        <row r="12">
          <cell r="K12">
            <v>1913802</v>
          </cell>
        </row>
        <row r="13">
          <cell r="K13">
            <v>109416</v>
          </cell>
        </row>
        <row r="14">
          <cell r="K14">
            <v>117040</v>
          </cell>
        </row>
        <row r="15">
          <cell r="K15">
            <v>33728</v>
          </cell>
        </row>
        <row r="16">
          <cell r="K16">
            <v>2597</v>
          </cell>
        </row>
        <row r="17">
          <cell r="K17">
            <v>124142</v>
          </cell>
        </row>
        <row r="20">
          <cell r="K20">
            <v>-422504</v>
          </cell>
        </row>
        <row r="21">
          <cell r="K21">
            <v>-11774</v>
          </cell>
        </row>
        <row r="23">
          <cell r="K23">
            <v>-3085</v>
          </cell>
        </row>
        <row r="27">
          <cell r="K27">
            <v>-326310</v>
          </cell>
        </row>
        <row r="33">
          <cell r="K33">
            <v>96522</v>
          </cell>
        </row>
        <row r="34">
          <cell r="K34">
            <v>221877</v>
          </cell>
        </row>
        <row r="38">
          <cell r="K38">
            <v>-458854</v>
          </cell>
        </row>
        <row r="39">
          <cell r="K39">
            <v>-683853</v>
          </cell>
        </row>
        <row r="40">
          <cell r="K40">
            <v>-117806</v>
          </cell>
        </row>
        <row r="41">
          <cell r="K41">
            <v>52238</v>
          </cell>
        </row>
        <row r="46">
          <cell r="K46">
            <v>-401965</v>
          </cell>
        </row>
        <row r="59">
          <cell r="K59">
            <v>56653</v>
          </cell>
        </row>
        <row r="60">
          <cell r="K60">
            <v>-72684</v>
          </cell>
        </row>
        <row r="65">
          <cell r="K65">
            <v>-9968</v>
          </cell>
        </row>
        <row r="66">
          <cell r="K66">
            <v>-5126</v>
          </cell>
        </row>
        <row r="67">
          <cell r="K67">
            <v>-35293</v>
          </cell>
        </row>
        <row r="70">
          <cell r="K70">
            <v>-2290</v>
          </cell>
        </row>
        <row r="71">
          <cell r="K71">
            <v>-23148</v>
          </cell>
        </row>
        <row r="73">
          <cell r="K73">
            <v>-2307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-BACEN-2021"/>
      <sheetName val="DRE-BACEN-2021"/>
      <sheetName val="DRA"/>
      <sheetName val="MUT-Bacen-2021"/>
      <sheetName val="DFC "/>
      <sheetName val="DVA "/>
      <sheetName val="Entrada dados DVA"/>
      <sheetName val="===&gt; Planilha suporte"/>
      <sheetName val="BP-CVM-2021"/>
      <sheetName val="DRE-CVM-2021"/>
      <sheetName val="DRA Reais"/>
      <sheetName val="Extr.DRA"/>
      <sheetName val="BAL B  EM R$  OK"/>
      <sheetName val="DERE - SEM Reais OK"/>
      <sheetName val="BAL B  EM R$ Consolidado"/>
      <sheetName val="DERE - SEM Conso Reais OK"/>
    </sheetNames>
    <sheetDataSet>
      <sheetData sheetId="0">
        <row r="101">
          <cell r="H101">
            <v>-173076</v>
          </cell>
        </row>
        <row r="104">
          <cell r="H104">
            <v>176916</v>
          </cell>
        </row>
        <row r="105">
          <cell r="H105">
            <v>-107125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-BACEN-2021"/>
      <sheetName val="DRE-BACEN-2021"/>
      <sheetName val="DRA"/>
      <sheetName val="MUT-Bacen-2021"/>
      <sheetName val="DFC "/>
      <sheetName val="DVA "/>
      <sheetName val="Entrada dados DVA"/>
      <sheetName val="===&gt; Planilha suporte"/>
      <sheetName val="BP-CVM-2021"/>
      <sheetName val="DRE-CVM-2021"/>
      <sheetName val="DRA Reais"/>
      <sheetName val="Extr.DRA"/>
      <sheetName val="BP Múlt. Reais"/>
      <sheetName val="BP Múlt.xDOMO"/>
      <sheetName val="DRE Múlt.-Reais"/>
      <sheetName val="DRE Múlt.-Reais-AJUSTADA"/>
      <sheetName val="BP CONS. Reais"/>
      <sheetName val="DRE CONS. Reais"/>
      <sheetName val="DRE CONS.Ajustada"/>
    </sheetNames>
    <sheetDataSet>
      <sheetData sheetId="0">
        <row r="101">
          <cell r="G101">
            <v>-181929</v>
          </cell>
        </row>
        <row r="104">
          <cell r="G104">
            <v>179319</v>
          </cell>
        </row>
        <row r="105">
          <cell r="G105">
            <v>-109653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-BACEN-2021"/>
      <sheetName val="DRE-BACEN-2021"/>
      <sheetName val="DRA"/>
      <sheetName val="DMPL"/>
      <sheetName val="DFC "/>
      <sheetName val="DVA "/>
      <sheetName val="Entrada dados DVA"/>
      <sheetName val="===&gt; Planilha suporte"/>
      <sheetName val="BP-CVM-2021"/>
      <sheetName val="DRE-CVM-2021"/>
      <sheetName val="DRA Reais"/>
      <sheetName val="Extr.DRA-21"/>
      <sheetName val="BP Múlt. Reais"/>
      <sheetName val="BP Múlt.xDOMO"/>
      <sheetName val="DRE Múlt.-Reais"/>
      <sheetName val="BP CONS. Reais"/>
      <sheetName val="DRE CONS. Reais"/>
    </sheetNames>
    <sheetDataSet>
      <sheetData sheetId="0">
        <row r="101">
          <cell r="H101">
            <v>-191481</v>
          </cell>
        </row>
        <row r="104">
          <cell r="H104">
            <v>197280</v>
          </cell>
        </row>
        <row r="105">
          <cell r="H105">
            <v>-115095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-BACEN-2021"/>
      <sheetName val="DRE-BACEN-2021"/>
      <sheetName val="DRA"/>
      <sheetName val="DMPL"/>
      <sheetName val="DFC "/>
      <sheetName val="DVA "/>
      <sheetName val="Entrada dados DVA"/>
      <sheetName val="===&gt; Planilha suporte"/>
      <sheetName val="BP-CVM-2021"/>
      <sheetName val="DRE-CVM-2021"/>
      <sheetName val="DRA Reais"/>
      <sheetName val="Extr.DRA-21"/>
      <sheetName val="BP Múlt. Reais"/>
      <sheetName val="BP Múlt.xDOMO"/>
      <sheetName val="DRE Múlt.-Reais"/>
      <sheetName val="BP CONS. Reais"/>
      <sheetName val="DRE CONS. Reais"/>
    </sheetNames>
    <sheetDataSet>
      <sheetData sheetId="0">
        <row r="107">
          <cell r="H107">
            <v>196129</v>
          </cell>
        </row>
        <row r="108">
          <cell r="H108">
            <v>-114409</v>
          </cell>
        </row>
      </sheetData>
      <sheetData sheetId="1">
        <row r="12">
          <cell r="L12">
            <v>2301215</v>
          </cell>
        </row>
        <row r="13">
          <cell r="L13">
            <v>99743</v>
          </cell>
        </row>
        <row r="14">
          <cell r="L14">
            <v>41506</v>
          </cell>
        </row>
        <row r="15">
          <cell r="L15">
            <v>14170</v>
          </cell>
        </row>
        <row r="16">
          <cell r="L16">
            <v>3636</v>
          </cell>
        </row>
        <row r="17">
          <cell r="L17">
            <v>146235</v>
          </cell>
        </row>
        <row r="20">
          <cell r="L20">
            <v>-369510</v>
          </cell>
        </row>
        <row r="21">
          <cell r="L21">
            <v>-443</v>
          </cell>
        </row>
        <row r="23">
          <cell r="L23">
            <v>-2823</v>
          </cell>
        </row>
        <row r="26">
          <cell r="L26">
            <v>-344697</v>
          </cell>
        </row>
        <row r="32">
          <cell r="L32">
            <v>165402</v>
          </cell>
        </row>
        <row r="33">
          <cell r="L33">
            <v>187192</v>
          </cell>
        </row>
        <row r="37">
          <cell r="L37">
            <v>-500440</v>
          </cell>
        </row>
        <row r="38">
          <cell r="L38">
            <v>-851450</v>
          </cell>
        </row>
        <row r="39">
          <cell r="L39">
            <v>-148498</v>
          </cell>
        </row>
        <row r="40">
          <cell r="L40">
            <v>91938</v>
          </cell>
        </row>
        <row r="45">
          <cell r="L45">
            <v>-669303</v>
          </cell>
        </row>
        <row r="58">
          <cell r="L58">
            <v>22140</v>
          </cell>
        </row>
        <row r="59">
          <cell r="L59">
            <v>-18649</v>
          </cell>
        </row>
        <row r="64">
          <cell r="L64">
            <v>-4249</v>
          </cell>
        </row>
        <row r="65">
          <cell r="L65">
            <v>-548</v>
          </cell>
        </row>
        <row r="66">
          <cell r="L66">
            <v>59083</v>
          </cell>
        </row>
        <row r="69">
          <cell r="L69">
            <v>-5212</v>
          </cell>
        </row>
        <row r="70">
          <cell r="L70">
            <v>-29075</v>
          </cell>
        </row>
        <row r="72">
          <cell r="L72">
            <v>-2876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H36"/>
  <sheetViews>
    <sheetView showGridLines="0" tabSelected="1" workbookViewId="0"/>
  </sheetViews>
  <sheetFormatPr defaultColWidth="9.140625" defaultRowHeight="12.75" x14ac:dyDescent="0.2"/>
  <cols>
    <col min="1" max="1" width="7.28515625" style="84" customWidth="1"/>
    <col min="2" max="2" width="2.5703125" style="84" customWidth="1"/>
    <col min="3" max="3" width="20.7109375" style="84" customWidth="1"/>
    <col min="4" max="4" width="9.42578125" style="84" customWidth="1"/>
    <col min="5" max="5" width="9.140625" style="84"/>
    <col min="6" max="6" width="2.7109375" style="84" customWidth="1"/>
    <col min="7" max="16384" width="9.140625" style="84"/>
  </cols>
  <sheetData>
    <row r="1" spans="1:8" ht="19.5" customHeight="1" x14ac:dyDescent="0.25">
      <c r="A1" s="83"/>
      <c r="B1" s="83"/>
      <c r="C1" s="83"/>
      <c r="D1" s="83"/>
      <c r="E1" s="83"/>
      <c r="F1" s="83"/>
      <c r="G1" s="83"/>
      <c r="H1" s="83"/>
    </row>
    <row r="2" spans="1:8" ht="15" x14ac:dyDescent="0.25">
      <c r="A2" s="83"/>
      <c r="B2" s="83"/>
      <c r="C2" s="83"/>
      <c r="D2" s="83"/>
      <c r="E2" s="83"/>
      <c r="F2" s="83"/>
      <c r="G2" s="83"/>
      <c r="H2" s="83"/>
    </row>
    <row r="3" spans="1:8" ht="15" x14ac:dyDescent="0.25">
      <c r="A3" s="83"/>
      <c r="B3" s="83"/>
      <c r="C3" s="83"/>
      <c r="D3" s="83"/>
      <c r="E3" s="83"/>
      <c r="F3" s="83"/>
      <c r="G3" s="83"/>
      <c r="H3" s="83"/>
    </row>
    <row r="4" spans="1:8" ht="15" x14ac:dyDescent="0.25">
      <c r="A4" s="83"/>
      <c r="B4" s="83"/>
      <c r="C4" s="83"/>
      <c r="D4" s="83"/>
      <c r="E4" s="83"/>
      <c r="F4" s="83"/>
      <c r="G4" s="83"/>
      <c r="H4" s="83"/>
    </row>
    <row r="5" spans="1:8" ht="15" x14ac:dyDescent="0.25">
      <c r="A5" s="83"/>
      <c r="B5" s="83"/>
      <c r="C5" s="83"/>
      <c r="D5" s="83"/>
      <c r="E5" s="83"/>
      <c r="F5" s="83"/>
      <c r="G5" s="83"/>
      <c r="H5" s="83"/>
    </row>
    <row r="6" spans="1:8" ht="15" x14ac:dyDescent="0.25">
      <c r="A6" s="83"/>
      <c r="B6" s="83"/>
      <c r="C6" s="83"/>
      <c r="D6" s="83"/>
      <c r="E6" s="83"/>
      <c r="F6" s="83"/>
      <c r="G6" s="83"/>
      <c r="H6" s="83"/>
    </row>
    <row r="7" spans="1:8" ht="15" x14ac:dyDescent="0.25">
      <c r="A7" s="83"/>
      <c r="B7" s="83"/>
      <c r="C7" s="83"/>
      <c r="D7" s="83"/>
      <c r="E7" s="83"/>
      <c r="F7" s="83"/>
      <c r="G7" s="83"/>
      <c r="H7" s="83"/>
    </row>
    <row r="8" spans="1:8" ht="15" x14ac:dyDescent="0.25">
      <c r="A8" s="83"/>
      <c r="B8" s="83"/>
      <c r="C8" s="83"/>
      <c r="D8" s="83"/>
      <c r="E8" s="83"/>
      <c r="F8" s="83"/>
      <c r="G8" s="83"/>
      <c r="H8" s="83"/>
    </row>
    <row r="9" spans="1:8" ht="15" x14ac:dyDescent="0.25">
      <c r="A9" s="83"/>
      <c r="B9" s="183" t="s">
        <v>367</v>
      </c>
      <c r="C9" s="183"/>
      <c r="D9" s="183"/>
      <c r="E9" s="183"/>
      <c r="F9" s="183"/>
      <c r="G9" s="183"/>
      <c r="H9" s="83"/>
    </row>
    <row r="10" spans="1:8" ht="15" x14ac:dyDescent="0.25">
      <c r="A10" s="83"/>
      <c r="B10" s="83"/>
      <c r="C10" s="83"/>
      <c r="D10" s="83"/>
      <c r="E10" s="83"/>
      <c r="F10" s="83"/>
      <c r="G10" s="83"/>
      <c r="H10" s="83"/>
    </row>
    <row r="11" spans="1:8" ht="15" x14ac:dyDescent="0.25">
      <c r="A11" s="83"/>
      <c r="B11" s="85" t="s">
        <v>12</v>
      </c>
      <c r="C11" s="86"/>
      <c r="D11" s="83"/>
      <c r="E11" s="83"/>
      <c r="F11" s="83"/>
      <c r="G11" s="83"/>
      <c r="H11" s="83"/>
    </row>
    <row r="13" spans="1:8" x14ac:dyDescent="0.2">
      <c r="B13" s="84" t="s">
        <v>10</v>
      </c>
    </row>
    <row r="15" spans="1:8" x14ac:dyDescent="0.2">
      <c r="B15" s="87" t="s">
        <v>0</v>
      </c>
      <c r="C15" s="88" t="s">
        <v>4</v>
      </c>
    </row>
    <row r="16" spans="1:8" ht="8.25" customHeight="1" x14ac:dyDescent="0.2">
      <c r="B16" s="87"/>
      <c r="C16" s="88"/>
    </row>
    <row r="17" spans="2:7" x14ac:dyDescent="0.2">
      <c r="B17" s="87" t="s">
        <v>1</v>
      </c>
      <c r="C17" s="88" t="s">
        <v>327</v>
      </c>
    </row>
    <row r="18" spans="2:7" ht="8.25" customHeight="1" x14ac:dyDescent="0.2">
      <c r="B18" s="87"/>
      <c r="C18" s="88"/>
    </row>
    <row r="19" spans="2:7" x14ac:dyDescent="0.2">
      <c r="B19" s="87" t="s">
        <v>2</v>
      </c>
      <c r="C19" s="88" t="s">
        <v>161</v>
      </c>
    </row>
    <row r="20" spans="2:7" ht="8.25" customHeight="1" x14ac:dyDescent="0.2">
      <c r="B20" s="87"/>
      <c r="C20" s="88"/>
    </row>
    <row r="21" spans="2:7" x14ac:dyDescent="0.2">
      <c r="B21" s="87" t="s">
        <v>3</v>
      </c>
      <c r="C21" s="88" t="s">
        <v>6</v>
      </c>
    </row>
    <row r="22" spans="2:7" ht="8.25" customHeight="1" x14ac:dyDescent="0.2">
      <c r="B22" s="87"/>
      <c r="C22" s="88"/>
    </row>
    <row r="23" spans="2:7" x14ac:dyDescent="0.2">
      <c r="B23" s="87" t="s">
        <v>7</v>
      </c>
      <c r="C23" s="88" t="s">
        <v>118</v>
      </c>
    </row>
    <row r="24" spans="2:7" ht="8.25" customHeight="1" x14ac:dyDescent="0.2">
      <c r="B24" s="87"/>
      <c r="C24" s="88"/>
    </row>
    <row r="25" spans="2:7" x14ac:dyDescent="0.2">
      <c r="B25" s="87" t="s">
        <v>8</v>
      </c>
      <c r="C25" s="88" t="s">
        <v>106</v>
      </c>
    </row>
    <row r="26" spans="2:7" ht="8.25" customHeight="1" x14ac:dyDescent="0.2">
      <c r="B26" s="87"/>
      <c r="C26" s="88"/>
    </row>
    <row r="27" spans="2:7" x14ac:dyDescent="0.2">
      <c r="B27" s="87" t="s">
        <v>9</v>
      </c>
      <c r="C27" s="88" t="s">
        <v>326</v>
      </c>
    </row>
    <row r="28" spans="2:7" ht="8.25" customHeight="1" x14ac:dyDescent="0.2">
      <c r="B28" s="87"/>
      <c r="C28" s="88"/>
    </row>
    <row r="29" spans="2:7" x14ac:dyDescent="0.2">
      <c r="B29" s="89"/>
      <c r="C29" s="88"/>
      <c r="D29" s="89"/>
      <c r="E29" s="89"/>
      <c r="F29" s="89"/>
      <c r="G29" s="89"/>
    </row>
    <row r="30" spans="2:7" x14ac:dyDescent="0.2">
      <c r="B30" s="89"/>
      <c r="C30" s="88"/>
      <c r="D30" s="89"/>
      <c r="E30" s="89"/>
      <c r="F30" s="89"/>
      <c r="G30" s="89"/>
    </row>
    <row r="31" spans="2:7" x14ac:dyDescent="0.2">
      <c r="B31" s="89"/>
      <c r="C31" s="88"/>
      <c r="D31" s="89"/>
      <c r="E31" s="89"/>
      <c r="F31" s="89"/>
      <c r="G31" s="89"/>
    </row>
    <row r="32" spans="2:7" x14ac:dyDescent="0.2">
      <c r="B32" s="89"/>
      <c r="C32" s="88"/>
      <c r="D32" s="89"/>
      <c r="E32" s="89"/>
      <c r="F32" s="89"/>
      <c r="G32" s="89"/>
    </row>
    <row r="33" spans="3:3" ht="16.5" customHeight="1" x14ac:dyDescent="0.2">
      <c r="C33" s="88"/>
    </row>
    <row r="34" spans="3:3" ht="6" customHeight="1" x14ac:dyDescent="0.2">
      <c r="C34" s="88"/>
    </row>
    <row r="35" spans="3:3" x14ac:dyDescent="0.2">
      <c r="C35" s="89"/>
    </row>
    <row r="36" spans="3:3" x14ac:dyDescent="0.2">
      <c r="C36" s="89"/>
    </row>
  </sheetData>
  <mergeCells count="1">
    <mergeCell ref="B9:G9"/>
  </mergeCells>
  <hyperlinks>
    <hyperlink ref="C15" location="'Balanço Patrimonial'!A1" display="Balanço Patrimonial"/>
    <hyperlink ref="C17" location="'DRE Trimestral'!A1" display="DRE Contábil"/>
    <hyperlink ref="C21" location="Captação!A1" display="Captação"/>
    <hyperlink ref="C23" location="Gerenciamento_Capital!A1" display="Gerenciamento de Capital"/>
    <hyperlink ref="C19" location="'DRE Anual'!A1" display="DRE Contábil (Anual)"/>
    <hyperlink ref="C25" location="'Dividendos e JCP'!A1" display="Dividendos e JCP"/>
    <hyperlink ref="C27" location="'Notas Explicativas'!A1" display="Notas Explicativas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/>
  <dimension ref="A1:Y83"/>
  <sheetViews>
    <sheetView showGridLines="0" zoomScaleNormal="100" workbookViewId="0">
      <pane xSplit="1" ySplit="9" topLeftCell="J10" activePane="bottomRight" state="frozen"/>
      <selection activeCell="C15" sqref="C15"/>
      <selection pane="topRight" activeCell="C15" sqref="C15"/>
      <selection pane="bottomLeft" activeCell="C15" sqref="C15"/>
      <selection pane="bottomRight"/>
    </sheetView>
  </sheetViews>
  <sheetFormatPr defaultColWidth="9.140625" defaultRowHeight="12.75" x14ac:dyDescent="0.2"/>
  <cols>
    <col min="1" max="1" width="61.85546875" style="60" bestFit="1" customWidth="1"/>
    <col min="2" max="11" width="12" style="60" customWidth="1"/>
    <col min="12" max="13" width="12.7109375" style="60" bestFit="1" customWidth="1"/>
    <col min="14" max="15" width="12.85546875" style="60" customWidth="1"/>
    <col min="16" max="16" width="14" style="60" bestFit="1" customWidth="1"/>
    <col min="17" max="17" width="12.7109375" style="60" bestFit="1" customWidth="1"/>
    <col min="18" max="18" width="11.5703125" style="55" bestFit="1" customWidth="1"/>
    <col min="19" max="16384" width="9.140625" style="55"/>
  </cols>
  <sheetData>
    <row r="1" spans="1:25" ht="15" x14ac:dyDescent="0.25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25" ht="15" x14ac:dyDescent="0.25">
      <c r="A2" s="56" t="s">
        <v>367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25" ht="6.75" customHeight="1" x14ac:dyDescent="0.25">
      <c r="A3" s="57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25" ht="15" x14ac:dyDescent="0.25">
      <c r="A4" s="56" t="s">
        <v>12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25" ht="6.75" customHeight="1" x14ac:dyDescent="0.25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25" ht="15" x14ac:dyDescent="0.25">
      <c r="A6" s="90"/>
      <c r="B6" s="59" t="s">
        <v>13</v>
      </c>
      <c r="C6" s="55"/>
      <c r="D6" s="55"/>
      <c r="E6" s="55"/>
      <c r="F6" s="55"/>
      <c r="G6" s="55"/>
      <c r="H6" s="55"/>
      <c r="O6" s="55"/>
      <c r="P6" s="55"/>
      <c r="Q6" s="59" t="s">
        <v>13</v>
      </c>
    </row>
    <row r="7" spans="1:25" ht="17.25" customHeight="1" x14ac:dyDescent="0.2">
      <c r="A7" s="91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</row>
    <row r="8" spans="1:25" x14ac:dyDescent="0.2">
      <c r="A8" s="55"/>
      <c r="B8" s="55"/>
      <c r="C8" s="55"/>
      <c r="D8" s="55"/>
      <c r="E8" s="55"/>
      <c r="F8" s="55"/>
      <c r="G8" s="55"/>
      <c r="H8" s="55"/>
      <c r="I8" s="55"/>
      <c r="J8" s="55" t="s">
        <v>119</v>
      </c>
      <c r="K8" s="55" t="s">
        <v>119</v>
      </c>
      <c r="L8" s="55" t="s">
        <v>119</v>
      </c>
      <c r="M8" s="55"/>
      <c r="N8" s="55"/>
      <c r="O8" s="55"/>
      <c r="P8" s="55"/>
      <c r="Q8" s="55"/>
    </row>
    <row r="9" spans="1:25" x14ac:dyDescent="0.2">
      <c r="A9" s="62"/>
      <c r="B9" s="63">
        <v>43891</v>
      </c>
      <c r="C9" s="63">
        <f>EDATE(B9,3)</f>
        <v>43983</v>
      </c>
      <c r="D9" s="63">
        <f t="shared" ref="D9:Y9" si="0">EDATE(C9,3)</f>
        <v>44075</v>
      </c>
      <c r="E9" s="63">
        <f t="shared" si="0"/>
        <v>44166</v>
      </c>
      <c r="F9" s="63">
        <f t="shared" si="0"/>
        <v>44256</v>
      </c>
      <c r="G9" s="63">
        <f t="shared" si="0"/>
        <v>44348</v>
      </c>
      <c r="H9" s="63">
        <f t="shared" si="0"/>
        <v>44440</v>
      </c>
      <c r="I9" s="63">
        <f t="shared" si="0"/>
        <v>44531</v>
      </c>
      <c r="J9" s="63">
        <f t="shared" si="0"/>
        <v>44621</v>
      </c>
      <c r="K9" s="63">
        <f t="shared" si="0"/>
        <v>44713</v>
      </c>
      <c r="L9" s="63">
        <f t="shared" si="0"/>
        <v>44805</v>
      </c>
      <c r="M9" s="63">
        <f t="shared" si="0"/>
        <v>44896</v>
      </c>
      <c r="N9" s="63">
        <f t="shared" si="0"/>
        <v>44986</v>
      </c>
      <c r="O9" s="63">
        <f t="shared" si="0"/>
        <v>45078</v>
      </c>
      <c r="P9" s="63">
        <f t="shared" si="0"/>
        <v>45170</v>
      </c>
      <c r="Q9" s="63">
        <f t="shared" si="0"/>
        <v>45261</v>
      </c>
      <c r="R9" s="63">
        <f t="shared" si="0"/>
        <v>45352</v>
      </c>
      <c r="S9" s="63">
        <f t="shared" si="0"/>
        <v>45444</v>
      </c>
      <c r="T9" s="63">
        <f t="shared" si="0"/>
        <v>45536</v>
      </c>
      <c r="U9" s="63">
        <f t="shared" si="0"/>
        <v>45627</v>
      </c>
      <c r="V9" s="63">
        <f t="shared" si="0"/>
        <v>45717</v>
      </c>
      <c r="W9" s="63">
        <f t="shared" si="0"/>
        <v>45809</v>
      </c>
      <c r="X9" s="63">
        <f t="shared" si="0"/>
        <v>45901</v>
      </c>
      <c r="Y9" s="63">
        <f t="shared" si="0"/>
        <v>45992</v>
      </c>
    </row>
    <row r="10" spans="1:25" x14ac:dyDescent="0.2">
      <c r="A10" s="92" t="s">
        <v>352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</row>
    <row r="11" spans="1:25" x14ac:dyDescent="0.2">
      <c r="A11" s="94" t="s">
        <v>166</v>
      </c>
      <c r="B11" s="95">
        <v>3923367</v>
      </c>
      <c r="C11" s="95">
        <v>4069539</v>
      </c>
      <c r="D11" s="95">
        <v>4475362</v>
      </c>
      <c r="E11" s="95">
        <v>5368816</v>
      </c>
      <c r="F11" s="95">
        <v>5845938</v>
      </c>
      <c r="G11" s="95">
        <v>6516503</v>
      </c>
      <c r="H11" s="95">
        <v>7186850</v>
      </c>
      <c r="I11" s="95">
        <v>7928000</v>
      </c>
      <c r="J11" s="95">
        <v>8706197</v>
      </c>
      <c r="K11" s="95">
        <v>9036504</v>
      </c>
      <c r="L11" s="95">
        <v>9466076</v>
      </c>
      <c r="M11" s="95">
        <v>10074919</v>
      </c>
      <c r="N11" s="95">
        <v>11280189</v>
      </c>
      <c r="O11" s="95">
        <v>11876485</v>
      </c>
      <c r="P11" s="95">
        <v>12513193</v>
      </c>
      <c r="Q11" s="95">
        <v>13190569</v>
      </c>
      <c r="R11" s="96"/>
      <c r="S11" s="96"/>
      <c r="T11" s="96"/>
      <c r="U11" s="96"/>
      <c r="V11" s="96"/>
      <c r="W11" s="96"/>
      <c r="X11" s="96"/>
      <c r="Y11" s="96"/>
    </row>
    <row r="12" spans="1:25" x14ac:dyDescent="0.2">
      <c r="A12" s="82" t="s">
        <v>167</v>
      </c>
      <c r="B12" s="95">
        <f t="shared" ref="B12:J12" si="1">SUM(B16:B25)</f>
        <v>1191481</v>
      </c>
      <c r="C12" s="95">
        <f t="shared" si="1"/>
        <v>1120953</v>
      </c>
      <c r="D12" s="95">
        <f t="shared" si="1"/>
        <v>1064595</v>
      </c>
      <c r="E12" s="95">
        <f t="shared" si="1"/>
        <v>1065997</v>
      </c>
      <c r="F12" s="95">
        <f t="shared" si="1"/>
        <v>1011114</v>
      </c>
      <c r="G12" s="95">
        <f t="shared" si="1"/>
        <v>996315</v>
      </c>
      <c r="H12" s="95">
        <f t="shared" si="1"/>
        <v>927107</v>
      </c>
      <c r="I12" s="95">
        <f t="shared" si="1"/>
        <v>976340</v>
      </c>
      <c r="J12" s="95">
        <f t="shared" si="1"/>
        <v>1003691</v>
      </c>
      <c r="K12" s="95">
        <f t="shared" ref="K12:Q12" si="2">SUM(K13:K15)</f>
        <v>928456</v>
      </c>
      <c r="L12" s="95">
        <f t="shared" si="2"/>
        <v>879115</v>
      </c>
      <c r="M12" s="95">
        <f t="shared" si="2"/>
        <v>898676</v>
      </c>
      <c r="N12" s="95">
        <f t="shared" si="2"/>
        <v>901843</v>
      </c>
      <c r="O12" s="95">
        <f t="shared" si="2"/>
        <v>838978</v>
      </c>
      <c r="P12" s="95">
        <f t="shared" si="2"/>
        <v>827769</v>
      </c>
      <c r="Q12" s="95">
        <f t="shared" si="2"/>
        <v>805530</v>
      </c>
      <c r="R12" s="96"/>
      <c r="S12" s="96"/>
      <c r="T12" s="96"/>
      <c r="U12" s="96"/>
      <c r="V12" s="96"/>
      <c r="W12" s="96"/>
      <c r="X12" s="96"/>
      <c r="Y12" s="96"/>
    </row>
    <row r="13" spans="1:25" x14ac:dyDescent="0.2">
      <c r="A13" s="98" t="s">
        <v>333</v>
      </c>
      <c r="B13" s="99">
        <v>0</v>
      </c>
      <c r="C13" s="99">
        <v>0</v>
      </c>
      <c r="D13" s="99">
        <v>0</v>
      </c>
      <c r="E13" s="99">
        <v>0</v>
      </c>
      <c r="F13" s="99">
        <v>0</v>
      </c>
      <c r="G13" s="99">
        <v>0</v>
      </c>
      <c r="H13" s="99">
        <v>0</v>
      </c>
      <c r="I13" s="99">
        <v>0</v>
      </c>
      <c r="J13" s="99">
        <v>0</v>
      </c>
      <c r="K13" s="99">
        <v>389944</v>
      </c>
      <c r="L13" s="99">
        <v>356976</v>
      </c>
      <c r="M13" s="99">
        <v>364674</v>
      </c>
      <c r="N13" s="99">
        <v>338797</v>
      </c>
      <c r="O13" s="99">
        <v>248454</v>
      </c>
      <c r="P13" s="173">
        <v>233351</v>
      </c>
      <c r="Q13" s="173">
        <v>214960</v>
      </c>
      <c r="R13" s="96"/>
      <c r="S13" s="96"/>
      <c r="T13" s="96"/>
      <c r="U13" s="96"/>
      <c r="V13" s="96"/>
      <c r="W13" s="96"/>
      <c r="X13" s="96"/>
      <c r="Y13" s="96"/>
    </row>
    <row r="14" spans="1:25" x14ac:dyDescent="0.2">
      <c r="A14" s="98" t="s">
        <v>334</v>
      </c>
      <c r="B14" s="99">
        <v>0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99">
        <v>0</v>
      </c>
      <c r="K14" s="99">
        <v>30941</v>
      </c>
      <c r="L14" s="99">
        <v>27909</v>
      </c>
      <c r="M14" s="99">
        <v>25310</v>
      </c>
      <c r="N14" s="99">
        <v>30332</v>
      </c>
      <c r="O14" s="99">
        <v>28852</v>
      </c>
      <c r="P14" s="173">
        <v>27049</v>
      </c>
      <c r="Q14" s="173">
        <v>26486</v>
      </c>
      <c r="R14" s="96"/>
      <c r="S14" s="96"/>
      <c r="T14" s="96"/>
      <c r="U14" s="96"/>
      <c r="V14" s="96"/>
      <c r="W14" s="96"/>
      <c r="X14" s="96"/>
      <c r="Y14" s="96"/>
    </row>
    <row r="15" spans="1:25" x14ac:dyDescent="0.2">
      <c r="A15" s="98" t="s">
        <v>335</v>
      </c>
      <c r="B15" s="99">
        <v>0</v>
      </c>
      <c r="C15" s="99">
        <v>0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I15" s="99">
        <v>0</v>
      </c>
      <c r="J15" s="99">
        <v>0</v>
      </c>
      <c r="K15" s="99">
        <v>507571</v>
      </c>
      <c r="L15" s="99">
        <v>494230</v>
      </c>
      <c r="M15" s="99">
        <v>508692</v>
      </c>
      <c r="N15" s="99">
        <v>532714</v>
      </c>
      <c r="O15" s="99">
        <v>561672</v>
      </c>
      <c r="P15" s="173">
        <v>567369</v>
      </c>
      <c r="Q15" s="173">
        <v>564084</v>
      </c>
      <c r="R15" s="96"/>
      <c r="S15" s="96"/>
      <c r="T15" s="96"/>
      <c r="U15" s="96"/>
      <c r="V15" s="96"/>
      <c r="W15" s="96"/>
      <c r="X15" s="96"/>
      <c r="Y15" s="96"/>
    </row>
    <row r="16" spans="1:25" x14ac:dyDescent="0.2">
      <c r="A16" s="100" t="s">
        <v>168</v>
      </c>
      <c r="B16" s="99">
        <v>249297</v>
      </c>
      <c r="C16" s="99">
        <v>218157</v>
      </c>
      <c r="D16" s="99">
        <v>204701</v>
      </c>
      <c r="E16" s="99">
        <v>180534</v>
      </c>
      <c r="F16" s="99">
        <v>172633</v>
      </c>
      <c r="G16" s="99">
        <v>162116</v>
      </c>
      <c r="H16" s="99">
        <v>152433</v>
      </c>
      <c r="I16" s="99">
        <v>167754</v>
      </c>
      <c r="J16" s="99">
        <v>169430</v>
      </c>
      <c r="K16" s="99">
        <v>0</v>
      </c>
      <c r="L16" s="99">
        <v>0</v>
      </c>
      <c r="M16" s="99">
        <v>0</v>
      </c>
      <c r="N16" s="99">
        <v>0</v>
      </c>
      <c r="O16" s="99">
        <v>0</v>
      </c>
      <c r="P16" s="99">
        <v>0</v>
      </c>
      <c r="Q16" s="99">
        <v>0</v>
      </c>
      <c r="R16" s="101"/>
      <c r="S16" s="101"/>
      <c r="T16" s="101"/>
      <c r="U16" s="101"/>
      <c r="V16" s="101"/>
      <c r="W16" s="101"/>
      <c r="X16" s="101"/>
      <c r="Y16" s="101"/>
    </row>
    <row r="17" spans="1:25" x14ac:dyDescent="0.2">
      <c r="A17" s="100" t="s">
        <v>169</v>
      </c>
      <c r="B17" s="99">
        <v>134319</v>
      </c>
      <c r="C17" s="99">
        <v>151077</v>
      </c>
      <c r="D17" s="99">
        <v>145688</v>
      </c>
      <c r="E17" s="99">
        <v>133957</v>
      </c>
      <c r="F17" s="99">
        <v>123190</v>
      </c>
      <c r="G17" s="99">
        <v>94717</v>
      </c>
      <c r="H17" s="99">
        <v>74963</v>
      </c>
      <c r="I17" s="99">
        <v>69270</v>
      </c>
      <c r="J17" s="99">
        <v>58628</v>
      </c>
      <c r="K17" s="99">
        <v>0</v>
      </c>
      <c r="L17" s="99">
        <v>0</v>
      </c>
      <c r="M17" s="99">
        <v>0</v>
      </c>
      <c r="N17" s="99">
        <v>0</v>
      </c>
      <c r="O17" s="99">
        <v>0</v>
      </c>
      <c r="P17" s="99">
        <v>0</v>
      </c>
      <c r="Q17" s="99">
        <v>0</v>
      </c>
      <c r="R17" s="101"/>
      <c r="S17" s="101"/>
      <c r="T17" s="101"/>
      <c r="U17" s="101"/>
      <c r="V17" s="101"/>
      <c r="W17" s="101"/>
      <c r="X17" s="101"/>
      <c r="Y17" s="101"/>
    </row>
    <row r="18" spans="1:25" x14ac:dyDescent="0.2">
      <c r="A18" s="100" t="s">
        <v>170</v>
      </c>
      <c r="B18" s="99">
        <v>118291</v>
      </c>
      <c r="C18" s="99">
        <v>109261</v>
      </c>
      <c r="D18" s="99">
        <v>104049</v>
      </c>
      <c r="E18" s="99">
        <v>100240</v>
      </c>
      <c r="F18" s="99">
        <v>117266</v>
      </c>
      <c r="G18" s="99">
        <v>89440</v>
      </c>
      <c r="H18" s="99">
        <v>58864</v>
      </c>
      <c r="I18" s="99">
        <v>59953</v>
      </c>
      <c r="J18" s="99">
        <v>75826</v>
      </c>
      <c r="K18" s="99">
        <v>0</v>
      </c>
      <c r="L18" s="99">
        <v>0</v>
      </c>
      <c r="M18" s="99">
        <v>0</v>
      </c>
      <c r="N18" s="99">
        <v>0</v>
      </c>
      <c r="O18" s="99">
        <v>0</v>
      </c>
      <c r="P18" s="99">
        <v>0</v>
      </c>
      <c r="Q18" s="99">
        <v>0</v>
      </c>
      <c r="R18" s="101"/>
      <c r="S18" s="101"/>
      <c r="T18" s="101"/>
      <c r="U18" s="101"/>
      <c r="V18" s="101"/>
      <c r="W18" s="101"/>
      <c r="X18" s="101"/>
      <c r="Y18" s="101"/>
    </row>
    <row r="19" spans="1:25" x14ac:dyDescent="0.2">
      <c r="A19" s="100" t="s">
        <v>171</v>
      </c>
      <c r="B19" s="99">
        <v>77876</v>
      </c>
      <c r="C19" s="99">
        <v>84911</v>
      </c>
      <c r="D19" s="99">
        <v>103599</v>
      </c>
      <c r="E19" s="99">
        <v>128000</v>
      </c>
      <c r="F19" s="99">
        <v>103375</v>
      </c>
      <c r="G19" s="99">
        <v>100220</v>
      </c>
      <c r="H19" s="99">
        <v>129731</v>
      </c>
      <c r="I19" s="99">
        <v>159903</v>
      </c>
      <c r="J19" s="99">
        <v>159783</v>
      </c>
      <c r="K19" s="99">
        <v>0</v>
      </c>
      <c r="L19" s="99">
        <v>0</v>
      </c>
      <c r="M19" s="99">
        <v>0</v>
      </c>
      <c r="N19" s="99">
        <v>0</v>
      </c>
      <c r="O19" s="99">
        <v>0</v>
      </c>
      <c r="P19" s="99">
        <v>0</v>
      </c>
      <c r="Q19" s="99">
        <v>0</v>
      </c>
      <c r="R19" s="101"/>
      <c r="S19" s="101"/>
      <c r="T19" s="101"/>
      <c r="U19" s="101"/>
      <c r="V19" s="101"/>
      <c r="W19" s="101"/>
      <c r="X19" s="101"/>
      <c r="Y19" s="101"/>
    </row>
    <row r="20" spans="1:25" x14ac:dyDescent="0.2">
      <c r="A20" s="100" t="s">
        <v>172</v>
      </c>
      <c r="B20" s="99">
        <v>112004</v>
      </c>
      <c r="C20" s="99">
        <v>108730</v>
      </c>
      <c r="D20" s="99">
        <v>91321</v>
      </c>
      <c r="E20" s="99">
        <v>100601</v>
      </c>
      <c r="F20" s="99">
        <v>91729</v>
      </c>
      <c r="G20" s="99">
        <v>138785</v>
      </c>
      <c r="H20" s="99">
        <v>113437</v>
      </c>
      <c r="I20" s="99">
        <v>161507</v>
      </c>
      <c r="J20" s="99">
        <v>168946</v>
      </c>
      <c r="K20" s="99">
        <v>0</v>
      </c>
      <c r="L20" s="99">
        <v>0</v>
      </c>
      <c r="M20" s="99">
        <v>0</v>
      </c>
      <c r="N20" s="99">
        <v>0</v>
      </c>
      <c r="O20" s="99">
        <v>0</v>
      </c>
      <c r="P20" s="99">
        <v>0</v>
      </c>
      <c r="Q20" s="99">
        <v>0</v>
      </c>
      <c r="R20" s="101"/>
      <c r="S20" s="101"/>
      <c r="T20" s="101"/>
      <c r="U20" s="101"/>
      <c r="V20" s="101"/>
      <c r="W20" s="101"/>
      <c r="X20" s="101"/>
      <c r="Y20" s="101"/>
    </row>
    <row r="21" spans="1:25" x14ac:dyDescent="0.2">
      <c r="A21" s="100" t="s">
        <v>173</v>
      </c>
      <c r="B21" s="99">
        <v>88044</v>
      </c>
      <c r="C21" s="99">
        <v>87328</v>
      </c>
      <c r="D21" s="99">
        <v>89872</v>
      </c>
      <c r="E21" s="99">
        <v>89953</v>
      </c>
      <c r="F21" s="99">
        <v>81658</v>
      </c>
      <c r="G21" s="99">
        <v>81295</v>
      </c>
      <c r="H21" s="99">
        <v>83341</v>
      </c>
      <c r="I21" s="99">
        <v>85588</v>
      </c>
      <c r="J21" s="99">
        <v>125389</v>
      </c>
      <c r="K21" s="99">
        <v>0</v>
      </c>
      <c r="L21" s="99">
        <v>0</v>
      </c>
      <c r="M21" s="99">
        <v>0</v>
      </c>
      <c r="N21" s="99">
        <v>0</v>
      </c>
      <c r="O21" s="99">
        <v>0</v>
      </c>
      <c r="P21" s="99">
        <v>0</v>
      </c>
      <c r="Q21" s="99">
        <v>0</v>
      </c>
      <c r="R21" s="101"/>
      <c r="S21" s="101"/>
      <c r="T21" s="101"/>
      <c r="U21" s="101"/>
      <c r="V21" s="101"/>
      <c r="W21" s="101"/>
      <c r="X21" s="101"/>
      <c r="Y21" s="101"/>
    </row>
    <row r="22" spans="1:25" x14ac:dyDescent="0.2">
      <c r="A22" s="100" t="s">
        <v>174</v>
      </c>
      <c r="B22" s="99">
        <v>64296</v>
      </c>
      <c r="C22" s="99">
        <v>63392</v>
      </c>
      <c r="D22" s="99">
        <v>39795</v>
      </c>
      <c r="E22" s="99">
        <v>0</v>
      </c>
      <c r="F22" s="101">
        <v>0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99">
        <v>0</v>
      </c>
      <c r="M22" s="99">
        <v>0</v>
      </c>
      <c r="N22" s="99">
        <v>0</v>
      </c>
      <c r="O22" s="99">
        <v>0</v>
      </c>
      <c r="P22" s="99">
        <v>0</v>
      </c>
      <c r="Q22" s="99">
        <v>0</v>
      </c>
      <c r="R22" s="101"/>
      <c r="S22" s="101"/>
      <c r="T22" s="101"/>
      <c r="U22" s="101"/>
      <c r="V22" s="101"/>
      <c r="W22" s="101"/>
      <c r="X22" s="101"/>
      <c r="Y22" s="101"/>
    </row>
    <row r="23" spans="1:25" x14ac:dyDescent="0.2">
      <c r="A23" s="100" t="s">
        <v>175</v>
      </c>
      <c r="B23" s="99">
        <v>33659</v>
      </c>
      <c r="C23" s="99">
        <v>29743</v>
      </c>
      <c r="D23" s="99">
        <v>34620</v>
      </c>
      <c r="E23" s="99">
        <v>25889</v>
      </c>
      <c r="F23" s="101">
        <v>0</v>
      </c>
      <c r="G23" s="99">
        <v>24502</v>
      </c>
      <c r="H23" s="99">
        <v>22829</v>
      </c>
      <c r="I23" s="99">
        <v>20370</v>
      </c>
      <c r="J23" s="99">
        <v>25333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9">
        <v>0</v>
      </c>
      <c r="Q23" s="99">
        <v>0</v>
      </c>
      <c r="R23" s="101"/>
      <c r="S23" s="101"/>
      <c r="T23" s="101"/>
      <c r="U23" s="101"/>
      <c r="V23" s="101"/>
      <c r="W23" s="101"/>
      <c r="X23" s="101"/>
      <c r="Y23" s="101"/>
    </row>
    <row r="24" spans="1:25" x14ac:dyDescent="0.2">
      <c r="A24" s="100" t="s">
        <v>176</v>
      </c>
      <c r="B24" s="99">
        <v>0</v>
      </c>
      <c r="C24" s="99">
        <v>0</v>
      </c>
      <c r="D24" s="99">
        <v>0</v>
      </c>
      <c r="E24" s="99">
        <v>39780</v>
      </c>
      <c r="F24" s="99">
        <v>55558</v>
      </c>
      <c r="G24" s="99">
        <v>56004</v>
      </c>
      <c r="H24" s="99">
        <v>55387</v>
      </c>
      <c r="I24" s="99">
        <v>52950</v>
      </c>
      <c r="J24" s="99">
        <v>49789</v>
      </c>
      <c r="K24" s="99">
        <v>0</v>
      </c>
      <c r="L24" s="99">
        <v>0</v>
      </c>
      <c r="M24" s="99">
        <v>0</v>
      </c>
      <c r="N24" s="99">
        <v>0</v>
      </c>
      <c r="O24" s="99">
        <v>0</v>
      </c>
      <c r="P24" s="99">
        <v>0</v>
      </c>
      <c r="Q24" s="99">
        <v>0</v>
      </c>
      <c r="R24" s="101"/>
      <c r="S24" s="101"/>
      <c r="T24" s="101"/>
      <c r="U24" s="101"/>
      <c r="V24" s="101"/>
      <c r="W24" s="101"/>
      <c r="X24" s="101"/>
      <c r="Y24" s="101"/>
    </row>
    <row r="25" spans="1:25" ht="13.5" thickBot="1" x14ac:dyDescent="0.25">
      <c r="A25" s="100" t="s">
        <v>177</v>
      </c>
      <c r="B25" s="102">
        <f>247391+33697+32607</f>
        <v>313695</v>
      </c>
      <c r="C25" s="102">
        <v>268354</v>
      </c>
      <c r="D25" s="102">
        <v>250950</v>
      </c>
      <c r="E25" s="102">
        <v>267043</v>
      </c>
      <c r="F25" s="99">
        <v>265705</v>
      </c>
      <c r="G25" s="99">
        <v>249236</v>
      </c>
      <c r="H25" s="99">
        <v>236122</v>
      </c>
      <c r="I25" s="99">
        <f>219415-20370</f>
        <v>199045</v>
      </c>
      <c r="J25" s="99">
        <v>170567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99">
        <v>0</v>
      </c>
      <c r="Q25" s="99">
        <v>0</v>
      </c>
      <c r="R25" s="101"/>
      <c r="S25" s="101"/>
      <c r="T25" s="101"/>
      <c r="U25" s="101"/>
      <c r="V25" s="101"/>
      <c r="W25" s="101"/>
      <c r="X25" s="101"/>
      <c r="Y25" s="101"/>
    </row>
    <row r="26" spans="1:25" ht="13.5" thickBot="1" x14ac:dyDescent="0.25">
      <c r="A26" s="103" t="s">
        <v>209</v>
      </c>
      <c r="B26" s="104">
        <f t="shared" ref="B26:O26" si="3">B11+B12</f>
        <v>5114848</v>
      </c>
      <c r="C26" s="104">
        <f t="shared" si="3"/>
        <v>5190492</v>
      </c>
      <c r="D26" s="104">
        <f t="shared" si="3"/>
        <v>5539957</v>
      </c>
      <c r="E26" s="104">
        <f t="shared" si="3"/>
        <v>6434813</v>
      </c>
      <c r="F26" s="104">
        <f t="shared" si="3"/>
        <v>6857052</v>
      </c>
      <c r="G26" s="104">
        <f t="shared" si="3"/>
        <v>7512818</v>
      </c>
      <c r="H26" s="104">
        <f t="shared" si="3"/>
        <v>8113957</v>
      </c>
      <c r="I26" s="104">
        <f t="shared" si="3"/>
        <v>8904340</v>
      </c>
      <c r="J26" s="104">
        <f t="shared" si="3"/>
        <v>9709888</v>
      </c>
      <c r="K26" s="104">
        <f t="shared" si="3"/>
        <v>9964960</v>
      </c>
      <c r="L26" s="104">
        <f t="shared" si="3"/>
        <v>10345191</v>
      </c>
      <c r="M26" s="104">
        <f t="shared" si="3"/>
        <v>10973595</v>
      </c>
      <c r="N26" s="104">
        <f t="shared" si="3"/>
        <v>12182032</v>
      </c>
      <c r="O26" s="104">
        <f t="shared" si="3"/>
        <v>12715463</v>
      </c>
      <c r="P26" s="104">
        <f t="shared" ref="P26:Q26" si="4">P11+P12</f>
        <v>13340962</v>
      </c>
      <c r="Q26" s="104">
        <f t="shared" si="4"/>
        <v>13996099</v>
      </c>
      <c r="R26" s="105"/>
      <c r="S26" s="105"/>
      <c r="T26" s="105"/>
      <c r="U26" s="105"/>
      <c r="V26" s="105"/>
      <c r="W26" s="105"/>
      <c r="X26" s="105"/>
      <c r="Y26" s="105"/>
    </row>
    <row r="27" spans="1:25" x14ac:dyDescent="0.2"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</row>
    <row r="28" spans="1:25" x14ac:dyDescent="0.2">
      <c r="A28" s="78" t="s">
        <v>192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</row>
    <row r="29" spans="1:25" x14ac:dyDescent="0.2">
      <c r="A29" s="60" t="s">
        <v>178</v>
      </c>
      <c r="B29" s="108">
        <v>1401118</v>
      </c>
      <c r="C29" s="108">
        <v>1612131</v>
      </c>
      <c r="D29" s="108">
        <v>2023403</v>
      </c>
      <c r="E29" s="108">
        <v>2906158</v>
      </c>
      <c r="F29" s="108">
        <v>3262116</v>
      </c>
      <c r="G29" s="108">
        <v>3875894</v>
      </c>
      <c r="H29" s="108">
        <v>4459758</v>
      </c>
      <c r="I29" s="108">
        <v>4845430</v>
      </c>
      <c r="J29" s="108">
        <v>4803185</v>
      </c>
      <c r="K29" s="108">
        <v>4982168</v>
      </c>
      <c r="L29" s="108">
        <v>5153898</v>
      </c>
      <c r="M29" s="108">
        <v>5442678</v>
      </c>
      <c r="N29" s="108">
        <v>5934955</v>
      </c>
      <c r="O29" s="108">
        <v>6027562</v>
      </c>
      <c r="P29" s="108">
        <v>6302449</v>
      </c>
      <c r="Q29" s="108">
        <v>6662612</v>
      </c>
      <c r="R29" s="106"/>
      <c r="S29" s="106"/>
      <c r="T29" s="106"/>
      <c r="U29" s="106"/>
      <c r="V29" s="106"/>
      <c r="W29" s="106"/>
      <c r="X29" s="106"/>
      <c r="Y29" s="106"/>
    </row>
    <row r="30" spans="1:25" x14ac:dyDescent="0.2">
      <c r="A30" s="60" t="s">
        <v>179</v>
      </c>
      <c r="B30" s="108">
        <v>1386162</v>
      </c>
      <c r="C30" s="108">
        <v>1367923</v>
      </c>
      <c r="D30" s="108">
        <v>1368576</v>
      </c>
      <c r="E30" s="108">
        <v>1362349</v>
      </c>
      <c r="F30" s="109">
        <v>1454982</v>
      </c>
      <c r="G30" s="108">
        <v>1460767</v>
      </c>
      <c r="H30" s="108">
        <v>1508412</v>
      </c>
      <c r="I30" s="108">
        <v>1583125</v>
      </c>
      <c r="J30" s="108">
        <v>1736510</v>
      </c>
      <c r="K30" s="109">
        <v>1651559</v>
      </c>
      <c r="L30" s="109">
        <v>1710761</v>
      </c>
      <c r="M30" s="109">
        <v>1820751</v>
      </c>
      <c r="N30" s="109">
        <v>1938322</v>
      </c>
      <c r="O30" s="108">
        <v>1912722</v>
      </c>
      <c r="P30" s="108">
        <v>1908296</v>
      </c>
      <c r="Q30" s="108">
        <v>2008425</v>
      </c>
      <c r="R30" s="106"/>
      <c r="S30" s="106"/>
      <c r="T30" s="106"/>
      <c r="U30" s="106"/>
      <c r="V30" s="106"/>
      <c r="W30" s="106"/>
      <c r="X30" s="106"/>
      <c r="Y30" s="106"/>
    </row>
    <row r="31" spans="1:25" x14ac:dyDescent="0.2">
      <c r="A31" s="60" t="s">
        <v>180</v>
      </c>
      <c r="B31" s="108">
        <v>549534</v>
      </c>
      <c r="C31" s="108">
        <v>577812</v>
      </c>
      <c r="D31" s="108">
        <v>580577</v>
      </c>
      <c r="E31" s="108">
        <v>603126</v>
      </c>
      <c r="F31" s="109">
        <v>593317</v>
      </c>
      <c r="G31" s="108">
        <v>583066</v>
      </c>
      <c r="H31" s="108">
        <v>594653</v>
      </c>
      <c r="I31" s="108">
        <v>625077</v>
      </c>
      <c r="J31" s="108">
        <v>612032</v>
      </c>
      <c r="K31" s="109">
        <v>589156</v>
      </c>
      <c r="L31" s="109">
        <v>564385</v>
      </c>
      <c r="M31" s="109">
        <v>578171</v>
      </c>
      <c r="N31" s="109">
        <v>619889</v>
      </c>
      <c r="O31" s="108">
        <v>628879</v>
      </c>
      <c r="P31" s="108">
        <v>621763</v>
      </c>
      <c r="Q31" s="108">
        <v>603227</v>
      </c>
      <c r="R31" s="106"/>
      <c r="S31" s="106"/>
      <c r="T31" s="106"/>
      <c r="U31" s="106"/>
      <c r="V31" s="106"/>
      <c r="W31" s="106"/>
      <c r="X31" s="106"/>
      <c r="Y31" s="106"/>
    </row>
    <row r="32" spans="1:25" x14ac:dyDescent="0.2">
      <c r="A32" s="60" t="s">
        <v>181</v>
      </c>
      <c r="B32" s="108">
        <v>302468</v>
      </c>
      <c r="C32" s="108">
        <v>261383</v>
      </c>
      <c r="D32" s="108">
        <v>258646</v>
      </c>
      <c r="E32" s="108">
        <v>249893</v>
      </c>
      <c r="F32" s="109">
        <v>220221</v>
      </c>
      <c r="G32" s="108">
        <v>200222</v>
      </c>
      <c r="H32" s="108">
        <v>171181</v>
      </c>
      <c r="I32" s="108">
        <v>148431</v>
      </c>
      <c r="J32" s="108">
        <v>137678</v>
      </c>
      <c r="K32" s="109">
        <v>261438</v>
      </c>
      <c r="L32" s="109">
        <v>240820</v>
      </c>
      <c r="M32" s="109">
        <v>235522</v>
      </c>
      <c r="N32" s="109">
        <v>214631</v>
      </c>
      <c r="O32" s="108">
        <v>150868</v>
      </c>
      <c r="P32" s="108">
        <v>148873</v>
      </c>
      <c r="Q32" s="108">
        <v>145948</v>
      </c>
      <c r="R32" s="106"/>
      <c r="S32" s="106"/>
      <c r="T32" s="106"/>
      <c r="U32" s="106"/>
      <c r="V32" s="106"/>
      <c r="W32" s="106"/>
      <c r="X32" s="106"/>
      <c r="Y32" s="106"/>
    </row>
    <row r="33" spans="1:25" x14ac:dyDescent="0.2">
      <c r="A33" s="60" t="s">
        <v>182</v>
      </c>
      <c r="B33" s="108">
        <v>221329</v>
      </c>
      <c r="C33" s="108">
        <v>156558</v>
      </c>
      <c r="D33" s="108">
        <v>132169</v>
      </c>
      <c r="E33" s="108">
        <v>136092</v>
      </c>
      <c r="F33" s="109">
        <v>128758</v>
      </c>
      <c r="G33" s="108">
        <v>133358</v>
      </c>
      <c r="H33" s="108">
        <v>70342</v>
      </c>
      <c r="I33" s="108">
        <v>71394</v>
      </c>
      <c r="J33" s="108">
        <v>72309</v>
      </c>
      <c r="K33" s="109">
        <v>17570</v>
      </c>
      <c r="L33" s="109">
        <v>15090</v>
      </c>
      <c r="M33" s="109">
        <v>15105</v>
      </c>
      <c r="N33" s="109">
        <v>14941</v>
      </c>
      <c r="O33" s="108">
        <v>6137</v>
      </c>
      <c r="P33" s="108">
        <v>6018</v>
      </c>
      <c r="Q33" s="108">
        <v>6152</v>
      </c>
      <c r="R33" s="106"/>
      <c r="S33" s="106"/>
      <c r="T33" s="106"/>
      <c r="U33" s="106"/>
      <c r="V33" s="106"/>
      <c r="W33" s="106"/>
      <c r="X33" s="106"/>
      <c r="Y33" s="106"/>
    </row>
    <row r="34" spans="1:25" x14ac:dyDescent="0.2">
      <c r="A34" s="60" t="s">
        <v>183</v>
      </c>
      <c r="B34" s="108">
        <v>383730</v>
      </c>
      <c r="C34" s="108">
        <v>384225</v>
      </c>
      <c r="D34" s="108">
        <v>404265</v>
      </c>
      <c r="E34" s="108">
        <v>423775</v>
      </c>
      <c r="F34" s="109">
        <v>437427</v>
      </c>
      <c r="G34" s="108">
        <v>490808</v>
      </c>
      <c r="H34" s="108">
        <v>536021</v>
      </c>
      <c r="I34" s="108">
        <v>573474</v>
      </c>
      <c r="J34" s="108">
        <v>596499</v>
      </c>
      <c r="K34" s="109">
        <v>565376</v>
      </c>
      <c r="L34" s="109">
        <v>540025</v>
      </c>
      <c r="M34" s="109">
        <v>510015</v>
      </c>
      <c r="N34" s="109">
        <v>479714</v>
      </c>
      <c r="O34" s="108">
        <v>444081</v>
      </c>
      <c r="P34" s="108">
        <v>401525</v>
      </c>
      <c r="Q34" s="108">
        <v>357382</v>
      </c>
      <c r="R34" s="106"/>
      <c r="S34" s="106"/>
      <c r="T34" s="106"/>
      <c r="U34" s="106"/>
      <c r="V34" s="106"/>
      <c r="W34" s="106"/>
      <c r="X34" s="106"/>
      <c r="Y34" s="106"/>
    </row>
    <row r="35" spans="1:25" x14ac:dyDescent="0.2">
      <c r="A35" s="60" t="s">
        <v>184</v>
      </c>
      <c r="B35" s="108">
        <v>250744</v>
      </c>
      <c r="C35" s="108">
        <v>232994</v>
      </c>
      <c r="D35" s="108">
        <v>224064</v>
      </c>
      <c r="E35" s="108">
        <v>225789</v>
      </c>
      <c r="F35" s="108">
        <v>235540</v>
      </c>
      <c r="G35" s="108">
        <v>245100</v>
      </c>
      <c r="H35" s="108">
        <v>252426</v>
      </c>
      <c r="I35" s="108">
        <v>263357</v>
      </c>
      <c r="J35" s="108">
        <v>262786</v>
      </c>
      <c r="K35" s="108">
        <v>270033</v>
      </c>
      <c r="L35" s="108">
        <v>298031</v>
      </c>
      <c r="M35" s="108">
        <v>372380</v>
      </c>
      <c r="N35" s="108">
        <v>451658</v>
      </c>
      <c r="O35" s="108">
        <v>568725</v>
      </c>
      <c r="P35" s="108">
        <v>628537</v>
      </c>
      <c r="Q35" s="108">
        <v>714634</v>
      </c>
      <c r="R35" s="106"/>
      <c r="S35" s="106"/>
      <c r="T35" s="106"/>
      <c r="U35" s="106"/>
      <c r="V35" s="106"/>
      <c r="W35" s="106"/>
      <c r="X35" s="106"/>
      <c r="Y35" s="106"/>
    </row>
    <row r="36" spans="1:25" x14ac:dyDescent="0.2">
      <c r="A36" s="60" t="s">
        <v>165</v>
      </c>
      <c r="B36" s="108">
        <v>182749</v>
      </c>
      <c r="C36" s="108">
        <v>197958</v>
      </c>
      <c r="D36" s="108">
        <v>201432</v>
      </c>
      <c r="E36" s="108">
        <v>194607</v>
      </c>
      <c r="F36" s="108">
        <v>190797</v>
      </c>
      <c r="G36" s="108">
        <v>193561</v>
      </c>
      <c r="H36" s="108">
        <v>178860</v>
      </c>
      <c r="I36" s="108">
        <v>168630</v>
      </c>
      <c r="J36" s="108">
        <v>156601</v>
      </c>
      <c r="K36" s="108">
        <v>150620</v>
      </c>
      <c r="L36" s="108">
        <v>156727</v>
      </c>
      <c r="M36" s="108">
        <v>104740</v>
      </c>
      <c r="N36" s="108">
        <v>106034</v>
      </c>
      <c r="O36" s="108">
        <v>86960</v>
      </c>
      <c r="P36" s="108">
        <v>83007</v>
      </c>
      <c r="Q36" s="108">
        <v>82463</v>
      </c>
      <c r="R36" s="106"/>
      <c r="S36" s="106"/>
      <c r="T36" s="106"/>
      <c r="U36" s="106"/>
      <c r="V36" s="106"/>
      <c r="W36" s="106"/>
      <c r="X36" s="106"/>
      <c r="Y36" s="106"/>
    </row>
    <row r="37" spans="1:25" x14ac:dyDescent="0.2">
      <c r="A37" s="60" t="s">
        <v>185</v>
      </c>
      <c r="B37" s="108">
        <v>76394</v>
      </c>
      <c r="C37" s="108">
        <v>74785</v>
      </c>
      <c r="D37" s="108">
        <v>65846</v>
      </c>
      <c r="E37" s="108">
        <v>66649</v>
      </c>
      <c r="F37" s="108">
        <v>55084</v>
      </c>
      <c r="G37" s="108">
        <v>50580</v>
      </c>
      <c r="H37" s="108">
        <v>47917</v>
      </c>
      <c r="I37" s="108">
        <v>47033</v>
      </c>
      <c r="J37" s="108">
        <v>46816</v>
      </c>
      <c r="K37" s="108">
        <v>46668</v>
      </c>
      <c r="L37" s="108">
        <v>46871</v>
      </c>
      <c r="M37" s="108">
        <v>46208</v>
      </c>
      <c r="N37" s="108">
        <v>45897</v>
      </c>
      <c r="O37" s="108">
        <v>45796</v>
      </c>
      <c r="P37" s="108">
        <v>45896</v>
      </c>
      <c r="Q37" s="108">
        <v>45695</v>
      </c>
      <c r="R37" s="110"/>
      <c r="S37" s="110"/>
      <c r="T37" s="110"/>
      <c r="U37" s="110"/>
      <c r="V37" s="110"/>
      <c r="W37" s="110"/>
      <c r="X37" s="110"/>
      <c r="Y37" s="110"/>
    </row>
    <row r="38" spans="1:25" x14ac:dyDescent="0.2">
      <c r="A38" s="60" t="s">
        <v>186</v>
      </c>
      <c r="B38" s="108">
        <v>92823</v>
      </c>
      <c r="C38" s="108">
        <v>96512</v>
      </c>
      <c r="D38" s="108">
        <v>72577</v>
      </c>
      <c r="E38" s="108">
        <v>72615</v>
      </c>
      <c r="F38" s="108">
        <v>75731</v>
      </c>
      <c r="G38" s="108">
        <v>74582</v>
      </c>
      <c r="H38" s="108">
        <v>77683</v>
      </c>
      <c r="I38" s="108">
        <v>79734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0</v>
      </c>
      <c r="Q38" s="106"/>
      <c r="R38" s="106"/>
      <c r="S38" s="106"/>
      <c r="T38" s="106"/>
      <c r="U38" s="106"/>
      <c r="V38" s="106"/>
      <c r="W38" s="106"/>
      <c r="X38" s="106"/>
      <c r="Y38" s="106"/>
    </row>
    <row r="39" spans="1:25" x14ac:dyDescent="0.2">
      <c r="A39" s="60" t="s">
        <v>187</v>
      </c>
      <c r="B39" s="108">
        <v>61975</v>
      </c>
      <c r="C39" s="108">
        <v>42063</v>
      </c>
      <c r="D39" s="108">
        <v>45169</v>
      </c>
      <c r="E39" s="108">
        <v>43672</v>
      </c>
      <c r="F39" s="108">
        <v>49326</v>
      </c>
      <c r="G39" s="108">
        <v>48039</v>
      </c>
      <c r="H39" s="108">
        <v>58281</v>
      </c>
      <c r="I39" s="108">
        <v>69329</v>
      </c>
      <c r="J39" s="108">
        <v>79638</v>
      </c>
      <c r="K39" s="108">
        <v>85225</v>
      </c>
      <c r="L39" s="108">
        <v>98431</v>
      </c>
      <c r="M39" s="108">
        <v>110147</v>
      </c>
      <c r="N39" s="108">
        <v>119161</v>
      </c>
      <c r="O39" s="108">
        <v>117295</v>
      </c>
      <c r="P39" s="108">
        <v>121960</v>
      </c>
      <c r="Q39" s="108">
        <v>119145</v>
      </c>
      <c r="R39" s="106"/>
      <c r="S39" s="106"/>
      <c r="T39" s="106"/>
      <c r="U39" s="106"/>
      <c r="V39" s="106"/>
      <c r="W39" s="106"/>
      <c r="X39" s="106"/>
      <c r="Y39" s="106"/>
    </row>
    <row r="40" spans="1:25" x14ac:dyDescent="0.2">
      <c r="A40" s="60" t="s">
        <v>188</v>
      </c>
      <c r="B40" s="108">
        <v>43974</v>
      </c>
      <c r="C40" s="108">
        <v>41628</v>
      </c>
      <c r="D40" s="108">
        <v>27068</v>
      </c>
      <c r="E40" s="108">
        <v>23614</v>
      </c>
      <c r="F40" s="108">
        <v>26586</v>
      </c>
      <c r="G40" s="108">
        <v>25865</v>
      </c>
      <c r="H40" s="108">
        <v>21215</v>
      </c>
      <c r="I40" s="108">
        <v>19379</v>
      </c>
      <c r="J40" s="108">
        <v>18349</v>
      </c>
      <c r="K40" s="108">
        <v>19288</v>
      </c>
      <c r="L40" s="108">
        <v>18654</v>
      </c>
      <c r="M40" s="108">
        <v>19474</v>
      </c>
      <c r="N40" s="108">
        <v>0</v>
      </c>
      <c r="O40" s="108">
        <v>0</v>
      </c>
      <c r="P40" s="174">
        <v>0</v>
      </c>
      <c r="Q40" s="106"/>
      <c r="R40" s="106"/>
      <c r="S40" s="106"/>
      <c r="T40" s="106"/>
      <c r="U40" s="106"/>
      <c r="V40" s="106"/>
      <c r="W40" s="106"/>
      <c r="X40" s="106"/>
      <c r="Y40" s="106"/>
    </row>
    <row r="41" spans="1:25" x14ac:dyDescent="0.2">
      <c r="A41" s="60" t="s">
        <v>164</v>
      </c>
      <c r="B41" s="108">
        <v>57210</v>
      </c>
      <c r="C41" s="108">
        <v>54948</v>
      </c>
      <c r="D41" s="108">
        <v>59868</v>
      </c>
      <c r="E41" s="108">
        <v>64580</v>
      </c>
      <c r="F41" s="108">
        <v>61626</v>
      </c>
      <c r="G41" s="108">
        <v>66620</v>
      </c>
      <c r="H41" s="108">
        <v>72296</v>
      </c>
      <c r="I41" s="108">
        <v>90592</v>
      </c>
      <c r="J41" s="108">
        <v>91704</v>
      </c>
      <c r="K41" s="108">
        <v>92534</v>
      </c>
      <c r="L41" s="108">
        <v>91510</v>
      </c>
      <c r="M41" s="108">
        <v>92423</v>
      </c>
      <c r="N41" s="108">
        <v>92033</v>
      </c>
      <c r="O41" s="108">
        <v>92853</v>
      </c>
      <c r="P41" s="108">
        <v>91807</v>
      </c>
      <c r="Q41" s="108">
        <v>96145</v>
      </c>
      <c r="R41" s="106"/>
      <c r="S41" s="106"/>
      <c r="T41" s="106"/>
      <c r="U41" s="106"/>
      <c r="V41" s="106"/>
      <c r="W41" s="106"/>
      <c r="X41" s="106"/>
      <c r="Y41" s="106"/>
    </row>
    <row r="42" spans="1:25" x14ac:dyDescent="0.2">
      <c r="A42" s="60" t="s">
        <v>189</v>
      </c>
      <c r="B42" s="108">
        <v>32949</v>
      </c>
      <c r="C42" s="108">
        <v>16972</v>
      </c>
      <c r="D42" s="108">
        <v>11607</v>
      </c>
      <c r="E42" s="108">
        <v>10755</v>
      </c>
      <c r="F42" s="108">
        <v>14862</v>
      </c>
      <c r="G42" s="108">
        <v>14218</v>
      </c>
      <c r="H42" s="108">
        <v>13205</v>
      </c>
      <c r="I42" s="108">
        <v>12430</v>
      </c>
      <c r="J42" s="108">
        <v>17951</v>
      </c>
      <c r="K42" s="108">
        <v>18598</v>
      </c>
      <c r="L42" s="108">
        <v>15985</v>
      </c>
      <c r="M42" s="108">
        <v>10621</v>
      </c>
      <c r="N42" s="108">
        <v>14989</v>
      </c>
      <c r="O42" s="108">
        <v>14613</v>
      </c>
      <c r="P42" s="174">
        <v>0</v>
      </c>
      <c r="Q42" s="110"/>
      <c r="R42" s="110"/>
      <c r="S42" s="110"/>
      <c r="T42" s="110"/>
      <c r="U42" s="110"/>
      <c r="V42" s="110"/>
      <c r="W42" s="110"/>
      <c r="X42" s="110"/>
      <c r="Y42" s="110"/>
    </row>
    <row r="43" spans="1:25" x14ac:dyDescent="0.2">
      <c r="A43" s="60" t="s">
        <v>190</v>
      </c>
      <c r="B43" s="108">
        <v>8592</v>
      </c>
      <c r="C43" s="108">
        <v>6293</v>
      </c>
      <c r="D43" s="108">
        <v>5996</v>
      </c>
      <c r="E43" s="108">
        <v>5478</v>
      </c>
      <c r="F43" s="108">
        <v>5357</v>
      </c>
      <c r="G43" s="108">
        <v>4762</v>
      </c>
      <c r="H43" s="108">
        <v>3909</v>
      </c>
      <c r="I43" s="108">
        <v>7172</v>
      </c>
      <c r="J43" s="108">
        <v>8125</v>
      </c>
      <c r="K43" s="108">
        <v>10206</v>
      </c>
      <c r="L43" s="108">
        <v>9568</v>
      </c>
      <c r="M43" s="108">
        <v>8972</v>
      </c>
      <c r="N43" s="108">
        <v>0</v>
      </c>
      <c r="O43" s="108">
        <v>0</v>
      </c>
      <c r="P43" s="108">
        <v>7128</v>
      </c>
      <c r="Q43" s="108">
        <v>6359</v>
      </c>
      <c r="R43" s="110"/>
      <c r="S43" s="110"/>
      <c r="T43" s="110"/>
      <c r="U43" s="110"/>
      <c r="V43" s="110"/>
      <c r="W43" s="110"/>
      <c r="X43" s="110"/>
      <c r="Y43" s="110"/>
    </row>
    <row r="44" spans="1:25" x14ac:dyDescent="0.2">
      <c r="A44" s="55" t="s">
        <v>331</v>
      </c>
      <c r="B44" s="108">
        <v>0</v>
      </c>
      <c r="C44" s="108">
        <v>0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219412</v>
      </c>
      <c r="J44" s="108">
        <v>872375</v>
      </c>
      <c r="K44" s="108">
        <v>1119197</v>
      </c>
      <c r="L44" s="108">
        <v>1297986</v>
      </c>
      <c r="M44" s="108">
        <v>1521013</v>
      </c>
      <c r="N44" s="108">
        <v>2049349</v>
      </c>
      <c r="O44" s="108">
        <v>2517734</v>
      </c>
      <c r="P44" s="108">
        <v>2887662</v>
      </c>
      <c r="Q44" s="108">
        <v>3063802</v>
      </c>
      <c r="R44" s="110"/>
      <c r="S44" s="110"/>
      <c r="T44" s="110"/>
      <c r="U44" s="110"/>
      <c r="V44" s="110"/>
      <c r="W44" s="110"/>
      <c r="X44" s="110"/>
      <c r="Y44" s="110"/>
    </row>
    <row r="45" spans="1:25" ht="13.5" thickBot="1" x14ac:dyDescent="0.25">
      <c r="A45" s="60" t="s">
        <v>191</v>
      </c>
      <c r="B45" s="108">
        <v>63097</v>
      </c>
      <c r="C45" s="108">
        <v>66307</v>
      </c>
      <c r="D45" s="108">
        <v>58694</v>
      </c>
      <c r="E45" s="108">
        <v>45661</v>
      </c>
      <c r="F45" s="108">
        <v>45322</v>
      </c>
      <c r="G45" s="108">
        <v>45376</v>
      </c>
      <c r="H45" s="108">
        <v>47798</v>
      </c>
      <c r="I45" s="108">
        <v>80341</v>
      </c>
      <c r="J45" s="108">
        <v>197330</v>
      </c>
      <c r="K45" s="108">
        <v>85324</v>
      </c>
      <c r="L45" s="108">
        <v>86449</v>
      </c>
      <c r="M45" s="108">
        <v>85375</v>
      </c>
      <c r="N45" s="108">
        <f>23427+49798+27234</f>
        <v>100459</v>
      </c>
      <c r="O45" s="108">
        <v>101238</v>
      </c>
      <c r="P45" s="108">
        <f>7507+48816+29718</f>
        <v>86041</v>
      </c>
      <c r="Q45" s="108">
        <f>48311+28362+7437</f>
        <v>84110</v>
      </c>
      <c r="R45" s="110"/>
      <c r="S45" s="110"/>
      <c r="T45" s="110"/>
      <c r="U45" s="110"/>
      <c r="V45" s="110"/>
      <c r="W45" s="110"/>
      <c r="X45" s="110"/>
      <c r="Y45" s="110"/>
    </row>
    <row r="46" spans="1:25" ht="13.5" thickBot="1" x14ac:dyDescent="0.25">
      <c r="A46" s="103" t="s">
        <v>160</v>
      </c>
      <c r="B46" s="104">
        <f t="shared" ref="B46:G46" si="5">SUM(B29:B45)</f>
        <v>5114848</v>
      </c>
      <c r="C46" s="104">
        <f t="shared" si="5"/>
        <v>5190492</v>
      </c>
      <c r="D46" s="104">
        <f t="shared" si="5"/>
        <v>5539957</v>
      </c>
      <c r="E46" s="104">
        <f t="shared" si="5"/>
        <v>6434813</v>
      </c>
      <c r="F46" s="104">
        <f t="shared" si="5"/>
        <v>6857052</v>
      </c>
      <c r="G46" s="104">
        <f t="shared" si="5"/>
        <v>7512818</v>
      </c>
      <c r="H46" s="104">
        <f t="shared" ref="H46:I46" si="6">SUM(H29:H45)</f>
        <v>8113957</v>
      </c>
      <c r="I46" s="104">
        <f t="shared" si="6"/>
        <v>8904340</v>
      </c>
      <c r="J46" s="104">
        <f t="shared" ref="J46:O46" si="7">SUM(J29:J45)</f>
        <v>9709888</v>
      </c>
      <c r="K46" s="104">
        <f t="shared" si="7"/>
        <v>9964960</v>
      </c>
      <c r="L46" s="104">
        <f t="shared" si="7"/>
        <v>10345191</v>
      </c>
      <c r="M46" s="104">
        <f t="shared" si="7"/>
        <v>10973595</v>
      </c>
      <c r="N46" s="104">
        <f t="shared" si="7"/>
        <v>12182032</v>
      </c>
      <c r="O46" s="104">
        <f t="shared" si="7"/>
        <v>12715463</v>
      </c>
      <c r="P46" s="104">
        <f>SUM(P29:P45)</f>
        <v>13340962</v>
      </c>
      <c r="Q46" s="104">
        <f>SUM(Q29:Q45)</f>
        <v>13996099</v>
      </c>
      <c r="R46" s="111"/>
      <c r="S46" s="111"/>
      <c r="T46" s="111"/>
      <c r="U46" s="111"/>
      <c r="V46" s="111"/>
      <c r="W46" s="111"/>
      <c r="X46" s="111"/>
      <c r="Y46" s="111"/>
    </row>
    <row r="47" spans="1:25" x14ac:dyDescent="0.2">
      <c r="B47" s="112">
        <f t="shared" ref="B47:J47" si="8">B26-B46</f>
        <v>0</v>
      </c>
      <c r="C47" s="112">
        <f t="shared" si="8"/>
        <v>0</v>
      </c>
      <c r="D47" s="112">
        <f t="shared" si="8"/>
        <v>0</v>
      </c>
      <c r="E47" s="112">
        <f t="shared" si="8"/>
        <v>0</v>
      </c>
      <c r="F47" s="112">
        <f t="shared" si="8"/>
        <v>0</v>
      </c>
      <c r="G47" s="112">
        <f t="shared" si="8"/>
        <v>0</v>
      </c>
      <c r="H47" s="112">
        <f t="shared" si="8"/>
        <v>0</v>
      </c>
      <c r="I47" s="112">
        <f t="shared" si="8"/>
        <v>0</v>
      </c>
      <c r="J47" s="112">
        <f t="shared" si="8"/>
        <v>0</v>
      </c>
      <c r="K47" s="112">
        <f>K26-K46</f>
        <v>0</v>
      </c>
      <c r="L47" s="112">
        <f>L26-L46</f>
        <v>0</v>
      </c>
      <c r="M47" s="108">
        <f>M26-M46</f>
        <v>0</v>
      </c>
      <c r="N47" s="108">
        <f t="shared" ref="N47:Q47" si="9">N26-N46</f>
        <v>0</v>
      </c>
      <c r="O47" s="108">
        <f t="shared" si="9"/>
        <v>0</v>
      </c>
      <c r="P47" s="108">
        <f t="shared" si="9"/>
        <v>0</v>
      </c>
      <c r="Q47" s="108">
        <f t="shared" si="9"/>
        <v>0</v>
      </c>
      <c r="R47" s="106"/>
      <c r="S47" s="106"/>
      <c r="T47" s="106"/>
      <c r="U47" s="106"/>
      <c r="V47" s="106"/>
      <c r="W47" s="106"/>
      <c r="X47" s="106"/>
      <c r="Y47" s="106"/>
    </row>
    <row r="48" spans="1:25" x14ac:dyDescent="0.2"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</row>
    <row r="49" spans="1:25" x14ac:dyDescent="0.2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06"/>
      <c r="P49" s="108"/>
      <c r="Q49" s="106"/>
      <c r="R49" s="106"/>
      <c r="S49" s="106"/>
      <c r="T49" s="106"/>
      <c r="U49" s="106"/>
      <c r="V49" s="106"/>
      <c r="W49" s="106"/>
      <c r="X49" s="106"/>
      <c r="Y49" s="106"/>
    </row>
    <row r="50" spans="1:25" x14ac:dyDescent="0.2"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08"/>
      <c r="Q50" s="110"/>
      <c r="R50" s="110"/>
      <c r="S50" s="110"/>
      <c r="T50" s="110"/>
      <c r="U50" s="110"/>
      <c r="V50" s="110"/>
      <c r="W50" s="110"/>
      <c r="X50" s="110"/>
      <c r="Y50" s="110"/>
    </row>
    <row r="51" spans="1:25" x14ac:dyDescent="0.2">
      <c r="A51" s="82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</row>
    <row r="52" spans="1:25" x14ac:dyDescent="0.2"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</row>
    <row r="53" spans="1:25" x14ac:dyDescent="0.2"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</row>
    <row r="54" spans="1:25" x14ac:dyDescent="0.2"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</row>
    <row r="55" spans="1:25" x14ac:dyDescent="0.2"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</row>
    <row r="56" spans="1:25" x14ac:dyDescent="0.2"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</row>
    <row r="57" spans="1:25" x14ac:dyDescent="0.2"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</row>
    <row r="58" spans="1:25" x14ac:dyDescent="0.2"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</row>
    <row r="59" spans="1:25" x14ac:dyDescent="0.2">
      <c r="A59" s="82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</row>
    <row r="60" spans="1:25" x14ac:dyDescent="0.2"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</row>
    <row r="61" spans="1:25" x14ac:dyDescent="0.2"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</row>
    <row r="62" spans="1:25" x14ac:dyDescent="0.2"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</row>
    <row r="63" spans="1:25" x14ac:dyDescent="0.2"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</row>
    <row r="64" spans="1:25" x14ac:dyDescent="0.2"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</row>
    <row r="65" spans="1:17" x14ac:dyDescent="0.2"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</row>
    <row r="66" spans="1:17" x14ac:dyDescent="0.2">
      <c r="A66" s="82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</row>
    <row r="67" spans="1:17" x14ac:dyDescent="0.2"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10"/>
      <c r="P67" s="110"/>
      <c r="Q67" s="110"/>
    </row>
    <row r="68" spans="1:17" x14ac:dyDescent="0.2"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10"/>
      <c r="P68" s="110"/>
      <c r="Q68" s="110"/>
    </row>
    <row r="69" spans="1:17" x14ac:dyDescent="0.2"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10"/>
      <c r="P69" s="110"/>
      <c r="Q69" s="110"/>
    </row>
    <row r="70" spans="1:17" x14ac:dyDescent="0.2"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</row>
    <row r="71" spans="1:17" x14ac:dyDescent="0.2"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</row>
    <row r="73" spans="1:17" x14ac:dyDescent="0.2">
      <c r="A73" s="82"/>
    </row>
    <row r="74" spans="1:17" x14ac:dyDescent="0.2"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</row>
    <row r="75" spans="1:17" x14ac:dyDescent="0.2"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</row>
    <row r="76" spans="1:17" x14ac:dyDescent="0.2"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</row>
    <row r="77" spans="1:17" x14ac:dyDescent="0.2"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</row>
    <row r="78" spans="1:17" x14ac:dyDescent="0.2"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</row>
    <row r="79" spans="1:17" x14ac:dyDescent="0.2"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</row>
    <row r="80" spans="1:17" x14ac:dyDescent="0.2"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</row>
    <row r="81" spans="1:17" x14ac:dyDescent="0.2"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</row>
    <row r="82" spans="1:17" x14ac:dyDescent="0.2"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</row>
    <row r="83" spans="1:17" x14ac:dyDescent="0.2">
      <c r="A83" s="82"/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82"/>
      <c r="P83" s="82"/>
      <c r="Q83" s="82"/>
    </row>
  </sheetData>
  <hyperlinks>
    <hyperlink ref="B6" location="Índice!A1" display="Índice"/>
    <hyperlink ref="Q6" location="Índice!A1" display="Índice"/>
  </hyperlinks>
  <pageMargins left="0.51181102362204722" right="0.51181102362204722" top="0.78740157480314965" bottom="0.78740157480314965" header="0.31496062992125984" footer="0.31496062992125984"/>
  <pageSetup paperSize="9" scale="3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Z108"/>
  <sheetViews>
    <sheetView showGridLines="0" zoomScaleNormal="100" workbookViewId="0">
      <pane xSplit="1" ySplit="9" topLeftCell="L94" activePane="bottomRight" state="frozen"/>
      <selection activeCell="C15" sqref="C15"/>
      <selection pane="topRight" activeCell="C15" sqref="C15"/>
      <selection pane="bottomLeft" activeCell="C15" sqref="C15"/>
      <selection pane="bottomRight"/>
    </sheetView>
  </sheetViews>
  <sheetFormatPr defaultColWidth="9.140625" defaultRowHeight="12.75" x14ac:dyDescent="0.2"/>
  <cols>
    <col min="1" max="1" width="60.85546875" style="55" customWidth="1"/>
    <col min="2" max="2" width="14.7109375" style="55" bestFit="1" customWidth="1"/>
    <col min="3" max="3" width="14.42578125" style="55" bestFit="1" customWidth="1"/>
    <col min="4" max="4" width="14.140625" style="55" bestFit="1" customWidth="1"/>
    <col min="5" max="5" width="14.42578125" style="55" bestFit="1" customWidth="1"/>
    <col min="6" max="6" width="14.7109375" style="55" bestFit="1" customWidth="1"/>
    <col min="7" max="8" width="14.42578125" style="55" bestFit="1" customWidth="1"/>
    <col min="9" max="11" width="14.7109375" style="55" bestFit="1" customWidth="1"/>
    <col min="12" max="13" width="12.85546875" style="55" bestFit="1" customWidth="1"/>
    <col min="14" max="16" width="12.7109375" style="55" customWidth="1"/>
    <col min="17" max="17" width="12.7109375" style="55" bestFit="1" customWidth="1"/>
    <col min="18" max="18" width="12" style="55" customWidth="1"/>
    <col min="19" max="25" width="9.42578125" style="55" bestFit="1" customWidth="1"/>
    <col min="26" max="16384" width="9.140625" style="55"/>
  </cols>
  <sheetData>
    <row r="1" spans="1:25" x14ac:dyDescent="0.2">
      <c r="R1" s="60"/>
    </row>
    <row r="2" spans="1:25" ht="15" x14ac:dyDescent="0.25">
      <c r="A2" s="56" t="s">
        <v>367</v>
      </c>
      <c r="R2" s="60"/>
    </row>
    <row r="3" spans="1:25" ht="6.75" customHeight="1" x14ac:dyDescent="0.25">
      <c r="A3" s="57"/>
      <c r="R3" s="60"/>
    </row>
    <row r="4" spans="1:25" ht="15" x14ac:dyDescent="0.25">
      <c r="A4" s="56" t="s">
        <v>12</v>
      </c>
      <c r="R4" s="60"/>
    </row>
    <row r="5" spans="1:25" ht="6.75" customHeight="1" x14ac:dyDescent="0.25">
      <c r="A5" s="54"/>
      <c r="R5" s="60"/>
    </row>
    <row r="6" spans="1:25" ht="15" x14ac:dyDescent="0.25">
      <c r="A6" s="58"/>
      <c r="C6" s="59" t="s">
        <v>13</v>
      </c>
      <c r="N6" s="59"/>
      <c r="O6" s="59"/>
      <c r="R6" s="59" t="s">
        <v>13</v>
      </c>
    </row>
    <row r="7" spans="1:25" ht="17.25" customHeight="1" x14ac:dyDescent="0.2">
      <c r="A7" s="156" t="s">
        <v>361</v>
      </c>
      <c r="R7" s="60"/>
    </row>
    <row r="8" spans="1:25" x14ac:dyDescent="0.2">
      <c r="A8" s="60" t="s">
        <v>207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 t="s">
        <v>119</v>
      </c>
      <c r="R8" s="60"/>
    </row>
    <row r="9" spans="1:25" x14ac:dyDescent="0.2">
      <c r="A9" s="62"/>
      <c r="B9" s="63">
        <v>43891</v>
      </c>
      <c r="C9" s="63">
        <f>EDATE(B9,3)</f>
        <v>43983</v>
      </c>
      <c r="D9" s="63">
        <f>EDATE(C9,3)</f>
        <v>44075</v>
      </c>
      <c r="E9" s="63">
        <f t="shared" ref="E9:Y9" si="0">EDATE(D9,3)</f>
        <v>44166</v>
      </c>
      <c r="F9" s="63">
        <f t="shared" si="0"/>
        <v>44256</v>
      </c>
      <c r="G9" s="63">
        <f t="shared" si="0"/>
        <v>44348</v>
      </c>
      <c r="H9" s="63">
        <f t="shared" si="0"/>
        <v>44440</v>
      </c>
      <c r="I9" s="63">
        <f t="shared" si="0"/>
        <v>44531</v>
      </c>
      <c r="J9" s="63">
        <f t="shared" si="0"/>
        <v>44621</v>
      </c>
      <c r="K9" s="63">
        <f t="shared" si="0"/>
        <v>44713</v>
      </c>
      <c r="L9" s="63">
        <f t="shared" si="0"/>
        <v>44805</v>
      </c>
      <c r="M9" s="63">
        <f t="shared" si="0"/>
        <v>44896</v>
      </c>
      <c r="N9" s="63">
        <f t="shared" si="0"/>
        <v>44986</v>
      </c>
      <c r="O9" s="63">
        <f t="shared" si="0"/>
        <v>45078</v>
      </c>
      <c r="P9" s="63">
        <f t="shared" si="0"/>
        <v>45170</v>
      </c>
      <c r="Q9" s="63">
        <f t="shared" si="0"/>
        <v>45261</v>
      </c>
      <c r="R9" s="63">
        <f t="shared" si="0"/>
        <v>45352</v>
      </c>
      <c r="S9" s="63">
        <f t="shared" si="0"/>
        <v>45444</v>
      </c>
      <c r="T9" s="63">
        <f t="shared" si="0"/>
        <v>45536</v>
      </c>
      <c r="U9" s="63">
        <f t="shared" si="0"/>
        <v>45627</v>
      </c>
      <c r="V9" s="63">
        <f t="shared" si="0"/>
        <v>45717</v>
      </c>
      <c r="W9" s="63">
        <f t="shared" si="0"/>
        <v>45809</v>
      </c>
      <c r="X9" s="63">
        <f t="shared" si="0"/>
        <v>45901</v>
      </c>
      <c r="Y9" s="63">
        <f t="shared" si="0"/>
        <v>45992</v>
      </c>
    </row>
    <row r="10" spans="1:25" x14ac:dyDescent="0.2">
      <c r="A10" s="114" t="s">
        <v>120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</row>
    <row r="11" spans="1:25" ht="6" customHeight="1" x14ac:dyDescent="0.2">
      <c r="A11" s="157" t="s">
        <v>119</v>
      </c>
    </row>
    <row r="12" spans="1:25" x14ac:dyDescent="0.2">
      <c r="A12" s="114" t="s">
        <v>322</v>
      </c>
      <c r="B12" s="158">
        <v>792464</v>
      </c>
      <c r="C12" s="158">
        <v>1282130</v>
      </c>
      <c r="D12" s="158">
        <v>1361815</v>
      </c>
      <c r="E12" s="158">
        <v>1426303</v>
      </c>
      <c r="F12" s="158">
        <v>987478</v>
      </c>
      <c r="G12" s="158">
        <v>1248637</v>
      </c>
      <c r="H12" s="158">
        <v>1252750</v>
      </c>
      <c r="I12" s="158">
        <v>984733</v>
      </c>
      <c r="J12" s="158">
        <v>721294</v>
      </c>
      <c r="K12" s="158">
        <v>1155540</v>
      </c>
      <c r="L12" s="158">
        <v>1035929</v>
      </c>
      <c r="M12" s="158">
        <v>1226395</v>
      </c>
      <c r="N12" s="158">
        <v>947473</v>
      </c>
      <c r="O12" s="158">
        <v>1317805</v>
      </c>
      <c r="P12" s="158">
        <v>1300899</v>
      </c>
      <c r="Q12" s="158">
        <v>1608417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</row>
    <row r="13" spans="1:25" ht="6" customHeight="1" x14ac:dyDescent="0.2">
      <c r="A13" s="157"/>
    </row>
    <row r="14" spans="1:25" x14ac:dyDescent="0.2">
      <c r="A14" s="114" t="s">
        <v>288</v>
      </c>
      <c r="B14" s="159">
        <f>SUM(B15:B16)+B21+B22+B26+B28+B32</f>
        <v>7867604</v>
      </c>
      <c r="C14" s="159">
        <f t="shared" ref="C14:Y14" si="1">SUM(C15:C16)+C21+C22+C26+C28+C32</f>
        <v>8054923</v>
      </c>
      <c r="D14" s="159">
        <f t="shared" si="1"/>
        <v>7425317</v>
      </c>
      <c r="E14" s="159">
        <f t="shared" si="1"/>
        <v>7970719</v>
      </c>
      <c r="F14" s="159">
        <f t="shared" si="1"/>
        <v>8425655</v>
      </c>
      <c r="G14" s="159">
        <f t="shared" si="1"/>
        <v>9017862</v>
      </c>
      <c r="H14" s="159">
        <f t="shared" si="1"/>
        <v>9418535</v>
      </c>
      <c r="I14" s="159">
        <f t="shared" si="1"/>
        <v>10059206</v>
      </c>
      <c r="J14" s="159">
        <f t="shared" si="1"/>
        <v>11012964</v>
      </c>
      <c r="K14" s="159">
        <f t="shared" si="1"/>
        <v>11878071</v>
      </c>
      <c r="L14" s="159">
        <f t="shared" si="1"/>
        <v>12001103</v>
      </c>
      <c r="M14" s="159">
        <f t="shared" si="1"/>
        <v>12311098</v>
      </c>
      <c r="N14" s="159">
        <f t="shared" si="1"/>
        <v>13225637</v>
      </c>
      <c r="O14" s="159">
        <f t="shared" si="1"/>
        <v>14448766</v>
      </c>
      <c r="P14" s="159">
        <f t="shared" si="1"/>
        <v>14992699</v>
      </c>
      <c r="Q14" s="159">
        <f t="shared" si="1"/>
        <v>16263446</v>
      </c>
      <c r="R14" s="159">
        <f t="shared" si="1"/>
        <v>0</v>
      </c>
      <c r="S14" s="159">
        <f t="shared" si="1"/>
        <v>0</v>
      </c>
      <c r="T14" s="159">
        <f t="shared" si="1"/>
        <v>0</v>
      </c>
      <c r="U14" s="159">
        <f t="shared" si="1"/>
        <v>0</v>
      </c>
      <c r="V14" s="159">
        <f t="shared" si="1"/>
        <v>0</v>
      </c>
      <c r="W14" s="159">
        <f t="shared" si="1"/>
        <v>0</v>
      </c>
      <c r="X14" s="159">
        <f t="shared" si="1"/>
        <v>0</v>
      </c>
      <c r="Y14" s="159">
        <f t="shared" si="1"/>
        <v>0</v>
      </c>
    </row>
    <row r="15" spans="1:25" s="94" customFormat="1" x14ac:dyDescent="0.2">
      <c r="A15" s="157" t="s">
        <v>287</v>
      </c>
      <c r="B15" s="53">
        <v>1908301</v>
      </c>
      <c r="C15" s="53">
        <v>1786218</v>
      </c>
      <c r="D15" s="53">
        <v>948528</v>
      </c>
      <c r="E15" s="53">
        <v>651024</v>
      </c>
      <c r="F15" s="160">
        <v>639605</v>
      </c>
      <c r="G15" s="160">
        <v>421407</v>
      </c>
      <c r="H15" s="160">
        <v>556387</v>
      </c>
      <c r="I15" s="160">
        <v>409878</v>
      </c>
      <c r="J15" s="160">
        <v>768548</v>
      </c>
      <c r="K15" s="160">
        <v>1319492</v>
      </c>
      <c r="L15" s="160">
        <v>1052573</v>
      </c>
      <c r="M15" s="160">
        <v>685224</v>
      </c>
      <c r="N15" s="160">
        <v>363107</v>
      </c>
      <c r="O15" s="160">
        <v>920757</v>
      </c>
      <c r="P15" s="160">
        <v>782317</v>
      </c>
      <c r="Q15" s="178">
        <v>1308556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160">
        <v>0</v>
      </c>
    </row>
    <row r="16" spans="1:25" x14ac:dyDescent="0.2">
      <c r="A16" s="157" t="s">
        <v>289</v>
      </c>
      <c r="B16" s="160">
        <f>SUM(B17:B20)</f>
        <v>1185567</v>
      </c>
      <c r="C16" s="160">
        <f t="shared" ref="C16:Y16" si="2">SUM(C17:C20)</f>
        <v>1221951</v>
      </c>
      <c r="D16" s="160">
        <f t="shared" si="2"/>
        <v>1173344</v>
      </c>
      <c r="E16" s="160">
        <f t="shared" si="2"/>
        <v>1163120</v>
      </c>
      <c r="F16" s="160">
        <f t="shared" si="2"/>
        <v>1119130</v>
      </c>
      <c r="G16" s="160">
        <f t="shared" si="2"/>
        <v>1156747</v>
      </c>
      <c r="H16" s="160">
        <f t="shared" si="2"/>
        <v>1106262</v>
      </c>
      <c r="I16" s="160">
        <f t="shared" si="2"/>
        <v>1167381</v>
      </c>
      <c r="J16" s="160">
        <f t="shared" si="2"/>
        <v>919727</v>
      </c>
      <c r="K16" s="160">
        <f t="shared" si="2"/>
        <v>935617</v>
      </c>
      <c r="L16" s="160">
        <f t="shared" si="2"/>
        <v>903055</v>
      </c>
      <c r="M16" s="160">
        <f t="shared" si="2"/>
        <v>939833</v>
      </c>
      <c r="N16" s="160">
        <f t="shared" si="2"/>
        <v>961554</v>
      </c>
      <c r="O16" s="160">
        <f t="shared" si="2"/>
        <v>964228</v>
      </c>
      <c r="P16" s="160">
        <f t="shared" si="2"/>
        <v>998662</v>
      </c>
      <c r="Q16" s="160">
        <f t="shared" si="2"/>
        <v>1034110</v>
      </c>
      <c r="R16" s="160">
        <f t="shared" si="2"/>
        <v>0</v>
      </c>
      <c r="S16" s="160">
        <f t="shared" si="2"/>
        <v>0</v>
      </c>
      <c r="T16" s="160">
        <f t="shared" si="2"/>
        <v>0</v>
      </c>
      <c r="U16" s="160">
        <f t="shared" si="2"/>
        <v>0</v>
      </c>
      <c r="V16" s="160">
        <f t="shared" si="2"/>
        <v>0</v>
      </c>
      <c r="W16" s="160">
        <f t="shared" si="2"/>
        <v>0</v>
      </c>
      <c r="X16" s="160">
        <f t="shared" si="2"/>
        <v>0</v>
      </c>
      <c r="Y16" s="160">
        <f t="shared" si="2"/>
        <v>0</v>
      </c>
    </row>
    <row r="17" spans="1:25" x14ac:dyDescent="0.2">
      <c r="A17" s="161" t="s">
        <v>261</v>
      </c>
      <c r="B17" s="77">
        <v>735380</v>
      </c>
      <c r="C17" s="77">
        <v>999542</v>
      </c>
      <c r="D17" s="77">
        <v>1022679</v>
      </c>
      <c r="E17" s="77">
        <v>997039</v>
      </c>
      <c r="F17" s="77">
        <v>960383</v>
      </c>
      <c r="G17" s="77">
        <v>939189</v>
      </c>
      <c r="H17" s="77">
        <v>930965</v>
      </c>
      <c r="I17" s="77">
        <v>936340</v>
      </c>
      <c r="J17" s="77">
        <v>801739</v>
      </c>
      <c r="K17" s="77">
        <v>769707</v>
      </c>
      <c r="L17" s="77">
        <v>702387</v>
      </c>
      <c r="M17" s="77">
        <v>637317</v>
      </c>
      <c r="N17" s="77">
        <v>690443</v>
      </c>
      <c r="O17" s="77">
        <v>724356</v>
      </c>
      <c r="P17" s="77">
        <v>781964</v>
      </c>
      <c r="Q17" s="177">
        <v>883879</v>
      </c>
      <c r="R17" s="77"/>
      <c r="S17" s="77"/>
      <c r="T17" s="77"/>
      <c r="U17" s="77"/>
      <c r="V17" s="77"/>
      <c r="W17" s="77"/>
      <c r="X17" s="77"/>
      <c r="Y17" s="77"/>
    </row>
    <row r="18" spans="1:25" x14ac:dyDescent="0.2">
      <c r="A18" s="161" t="s">
        <v>349</v>
      </c>
      <c r="B18" s="77">
        <v>0</v>
      </c>
      <c r="C18" s="77">
        <v>0</v>
      </c>
      <c r="D18" s="77">
        <v>0</v>
      </c>
      <c r="E18" s="77">
        <v>0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2059</v>
      </c>
      <c r="O18" s="77">
        <v>0</v>
      </c>
      <c r="P18" s="77">
        <v>0</v>
      </c>
      <c r="Q18" s="77">
        <v>0</v>
      </c>
      <c r="R18" s="77"/>
      <c r="S18" s="77"/>
      <c r="T18" s="77"/>
      <c r="U18" s="77"/>
      <c r="V18" s="77"/>
      <c r="W18" s="77"/>
      <c r="X18" s="77"/>
      <c r="Y18" s="77"/>
    </row>
    <row r="19" spans="1:25" x14ac:dyDescent="0.2">
      <c r="A19" s="161" t="s">
        <v>319</v>
      </c>
      <c r="B19" s="77">
        <v>0</v>
      </c>
      <c r="C19" s="77">
        <v>0</v>
      </c>
      <c r="D19" s="77">
        <v>0</v>
      </c>
      <c r="E19" s="77">
        <v>4014</v>
      </c>
      <c r="F19" s="77">
        <v>2149</v>
      </c>
      <c r="G19" s="77">
        <v>0</v>
      </c>
      <c r="H19" s="77">
        <v>0</v>
      </c>
      <c r="I19" s="77">
        <v>30242</v>
      </c>
      <c r="J19" s="77">
        <v>0</v>
      </c>
      <c r="K19" s="77">
        <v>0</v>
      </c>
      <c r="L19" s="77">
        <v>28333</v>
      </c>
      <c r="M19" s="77">
        <v>26581</v>
      </c>
      <c r="N19" s="77">
        <v>10034</v>
      </c>
      <c r="O19" s="77">
        <v>50323</v>
      </c>
      <c r="P19" s="77">
        <v>123496</v>
      </c>
      <c r="Q19" s="77">
        <v>0</v>
      </c>
      <c r="R19" s="77"/>
      <c r="S19" s="77"/>
      <c r="T19" s="77"/>
      <c r="U19" s="77"/>
      <c r="V19" s="77"/>
      <c r="W19" s="77"/>
      <c r="X19" s="77"/>
      <c r="Y19" s="77"/>
    </row>
    <row r="20" spans="1:25" x14ac:dyDescent="0.2">
      <c r="A20" s="161" t="s">
        <v>263</v>
      </c>
      <c r="B20" s="77">
        <v>450187</v>
      </c>
      <c r="C20" s="77">
        <v>222409</v>
      </c>
      <c r="D20" s="77">
        <v>150665</v>
      </c>
      <c r="E20" s="77">
        <v>162067</v>
      </c>
      <c r="F20" s="77">
        <v>156598</v>
      </c>
      <c r="G20" s="77">
        <v>217558</v>
      </c>
      <c r="H20" s="77">
        <v>175297</v>
      </c>
      <c r="I20" s="77">
        <v>200799</v>
      </c>
      <c r="J20" s="77">
        <v>117988</v>
      </c>
      <c r="K20" s="77">
        <v>165910</v>
      </c>
      <c r="L20" s="77">
        <v>172335</v>
      </c>
      <c r="M20" s="77">
        <v>275935</v>
      </c>
      <c r="N20" s="77">
        <v>259018</v>
      </c>
      <c r="O20" s="77">
        <v>189549</v>
      </c>
      <c r="P20" s="77">
        <v>93202</v>
      </c>
      <c r="Q20" s="177">
        <v>150231</v>
      </c>
      <c r="R20" s="77"/>
      <c r="S20" s="77"/>
      <c r="T20" s="77"/>
      <c r="U20" s="77"/>
      <c r="V20" s="77"/>
      <c r="W20" s="77"/>
      <c r="X20" s="77"/>
      <c r="Y20" s="77"/>
    </row>
    <row r="21" spans="1:25" s="94" customFormat="1" x14ac:dyDescent="0.2">
      <c r="A21" s="157" t="s">
        <v>262</v>
      </c>
      <c r="B21" s="160">
        <v>135370</v>
      </c>
      <c r="C21" s="160">
        <v>159498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/>
      <c r="R21" s="160"/>
      <c r="S21" s="160"/>
      <c r="T21" s="160"/>
      <c r="U21" s="160"/>
      <c r="V21" s="160"/>
      <c r="W21" s="160"/>
      <c r="X21" s="160"/>
      <c r="Y21" s="160"/>
    </row>
    <row r="22" spans="1:25" x14ac:dyDescent="0.2">
      <c r="A22" s="157" t="s">
        <v>290</v>
      </c>
      <c r="B22" s="160">
        <f>SUM(B23:B25)</f>
        <v>52901</v>
      </c>
      <c r="C22" s="160">
        <f t="shared" ref="C22:Y22" si="3">SUM(C23:C25)</f>
        <v>69614</v>
      </c>
      <c r="D22" s="160">
        <f t="shared" si="3"/>
        <v>75395</v>
      </c>
      <c r="E22" s="160">
        <f t="shared" si="3"/>
        <v>82531</v>
      </c>
      <c r="F22" s="160">
        <f t="shared" si="3"/>
        <v>101269</v>
      </c>
      <c r="G22" s="160">
        <f t="shared" si="3"/>
        <v>127127</v>
      </c>
      <c r="H22" s="160">
        <f t="shared" si="3"/>
        <v>91085</v>
      </c>
      <c r="I22" s="160">
        <f t="shared" si="3"/>
        <v>109429</v>
      </c>
      <c r="J22" s="160">
        <f t="shared" si="3"/>
        <v>82795</v>
      </c>
      <c r="K22" s="160">
        <f t="shared" si="3"/>
        <v>102496</v>
      </c>
      <c r="L22" s="160">
        <f t="shared" si="3"/>
        <v>111890</v>
      </c>
      <c r="M22" s="160">
        <f t="shared" si="3"/>
        <v>116144</v>
      </c>
      <c r="N22" s="160">
        <f t="shared" si="3"/>
        <v>123679</v>
      </c>
      <c r="O22" s="160">
        <f t="shared" si="3"/>
        <v>176350</v>
      </c>
      <c r="P22" s="160">
        <f t="shared" si="3"/>
        <v>246922</v>
      </c>
      <c r="Q22" s="160">
        <f t="shared" si="3"/>
        <v>262260</v>
      </c>
      <c r="R22" s="160">
        <f t="shared" si="3"/>
        <v>0</v>
      </c>
      <c r="S22" s="160">
        <f t="shared" si="3"/>
        <v>0</v>
      </c>
      <c r="T22" s="160">
        <f t="shared" si="3"/>
        <v>0</v>
      </c>
      <c r="U22" s="160">
        <f t="shared" si="3"/>
        <v>0</v>
      </c>
      <c r="V22" s="160">
        <f t="shared" si="3"/>
        <v>0</v>
      </c>
      <c r="W22" s="160">
        <f t="shared" si="3"/>
        <v>0</v>
      </c>
      <c r="X22" s="160">
        <f t="shared" si="3"/>
        <v>0</v>
      </c>
      <c r="Y22" s="160">
        <f t="shared" si="3"/>
        <v>0</v>
      </c>
    </row>
    <row r="23" spans="1:25" x14ac:dyDescent="0.2">
      <c r="A23" s="161" t="s">
        <v>264</v>
      </c>
      <c r="B23" s="77">
        <v>6876</v>
      </c>
      <c r="C23" s="77">
        <v>9950</v>
      </c>
      <c r="D23" s="77">
        <v>13119</v>
      </c>
      <c r="E23" s="77">
        <v>1</v>
      </c>
      <c r="F23" s="77">
        <v>15588</v>
      </c>
      <c r="G23" s="77">
        <v>15033</v>
      </c>
      <c r="H23" s="77">
        <v>14898</v>
      </c>
      <c r="I23" s="77">
        <v>19</v>
      </c>
      <c r="J23" s="77">
        <v>13864</v>
      </c>
      <c r="K23" s="77">
        <v>17549</v>
      </c>
      <c r="L23" s="77">
        <v>15056</v>
      </c>
      <c r="M23" s="77">
        <v>48</v>
      </c>
      <c r="N23" s="77">
        <v>12333</v>
      </c>
      <c r="O23" s="77">
        <v>11790</v>
      </c>
      <c r="P23" s="77">
        <v>10682</v>
      </c>
      <c r="Q23" s="77">
        <v>14</v>
      </c>
      <c r="R23" s="77"/>
      <c r="S23" s="77"/>
      <c r="T23" s="77"/>
      <c r="U23" s="77"/>
      <c r="V23" s="77"/>
      <c r="W23" s="77"/>
      <c r="X23" s="77"/>
      <c r="Y23" s="77"/>
    </row>
    <row r="24" spans="1:25" x14ac:dyDescent="0.2">
      <c r="A24" s="161" t="s">
        <v>291</v>
      </c>
      <c r="B24" s="77">
        <v>46025</v>
      </c>
      <c r="C24" s="77">
        <v>59664</v>
      </c>
      <c r="D24" s="77">
        <v>62276</v>
      </c>
      <c r="E24" s="77">
        <v>82470</v>
      </c>
      <c r="F24" s="77">
        <v>85645</v>
      </c>
      <c r="G24" s="77">
        <v>112094</v>
      </c>
      <c r="H24" s="77">
        <v>76187</v>
      </c>
      <c r="I24" s="77">
        <v>109410</v>
      </c>
      <c r="J24" s="77">
        <v>68931</v>
      </c>
      <c r="K24" s="77">
        <v>84947</v>
      </c>
      <c r="L24" s="77">
        <v>96834</v>
      </c>
      <c r="M24" s="77">
        <v>116096</v>
      </c>
      <c r="N24" s="77">
        <v>111346</v>
      </c>
      <c r="O24" s="77">
        <v>164560</v>
      </c>
      <c r="P24" s="77">
        <v>236240</v>
      </c>
      <c r="Q24" s="177">
        <v>262246</v>
      </c>
      <c r="R24" s="77"/>
      <c r="S24" s="77"/>
      <c r="T24" s="77"/>
      <c r="U24" s="77"/>
      <c r="V24" s="77"/>
      <c r="W24" s="77"/>
      <c r="X24" s="77"/>
      <c r="Y24" s="77"/>
    </row>
    <row r="25" spans="1:25" x14ac:dyDescent="0.2">
      <c r="A25" s="161" t="s">
        <v>323</v>
      </c>
      <c r="B25" s="77">
        <v>0</v>
      </c>
      <c r="C25" s="77">
        <v>0</v>
      </c>
      <c r="D25" s="77">
        <v>0</v>
      </c>
      <c r="E25" s="77">
        <v>60</v>
      </c>
      <c r="F25" s="77">
        <v>36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/>
      <c r="R25" s="77"/>
      <c r="S25" s="77"/>
      <c r="T25" s="77"/>
      <c r="U25" s="77"/>
      <c r="V25" s="77"/>
      <c r="W25" s="77"/>
      <c r="X25" s="77"/>
      <c r="Y25" s="77"/>
    </row>
    <row r="26" spans="1:25" x14ac:dyDescent="0.2">
      <c r="A26" s="157" t="s">
        <v>292</v>
      </c>
      <c r="B26" s="160">
        <f>B27</f>
        <v>1331</v>
      </c>
      <c r="C26" s="160">
        <f t="shared" ref="C26:Y26" si="4">C27</f>
        <v>1865</v>
      </c>
      <c r="D26" s="160">
        <f t="shared" si="4"/>
        <v>1186</v>
      </c>
      <c r="E26" s="160">
        <f t="shared" si="4"/>
        <v>1984</v>
      </c>
      <c r="F26" s="160">
        <f t="shared" si="4"/>
        <v>1174</v>
      </c>
      <c r="G26" s="160">
        <f t="shared" si="4"/>
        <v>2736</v>
      </c>
      <c r="H26" s="160">
        <f t="shared" si="4"/>
        <v>1267</v>
      </c>
      <c r="I26" s="160">
        <f t="shared" si="4"/>
        <v>894</v>
      </c>
      <c r="J26" s="160">
        <f t="shared" si="4"/>
        <v>516</v>
      </c>
      <c r="K26" s="160">
        <f t="shared" si="4"/>
        <v>87</v>
      </c>
      <c r="L26" s="160">
        <f t="shared" si="4"/>
        <v>29</v>
      </c>
      <c r="M26" s="160">
        <f t="shared" si="4"/>
        <v>0</v>
      </c>
      <c r="N26" s="160">
        <f t="shared" si="4"/>
        <v>0</v>
      </c>
      <c r="O26" s="160">
        <f t="shared" si="4"/>
        <v>0</v>
      </c>
      <c r="P26" s="160">
        <f t="shared" si="4"/>
        <v>0</v>
      </c>
      <c r="Q26" s="160">
        <f t="shared" si="4"/>
        <v>0</v>
      </c>
      <c r="R26" s="160">
        <f t="shared" si="4"/>
        <v>0</v>
      </c>
      <c r="S26" s="160">
        <f t="shared" si="4"/>
        <v>0</v>
      </c>
      <c r="T26" s="160">
        <f t="shared" si="4"/>
        <v>0</v>
      </c>
      <c r="U26" s="160">
        <f t="shared" si="4"/>
        <v>0</v>
      </c>
      <c r="V26" s="160">
        <f t="shared" si="4"/>
        <v>0</v>
      </c>
      <c r="W26" s="160">
        <f t="shared" si="4"/>
        <v>0</v>
      </c>
      <c r="X26" s="160">
        <f t="shared" si="4"/>
        <v>0</v>
      </c>
      <c r="Y26" s="160">
        <f t="shared" si="4"/>
        <v>0</v>
      </c>
    </row>
    <row r="27" spans="1:25" x14ac:dyDescent="0.2">
      <c r="A27" s="161" t="s">
        <v>266</v>
      </c>
      <c r="B27" s="77">
        <v>1331</v>
      </c>
      <c r="C27" s="77">
        <v>1865</v>
      </c>
      <c r="D27" s="77">
        <v>1186</v>
      </c>
      <c r="E27" s="77">
        <v>1984</v>
      </c>
      <c r="F27" s="77">
        <v>1174</v>
      </c>
      <c r="G27" s="77">
        <v>2736</v>
      </c>
      <c r="H27" s="77">
        <v>1267</v>
      </c>
      <c r="I27" s="77">
        <v>894</v>
      </c>
      <c r="J27" s="77">
        <v>516</v>
      </c>
      <c r="K27" s="77">
        <v>87</v>
      </c>
      <c r="L27" s="77">
        <v>29</v>
      </c>
      <c r="M27" s="77">
        <v>0</v>
      </c>
      <c r="N27" s="77">
        <v>0</v>
      </c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</row>
    <row r="28" spans="1:25" s="60" customFormat="1" x14ac:dyDescent="0.2">
      <c r="A28" s="157" t="s">
        <v>362</v>
      </c>
      <c r="B28" s="53">
        <f t="shared" ref="B28:Y28" si="5">SUM(B29:B31)</f>
        <v>4517804</v>
      </c>
      <c r="C28" s="53">
        <f t="shared" si="5"/>
        <v>4626592</v>
      </c>
      <c r="D28" s="53">
        <f t="shared" si="5"/>
        <v>5019084</v>
      </c>
      <c r="E28" s="53">
        <f t="shared" si="5"/>
        <v>5926478</v>
      </c>
      <c r="F28" s="53">
        <f t="shared" si="5"/>
        <v>6356133</v>
      </c>
      <c r="G28" s="53">
        <f t="shared" si="5"/>
        <v>7005445</v>
      </c>
      <c r="H28" s="53">
        <f t="shared" si="5"/>
        <v>7607914</v>
      </c>
      <c r="I28" s="53">
        <f t="shared" si="5"/>
        <v>8355104</v>
      </c>
      <c r="J28" s="53">
        <f t="shared" si="5"/>
        <v>9187366</v>
      </c>
      <c r="K28" s="53">
        <f t="shared" si="5"/>
        <v>9474735</v>
      </c>
      <c r="L28" s="53">
        <f t="shared" si="5"/>
        <v>9883556</v>
      </c>
      <c r="M28" s="53">
        <f t="shared" si="5"/>
        <v>10512269</v>
      </c>
      <c r="N28" s="53">
        <f t="shared" si="5"/>
        <v>11730447</v>
      </c>
      <c r="O28" s="53">
        <f t="shared" si="5"/>
        <v>12347110</v>
      </c>
      <c r="P28" s="53">
        <f t="shared" si="5"/>
        <v>12923269</v>
      </c>
      <c r="Q28" s="53">
        <f t="shared" si="5"/>
        <v>13609468</v>
      </c>
      <c r="R28" s="53">
        <f t="shared" si="5"/>
        <v>0</v>
      </c>
      <c r="S28" s="53">
        <f t="shared" si="5"/>
        <v>0</v>
      </c>
      <c r="T28" s="53">
        <f t="shared" si="5"/>
        <v>0</v>
      </c>
      <c r="U28" s="53">
        <f t="shared" si="5"/>
        <v>0</v>
      </c>
      <c r="V28" s="53">
        <f t="shared" si="5"/>
        <v>0</v>
      </c>
      <c r="W28" s="53">
        <f t="shared" si="5"/>
        <v>0</v>
      </c>
      <c r="X28" s="53">
        <f t="shared" si="5"/>
        <v>0</v>
      </c>
      <c r="Y28" s="53">
        <f t="shared" si="5"/>
        <v>0</v>
      </c>
    </row>
    <row r="29" spans="1:25" s="60" customFormat="1" x14ac:dyDescent="0.2">
      <c r="A29" s="161" t="s">
        <v>293</v>
      </c>
      <c r="B29" s="67">
        <v>4950689</v>
      </c>
      <c r="C29" s="67">
        <v>5036855</v>
      </c>
      <c r="D29" s="67">
        <v>5378063</v>
      </c>
      <c r="E29" s="67">
        <v>6264458</v>
      </c>
      <c r="F29" s="67">
        <v>6678500</v>
      </c>
      <c r="G29" s="67">
        <v>7302047</v>
      </c>
      <c r="H29" s="67">
        <v>7892202</v>
      </c>
      <c r="I29" s="67">
        <v>8632064</v>
      </c>
      <c r="J29" s="67">
        <v>9431936</v>
      </c>
      <c r="K29" s="67">
        <v>9767769</v>
      </c>
      <c r="L29" s="67">
        <v>10177105</v>
      </c>
      <c r="M29" s="67">
        <v>10787741</v>
      </c>
      <c r="N29" s="67">
        <v>12017336</v>
      </c>
      <c r="O29" s="67">
        <v>12583398</v>
      </c>
      <c r="P29" s="67">
        <v>13200422</v>
      </c>
      <c r="Q29" s="67">
        <v>13898876</v>
      </c>
      <c r="R29" s="67"/>
      <c r="S29" s="67"/>
      <c r="T29" s="67"/>
      <c r="U29" s="67"/>
      <c r="V29" s="67"/>
      <c r="W29" s="67"/>
      <c r="X29" s="67"/>
      <c r="Y29" s="67"/>
    </row>
    <row r="30" spans="1:25" s="60" customFormat="1" x14ac:dyDescent="0.2">
      <c r="A30" s="161" t="s">
        <v>294</v>
      </c>
      <c r="B30" s="67">
        <v>108576</v>
      </c>
      <c r="C30" s="67">
        <v>98054</v>
      </c>
      <c r="D30" s="67">
        <v>106311</v>
      </c>
      <c r="E30" s="67">
        <v>125873</v>
      </c>
      <c r="F30" s="67">
        <v>122969</v>
      </c>
      <c r="G30" s="67">
        <v>135652</v>
      </c>
      <c r="H30" s="67">
        <v>143980</v>
      </c>
      <c r="I30" s="67">
        <v>197272</v>
      </c>
      <c r="J30" s="67">
        <v>282781</v>
      </c>
      <c r="K30" s="67">
        <v>178497</v>
      </c>
      <c r="L30" s="67">
        <v>176901</v>
      </c>
      <c r="M30" s="67">
        <v>190385</v>
      </c>
      <c r="N30" s="67">
        <v>186183</v>
      </c>
      <c r="O30" s="67">
        <v>199739</v>
      </c>
      <c r="P30" s="67">
        <v>193991</v>
      </c>
      <c r="Q30" s="154">
        <v>194596</v>
      </c>
      <c r="R30" s="67"/>
      <c r="S30" s="67"/>
      <c r="T30" s="67"/>
      <c r="U30" s="67"/>
      <c r="V30" s="67"/>
      <c r="W30" s="67"/>
      <c r="X30" s="67"/>
      <c r="Y30" s="67"/>
    </row>
    <row r="31" spans="1:25" s="60" customFormat="1" x14ac:dyDescent="0.2">
      <c r="A31" s="161" t="s">
        <v>346</v>
      </c>
      <c r="B31" s="154">
        <v>-541461</v>
      </c>
      <c r="C31" s="154">
        <v>-508317</v>
      </c>
      <c r="D31" s="154">
        <v>-465290</v>
      </c>
      <c r="E31" s="154">
        <v>-463853</v>
      </c>
      <c r="F31" s="154">
        <v>-445336</v>
      </c>
      <c r="G31" s="154">
        <v>-432254</v>
      </c>
      <c r="H31" s="154">
        <v>-428268</v>
      </c>
      <c r="I31" s="154">
        <v>-474232</v>
      </c>
      <c r="J31" s="154">
        <v>-527351</v>
      </c>
      <c r="K31" s="154">
        <v>-471531</v>
      </c>
      <c r="L31" s="154">
        <v>-470450</v>
      </c>
      <c r="M31" s="154">
        <v>-465857</v>
      </c>
      <c r="N31" s="154">
        <v>-473072</v>
      </c>
      <c r="O31" s="154">
        <v>-436027</v>
      </c>
      <c r="P31" s="154">
        <v>-471144</v>
      </c>
      <c r="Q31" s="154">
        <v>-484004</v>
      </c>
      <c r="R31" s="67"/>
      <c r="S31" s="67"/>
      <c r="T31" s="67"/>
      <c r="U31" s="67"/>
      <c r="V31" s="67"/>
      <c r="W31" s="67"/>
      <c r="X31" s="67"/>
      <c r="Y31" s="67"/>
    </row>
    <row r="32" spans="1:25" s="60" customFormat="1" x14ac:dyDescent="0.2">
      <c r="A32" s="157" t="s">
        <v>363</v>
      </c>
      <c r="B32" s="149">
        <v>66330</v>
      </c>
      <c r="C32" s="149">
        <v>189185</v>
      </c>
      <c r="D32" s="149">
        <v>207780</v>
      </c>
      <c r="E32" s="149">
        <v>145582</v>
      </c>
      <c r="F32" s="149">
        <v>208344</v>
      </c>
      <c r="G32" s="149">
        <v>304400</v>
      </c>
      <c r="H32" s="149">
        <v>55620</v>
      </c>
      <c r="I32" s="149">
        <v>16520</v>
      </c>
      <c r="J32" s="149">
        <v>54012</v>
      </c>
      <c r="K32" s="149">
        <v>45644</v>
      </c>
      <c r="L32" s="149">
        <v>50000</v>
      </c>
      <c r="M32" s="149">
        <v>57628</v>
      </c>
      <c r="N32" s="149">
        <v>46850</v>
      </c>
      <c r="O32" s="149">
        <v>40321</v>
      </c>
      <c r="P32" s="149">
        <v>41529</v>
      </c>
      <c r="Q32" s="53">
        <v>49052</v>
      </c>
      <c r="R32" s="67"/>
      <c r="S32" s="67"/>
      <c r="T32" s="67"/>
      <c r="U32" s="67"/>
      <c r="V32" s="67"/>
      <c r="W32" s="67"/>
      <c r="X32" s="67"/>
      <c r="Y32" s="67"/>
    </row>
    <row r="33" spans="1:25" ht="6" customHeight="1" x14ac:dyDescent="0.2">
      <c r="A33" s="15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</row>
    <row r="34" spans="1:25" ht="12.75" customHeight="1" x14ac:dyDescent="0.2">
      <c r="A34" s="114" t="s">
        <v>339</v>
      </c>
      <c r="B34" s="163">
        <f>B35+B36</f>
        <v>608158</v>
      </c>
      <c r="C34" s="163">
        <f t="shared" ref="C34:Y34" si="6">C35+C36</f>
        <v>604021</v>
      </c>
      <c r="D34" s="163">
        <f t="shared" si="6"/>
        <v>588541</v>
      </c>
      <c r="E34" s="163">
        <f t="shared" si="6"/>
        <v>570043</v>
      </c>
      <c r="F34" s="163">
        <f t="shared" si="6"/>
        <v>563700</v>
      </c>
      <c r="G34" s="163">
        <f t="shared" si="6"/>
        <v>555390</v>
      </c>
      <c r="H34" s="163">
        <f t="shared" si="6"/>
        <v>543466</v>
      </c>
      <c r="I34" s="163">
        <f t="shared" si="6"/>
        <v>697507</v>
      </c>
      <c r="J34" s="163">
        <f t="shared" si="6"/>
        <v>718621</v>
      </c>
      <c r="K34" s="163">
        <f t="shared" si="6"/>
        <v>695033</v>
      </c>
      <c r="L34" s="163">
        <f t="shared" si="6"/>
        <v>712289</v>
      </c>
      <c r="M34" s="163">
        <f t="shared" si="6"/>
        <v>685490</v>
      </c>
      <c r="N34" s="163">
        <f t="shared" si="6"/>
        <v>690805</v>
      </c>
      <c r="O34" s="163">
        <f t="shared" si="6"/>
        <v>701942</v>
      </c>
      <c r="P34" s="163">
        <f t="shared" si="6"/>
        <v>725415</v>
      </c>
      <c r="Q34" s="163">
        <f t="shared" si="6"/>
        <v>699866</v>
      </c>
      <c r="R34" s="163">
        <f t="shared" si="6"/>
        <v>0</v>
      </c>
      <c r="S34" s="163">
        <f t="shared" si="6"/>
        <v>0</v>
      </c>
      <c r="T34" s="163">
        <f t="shared" si="6"/>
        <v>0</v>
      </c>
      <c r="U34" s="163">
        <f t="shared" si="6"/>
        <v>0</v>
      </c>
      <c r="V34" s="163">
        <f t="shared" si="6"/>
        <v>0</v>
      </c>
      <c r="W34" s="163">
        <f t="shared" si="6"/>
        <v>0</v>
      </c>
      <c r="X34" s="163">
        <f t="shared" si="6"/>
        <v>0</v>
      </c>
      <c r="Y34" s="163">
        <f t="shared" si="6"/>
        <v>0</v>
      </c>
    </row>
    <row r="35" spans="1:25" ht="12.75" customHeight="1" x14ac:dyDescent="0.2">
      <c r="A35" s="161" t="s">
        <v>340</v>
      </c>
      <c r="B35" s="77">
        <v>35577</v>
      </c>
      <c r="C35" s="77">
        <v>34367</v>
      </c>
      <c r="D35" s="77">
        <v>35720</v>
      </c>
      <c r="E35" s="77">
        <v>14666</v>
      </c>
      <c r="F35" s="77">
        <v>14896</v>
      </c>
      <c r="G35" s="77">
        <v>15850</v>
      </c>
      <c r="H35" s="77">
        <v>16027</v>
      </c>
      <c r="I35" s="77">
        <v>84742</v>
      </c>
      <c r="J35" s="77">
        <v>147972</v>
      </c>
      <c r="K35" s="77">
        <v>146302</v>
      </c>
      <c r="L35" s="77">
        <v>144316</v>
      </c>
      <c r="M35" s="77">
        <v>130119</v>
      </c>
      <c r="N35" s="77">
        <v>143001</v>
      </c>
      <c r="O35" s="77">
        <v>138024</v>
      </c>
      <c r="P35" s="77">
        <v>142919</v>
      </c>
      <c r="Q35" s="77">
        <v>171245</v>
      </c>
      <c r="R35" s="77"/>
      <c r="S35" s="77"/>
      <c r="T35" s="77"/>
      <c r="U35" s="77"/>
      <c r="V35" s="77"/>
      <c r="W35" s="77"/>
      <c r="X35" s="77"/>
      <c r="Y35" s="77"/>
    </row>
    <row r="36" spans="1:25" ht="12.75" customHeight="1" x14ac:dyDescent="0.2">
      <c r="A36" s="161" t="s">
        <v>341</v>
      </c>
      <c r="B36" s="77">
        <v>572581</v>
      </c>
      <c r="C36" s="77">
        <v>569654</v>
      </c>
      <c r="D36" s="77">
        <v>552821</v>
      </c>
      <c r="E36" s="77">
        <v>555377</v>
      </c>
      <c r="F36" s="77">
        <v>548804</v>
      </c>
      <c r="G36" s="77">
        <v>539540</v>
      </c>
      <c r="H36" s="77">
        <v>527439</v>
      </c>
      <c r="I36" s="77">
        <v>612765</v>
      </c>
      <c r="J36" s="77">
        <v>570649</v>
      </c>
      <c r="K36" s="77">
        <v>548731</v>
      </c>
      <c r="L36" s="77">
        <v>567973</v>
      </c>
      <c r="M36" s="77">
        <v>555371</v>
      </c>
      <c r="N36" s="77">
        <v>547804</v>
      </c>
      <c r="O36" s="77">
        <v>563918</v>
      </c>
      <c r="P36" s="77">
        <v>582496</v>
      </c>
      <c r="Q36" s="77">
        <v>528621</v>
      </c>
      <c r="R36" s="77"/>
      <c r="S36" s="77"/>
      <c r="T36" s="77"/>
      <c r="U36" s="77"/>
      <c r="V36" s="77"/>
      <c r="W36" s="77"/>
      <c r="X36" s="77"/>
      <c r="Y36" s="77"/>
    </row>
    <row r="37" spans="1:25" ht="6" customHeight="1" x14ac:dyDescent="0.2">
      <c r="A37" s="15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</row>
    <row r="38" spans="1:25" s="60" customFormat="1" x14ac:dyDescent="0.2">
      <c r="A38" s="114" t="s">
        <v>364</v>
      </c>
      <c r="B38" s="163">
        <f>SUM(B39:B42)</f>
        <v>234630</v>
      </c>
      <c r="C38" s="163">
        <f t="shared" ref="C38:Y38" si="7">SUM(C39:C42)</f>
        <v>208970</v>
      </c>
      <c r="D38" s="163">
        <f t="shared" si="7"/>
        <v>181723</v>
      </c>
      <c r="E38" s="163">
        <f t="shared" si="7"/>
        <v>176362</v>
      </c>
      <c r="F38" s="163">
        <f t="shared" si="7"/>
        <v>163062</v>
      </c>
      <c r="G38" s="163">
        <f t="shared" si="7"/>
        <v>146909</v>
      </c>
      <c r="H38" s="163">
        <f t="shared" si="7"/>
        <v>142628</v>
      </c>
      <c r="I38" s="163">
        <f t="shared" si="7"/>
        <v>85623</v>
      </c>
      <c r="J38" s="163">
        <f t="shared" si="7"/>
        <v>89446</v>
      </c>
      <c r="K38" s="163">
        <f t="shared" si="7"/>
        <v>113613</v>
      </c>
      <c r="L38" s="163">
        <f>SUM(L39:L42)</f>
        <v>103383</v>
      </c>
      <c r="M38" s="163">
        <f t="shared" si="7"/>
        <v>122847</v>
      </c>
      <c r="N38" s="163">
        <f t="shared" si="7"/>
        <v>137336</v>
      </c>
      <c r="O38" s="163">
        <f t="shared" si="7"/>
        <v>151139</v>
      </c>
      <c r="P38" s="163">
        <f t="shared" si="7"/>
        <v>159368</v>
      </c>
      <c r="Q38" s="163">
        <f t="shared" si="7"/>
        <v>188792</v>
      </c>
      <c r="R38" s="163">
        <f t="shared" si="7"/>
        <v>0</v>
      </c>
      <c r="S38" s="163">
        <f t="shared" si="7"/>
        <v>0</v>
      </c>
      <c r="T38" s="163">
        <f t="shared" si="7"/>
        <v>0</v>
      </c>
      <c r="U38" s="163">
        <f t="shared" si="7"/>
        <v>0</v>
      </c>
      <c r="V38" s="163">
        <f t="shared" si="7"/>
        <v>0</v>
      </c>
      <c r="W38" s="163">
        <f t="shared" si="7"/>
        <v>0</v>
      </c>
      <c r="X38" s="163">
        <f t="shared" si="7"/>
        <v>0</v>
      </c>
      <c r="Y38" s="163">
        <f t="shared" si="7"/>
        <v>0</v>
      </c>
    </row>
    <row r="39" spans="1:25" s="60" customFormat="1" x14ac:dyDescent="0.2">
      <c r="A39" s="161" t="s">
        <v>338</v>
      </c>
      <c r="B39" s="165">
        <v>0</v>
      </c>
      <c r="C39" s="165">
        <v>0</v>
      </c>
      <c r="D39" s="165">
        <v>0</v>
      </c>
      <c r="E39" s="165">
        <v>0</v>
      </c>
      <c r="F39" s="165">
        <v>0</v>
      </c>
      <c r="G39" s="165">
        <v>0</v>
      </c>
      <c r="H39" s="165">
        <v>0</v>
      </c>
      <c r="I39" s="165">
        <v>0</v>
      </c>
      <c r="J39" s="165">
        <v>0</v>
      </c>
      <c r="K39" s="165">
        <v>3722</v>
      </c>
      <c r="L39" s="165">
        <v>3824</v>
      </c>
      <c r="M39" s="165">
        <v>4863</v>
      </c>
      <c r="N39" s="165">
        <v>4175</v>
      </c>
      <c r="O39" s="165">
        <v>2208</v>
      </c>
      <c r="P39" s="165">
        <v>3075</v>
      </c>
      <c r="Q39" s="165">
        <v>2677</v>
      </c>
      <c r="R39" s="165"/>
      <c r="S39" s="165"/>
      <c r="T39" s="165"/>
      <c r="U39" s="165"/>
      <c r="V39" s="165"/>
      <c r="W39" s="165"/>
      <c r="X39" s="165"/>
      <c r="Y39" s="165"/>
    </row>
    <row r="40" spans="1:25" s="60" customFormat="1" x14ac:dyDescent="0.2">
      <c r="A40" s="161" t="s">
        <v>321</v>
      </c>
      <c r="B40" s="165">
        <v>228162</v>
      </c>
      <c r="C40" s="165">
        <v>223023</v>
      </c>
      <c r="D40" s="165">
        <v>188205</v>
      </c>
      <c r="E40" s="165">
        <v>181647</v>
      </c>
      <c r="F40" s="165">
        <v>162695</v>
      </c>
      <c r="G40" s="165">
        <v>131002</v>
      </c>
      <c r="H40" s="165">
        <v>125787</v>
      </c>
      <c r="I40" s="165">
        <v>65651</v>
      </c>
      <c r="J40" s="165">
        <v>61079</v>
      </c>
      <c r="K40" s="165">
        <v>76320</v>
      </c>
      <c r="L40" s="165">
        <v>68817</v>
      </c>
      <c r="M40" s="165">
        <v>73857</v>
      </c>
      <c r="N40" s="165">
        <v>85357</v>
      </c>
      <c r="O40" s="165">
        <v>85357</v>
      </c>
      <c r="P40" s="165">
        <v>82470</v>
      </c>
      <c r="Q40" s="165">
        <v>81270</v>
      </c>
      <c r="R40" s="165"/>
      <c r="S40" s="165"/>
      <c r="T40" s="165"/>
      <c r="U40" s="165"/>
      <c r="V40" s="165"/>
      <c r="W40" s="165"/>
      <c r="X40" s="165"/>
      <c r="Y40" s="165"/>
    </row>
    <row r="41" spans="1:25" s="60" customFormat="1" x14ac:dyDescent="0.2">
      <c r="A41" s="161" t="s">
        <v>337</v>
      </c>
      <c r="B41" s="165">
        <v>-94542</v>
      </c>
      <c r="C41" s="165">
        <v>-94488</v>
      </c>
      <c r="D41" s="165">
        <v>-79301</v>
      </c>
      <c r="E41" s="165">
        <v>-76204</v>
      </c>
      <c r="F41" s="165">
        <v>-67450</v>
      </c>
      <c r="G41" s="165">
        <v>-49420</v>
      </c>
      <c r="H41" s="165">
        <v>-43510</v>
      </c>
      <c r="I41" s="165">
        <v>-28145</v>
      </c>
      <c r="J41" s="165">
        <v>-25091</v>
      </c>
      <c r="K41" s="165">
        <v>-18943</v>
      </c>
      <c r="L41" s="165">
        <v>-15753</v>
      </c>
      <c r="M41" s="165">
        <v>-18542</v>
      </c>
      <c r="N41" s="165">
        <v>-21163</v>
      </c>
      <c r="O41" s="165">
        <v>-22343</v>
      </c>
      <c r="P41" s="165">
        <v>-20186</v>
      </c>
      <c r="Q41" s="165">
        <v>-21605</v>
      </c>
      <c r="R41" s="165"/>
      <c r="S41" s="165"/>
      <c r="T41" s="165"/>
      <c r="U41" s="165"/>
      <c r="V41" s="165"/>
      <c r="W41" s="165"/>
      <c r="X41" s="165"/>
      <c r="Y41" s="165"/>
    </row>
    <row r="42" spans="1:25" s="82" customFormat="1" x14ac:dyDescent="0.2">
      <c r="A42" s="161" t="s">
        <v>267</v>
      </c>
      <c r="B42" s="165">
        <v>101010</v>
      </c>
      <c r="C42" s="165">
        <v>80435</v>
      </c>
      <c r="D42" s="165">
        <v>72819</v>
      </c>
      <c r="E42" s="165">
        <v>70919</v>
      </c>
      <c r="F42" s="165">
        <v>67817</v>
      </c>
      <c r="G42" s="165">
        <v>65327</v>
      </c>
      <c r="H42" s="165">
        <v>60351</v>
      </c>
      <c r="I42" s="165">
        <v>48117</v>
      </c>
      <c r="J42" s="165">
        <v>53458</v>
      </c>
      <c r="K42" s="165">
        <v>52514</v>
      </c>
      <c r="L42" s="165">
        <v>46495</v>
      </c>
      <c r="M42" s="165">
        <v>62669</v>
      </c>
      <c r="N42" s="165">
        <v>68967</v>
      </c>
      <c r="O42" s="165">
        <v>85917</v>
      </c>
      <c r="P42" s="165">
        <v>94009</v>
      </c>
      <c r="Q42" s="165">
        <v>126450</v>
      </c>
      <c r="R42" s="165"/>
      <c r="S42" s="165"/>
      <c r="T42" s="165"/>
      <c r="U42" s="165"/>
      <c r="V42" s="165"/>
      <c r="W42" s="165"/>
      <c r="X42" s="165"/>
      <c r="Y42" s="165"/>
    </row>
    <row r="43" spans="1:25" s="60" customFormat="1" x14ac:dyDescent="0.2">
      <c r="A43" s="114" t="s">
        <v>295</v>
      </c>
      <c r="B43" s="163">
        <v>375973</v>
      </c>
      <c r="C43" s="163">
        <v>360218</v>
      </c>
      <c r="D43" s="163">
        <v>358755</v>
      </c>
      <c r="E43" s="163">
        <v>327409</v>
      </c>
      <c r="F43" s="163">
        <v>338761</v>
      </c>
      <c r="G43" s="163">
        <v>307094</v>
      </c>
      <c r="H43" s="163">
        <v>330041</v>
      </c>
      <c r="I43" s="163">
        <v>340115</v>
      </c>
      <c r="J43" s="163">
        <v>251827</v>
      </c>
      <c r="K43" s="163">
        <v>254056</v>
      </c>
      <c r="L43" s="163">
        <v>225426</v>
      </c>
      <c r="M43" s="163">
        <v>227011</v>
      </c>
      <c r="N43" s="163">
        <v>213761</v>
      </c>
      <c r="O43" s="163">
        <v>209233</v>
      </c>
      <c r="P43" s="163">
        <v>215643</v>
      </c>
      <c r="Q43" s="163">
        <v>219253</v>
      </c>
      <c r="R43" s="163">
        <v>0</v>
      </c>
      <c r="S43" s="163">
        <v>0</v>
      </c>
      <c r="T43" s="163">
        <v>0</v>
      </c>
      <c r="U43" s="163">
        <v>0</v>
      </c>
      <c r="V43" s="163">
        <v>0</v>
      </c>
      <c r="W43" s="163">
        <v>0</v>
      </c>
      <c r="X43" s="163">
        <v>0</v>
      </c>
      <c r="Y43" s="163">
        <v>0</v>
      </c>
    </row>
    <row r="44" spans="1:25" ht="6" customHeight="1" x14ac:dyDescent="0.2">
      <c r="A44" s="157"/>
    </row>
    <row r="45" spans="1:25" x14ac:dyDescent="0.2">
      <c r="A45" s="166" t="s">
        <v>268</v>
      </c>
      <c r="B45" s="167">
        <f t="shared" ref="B45:Y45" si="8">SUM(B46:B46)</f>
        <v>1524</v>
      </c>
      <c r="C45" s="167">
        <f t="shared" si="8"/>
        <v>1681</v>
      </c>
      <c r="D45" s="167">
        <f t="shared" si="8"/>
        <v>1906</v>
      </c>
      <c r="E45" s="167">
        <f t="shared" si="8"/>
        <v>2112</v>
      </c>
      <c r="F45" s="167">
        <f t="shared" si="8"/>
        <v>2263</v>
      </c>
      <c r="G45" s="167">
        <f t="shared" si="8"/>
        <v>2488</v>
      </c>
      <c r="H45" s="167">
        <f t="shared" si="8"/>
        <v>2464</v>
      </c>
      <c r="I45" s="167">
        <f t="shared" si="8"/>
        <v>2689</v>
      </c>
      <c r="J45" s="167">
        <f t="shared" si="8"/>
        <v>3372</v>
      </c>
      <c r="K45" s="167">
        <f t="shared" si="8"/>
        <v>3833</v>
      </c>
      <c r="L45" s="167">
        <f t="shared" si="8"/>
        <v>4132</v>
      </c>
      <c r="M45" s="167">
        <f t="shared" si="8"/>
        <v>22331</v>
      </c>
      <c r="N45" s="167">
        <f t="shared" si="8"/>
        <v>22331</v>
      </c>
      <c r="O45" s="167">
        <f t="shared" si="8"/>
        <v>23127</v>
      </c>
      <c r="P45" s="167">
        <f t="shared" si="8"/>
        <v>23229</v>
      </c>
      <c r="Q45" s="167">
        <f t="shared" si="8"/>
        <v>23229</v>
      </c>
      <c r="R45" s="167">
        <f t="shared" si="8"/>
        <v>0</v>
      </c>
      <c r="S45" s="167">
        <f t="shared" si="8"/>
        <v>0</v>
      </c>
      <c r="T45" s="167">
        <f t="shared" si="8"/>
        <v>0</v>
      </c>
      <c r="U45" s="167">
        <f t="shared" si="8"/>
        <v>0</v>
      </c>
      <c r="V45" s="167">
        <f t="shared" si="8"/>
        <v>0</v>
      </c>
      <c r="W45" s="167">
        <f t="shared" si="8"/>
        <v>0</v>
      </c>
      <c r="X45" s="167">
        <f t="shared" si="8"/>
        <v>0</v>
      </c>
      <c r="Y45" s="167">
        <f t="shared" si="8"/>
        <v>0</v>
      </c>
    </row>
    <row r="46" spans="1:25" x14ac:dyDescent="0.2">
      <c r="A46" s="161" t="s">
        <v>269</v>
      </c>
      <c r="B46" s="147">
        <v>1524</v>
      </c>
      <c r="C46" s="147">
        <v>1681</v>
      </c>
      <c r="D46" s="147">
        <v>1906</v>
      </c>
      <c r="E46" s="147">
        <v>2112</v>
      </c>
      <c r="F46" s="147">
        <v>2263</v>
      </c>
      <c r="G46" s="147">
        <v>2488</v>
      </c>
      <c r="H46" s="147">
        <v>2464</v>
      </c>
      <c r="I46" s="147">
        <v>2689</v>
      </c>
      <c r="J46" s="147">
        <v>3372</v>
      </c>
      <c r="K46" s="147">
        <v>3833</v>
      </c>
      <c r="L46" s="147">
        <v>4132</v>
      </c>
      <c r="M46" s="147">
        <v>22331</v>
      </c>
      <c r="N46" s="147">
        <v>22331</v>
      </c>
      <c r="O46" s="147">
        <v>23127</v>
      </c>
      <c r="P46" s="147">
        <v>23229</v>
      </c>
      <c r="Q46" s="147">
        <v>23229</v>
      </c>
      <c r="R46" s="147"/>
      <c r="S46" s="147"/>
      <c r="T46" s="147"/>
      <c r="U46" s="147"/>
      <c r="V46" s="147"/>
      <c r="W46" s="147"/>
      <c r="X46" s="147"/>
      <c r="Y46" s="147"/>
    </row>
    <row r="47" spans="1:25" ht="6" customHeight="1" x14ac:dyDescent="0.2">
      <c r="A47" s="157"/>
    </row>
    <row r="48" spans="1:25" x14ac:dyDescent="0.2">
      <c r="A48" s="114" t="s">
        <v>296</v>
      </c>
      <c r="B48" s="163">
        <f>SUM(B49:B52)</f>
        <v>150489</v>
      </c>
      <c r="C48" s="163">
        <f t="shared" ref="C48:Y48" si="9">SUM(C49:C52)</f>
        <v>176318</v>
      </c>
      <c r="D48" s="163">
        <f t="shared" si="9"/>
        <v>173063</v>
      </c>
      <c r="E48" s="163">
        <f t="shared" si="9"/>
        <v>176153</v>
      </c>
      <c r="F48" s="163">
        <f t="shared" si="9"/>
        <v>180076</v>
      </c>
      <c r="G48" s="163">
        <f t="shared" si="9"/>
        <v>182778</v>
      </c>
      <c r="H48" s="163">
        <f t="shared" si="9"/>
        <v>178895</v>
      </c>
      <c r="I48" s="163">
        <f t="shared" si="9"/>
        <v>171772</v>
      </c>
      <c r="J48" s="163">
        <f t="shared" si="9"/>
        <v>162260</v>
      </c>
      <c r="K48" s="163">
        <f t="shared" si="9"/>
        <v>158725</v>
      </c>
      <c r="L48" s="163">
        <f t="shared" si="9"/>
        <v>154826</v>
      </c>
      <c r="M48" s="163">
        <f t="shared" si="9"/>
        <v>152519</v>
      </c>
      <c r="N48" s="163">
        <f t="shared" si="9"/>
        <v>150809</v>
      </c>
      <c r="O48" s="163">
        <f t="shared" si="9"/>
        <v>162901</v>
      </c>
      <c r="P48" s="163">
        <f t="shared" si="9"/>
        <v>159248</v>
      </c>
      <c r="Q48" s="163">
        <f t="shared" si="9"/>
        <v>164324</v>
      </c>
      <c r="R48" s="163">
        <f t="shared" si="9"/>
        <v>0</v>
      </c>
      <c r="S48" s="163">
        <f t="shared" si="9"/>
        <v>0</v>
      </c>
      <c r="T48" s="163">
        <f t="shared" si="9"/>
        <v>0</v>
      </c>
      <c r="U48" s="163">
        <f t="shared" si="9"/>
        <v>0</v>
      </c>
      <c r="V48" s="163">
        <f t="shared" si="9"/>
        <v>0</v>
      </c>
      <c r="W48" s="163">
        <f t="shared" si="9"/>
        <v>0</v>
      </c>
      <c r="X48" s="163">
        <f t="shared" si="9"/>
        <v>0</v>
      </c>
      <c r="Y48" s="163">
        <f t="shared" si="9"/>
        <v>0</v>
      </c>
    </row>
    <row r="49" spans="1:25" s="60" customFormat="1" x14ac:dyDescent="0.2">
      <c r="A49" s="161" t="s">
        <v>332</v>
      </c>
      <c r="B49" s="154">
        <v>0</v>
      </c>
      <c r="C49" s="154">
        <v>0</v>
      </c>
      <c r="D49" s="154">
        <v>0</v>
      </c>
      <c r="E49" s="154">
        <v>0</v>
      </c>
      <c r="F49" s="154">
        <v>0</v>
      </c>
      <c r="G49" s="154">
        <v>0</v>
      </c>
      <c r="H49" s="154">
        <v>0</v>
      </c>
      <c r="I49" s="154">
        <f>'[1]BP-BACEN-2022'!$I$98</f>
        <v>9547</v>
      </c>
      <c r="J49" s="154">
        <f>'[1]BP-BACEN-2022'!$H$98</f>
        <v>9547</v>
      </c>
      <c r="K49" s="154">
        <v>9520</v>
      </c>
      <c r="L49" s="154">
        <v>9520</v>
      </c>
      <c r="M49" s="154">
        <v>3315</v>
      </c>
      <c r="N49" s="154">
        <v>3315</v>
      </c>
      <c r="O49" s="154">
        <v>3315</v>
      </c>
      <c r="P49" s="154">
        <v>3315</v>
      </c>
      <c r="Q49" s="154">
        <v>3315</v>
      </c>
      <c r="R49" s="154">
        <v>0</v>
      </c>
      <c r="S49" s="154">
        <v>0</v>
      </c>
      <c r="T49" s="154">
        <v>0</v>
      </c>
      <c r="U49" s="154">
        <v>0</v>
      </c>
      <c r="V49" s="154">
        <v>0</v>
      </c>
      <c r="W49" s="154">
        <v>0</v>
      </c>
      <c r="X49" s="154">
        <v>0</v>
      </c>
      <c r="Y49" s="154">
        <v>0</v>
      </c>
    </row>
    <row r="50" spans="1:25" s="60" customFormat="1" x14ac:dyDescent="0.2">
      <c r="A50" s="161" t="s">
        <v>324</v>
      </c>
      <c r="B50" s="154">
        <v>0</v>
      </c>
      <c r="C50" s="154">
        <v>0</v>
      </c>
      <c r="D50" s="154">
        <v>0</v>
      </c>
      <c r="E50" s="154">
        <v>0</v>
      </c>
      <c r="F50" s="154">
        <v>0</v>
      </c>
      <c r="G50" s="154">
        <v>0</v>
      </c>
      <c r="H50" s="154">
        <v>0</v>
      </c>
      <c r="I50" s="154">
        <f>'[1]BP-BACEN-2022'!$I$99</f>
        <v>-666</v>
      </c>
      <c r="J50" s="154">
        <f>'[1]BP-BACEN-2022'!$H$99</f>
        <v>-731</v>
      </c>
      <c r="K50" s="154">
        <v>-788</v>
      </c>
      <c r="L50" s="154">
        <v>-853</v>
      </c>
      <c r="M50" s="154">
        <v>-218</v>
      </c>
      <c r="N50" s="154">
        <v>-221</v>
      </c>
      <c r="O50" s="154">
        <v>-224</v>
      </c>
      <c r="P50" s="154">
        <v>-227</v>
      </c>
      <c r="Q50" s="154">
        <v>-231</v>
      </c>
      <c r="R50" s="154">
        <v>0</v>
      </c>
      <c r="S50" s="154">
        <v>0</v>
      </c>
      <c r="T50" s="154">
        <v>0</v>
      </c>
      <c r="U50" s="154">
        <v>0</v>
      </c>
      <c r="V50" s="154">
        <v>0</v>
      </c>
      <c r="W50" s="154">
        <v>0</v>
      </c>
      <c r="X50" s="154">
        <v>0</v>
      </c>
      <c r="Y50" s="154">
        <v>0</v>
      </c>
    </row>
    <row r="51" spans="1:25" s="60" customFormat="1" x14ac:dyDescent="0.2">
      <c r="A51" s="161" t="s">
        <v>365</v>
      </c>
      <c r="B51" s="154">
        <v>293459</v>
      </c>
      <c r="C51" s="154">
        <v>326218</v>
      </c>
      <c r="D51" s="154">
        <v>329930</v>
      </c>
      <c r="E51" s="154">
        <v>340729</v>
      </c>
      <c r="F51" s="154">
        <v>353152</v>
      </c>
      <c r="G51" s="154">
        <v>364707</v>
      </c>
      <c r="H51" s="154">
        <v>370376</v>
      </c>
      <c r="I51" s="154">
        <v>361081</v>
      </c>
      <c r="J51" s="154">
        <v>360296</v>
      </c>
      <c r="K51" s="154">
        <v>360224</v>
      </c>
      <c r="L51" s="154">
        <v>358052</v>
      </c>
      <c r="M51" s="154">
        <v>356252</v>
      </c>
      <c r="N51" s="154">
        <v>357539</v>
      </c>
      <c r="O51" s="154">
        <v>372927</v>
      </c>
      <c r="P51" s="154">
        <v>378158</v>
      </c>
      <c r="Q51" s="154">
        <v>390691</v>
      </c>
      <c r="R51" s="154"/>
      <c r="S51" s="154"/>
      <c r="T51" s="154"/>
      <c r="U51" s="154"/>
      <c r="V51" s="154"/>
      <c r="W51" s="154"/>
      <c r="X51" s="154"/>
      <c r="Y51" s="154"/>
    </row>
    <row r="52" spans="1:25" s="60" customFormat="1" x14ac:dyDescent="0.2">
      <c r="A52" s="161" t="s">
        <v>324</v>
      </c>
      <c r="B52" s="154">
        <f>'[2]BP-BACEN-2020'!$H$105</f>
        <v>-142970</v>
      </c>
      <c r="C52" s="154">
        <f>'[3]BP-BACEN-2020'!$H$105</f>
        <v>-149900</v>
      </c>
      <c r="D52" s="154">
        <f>'[4]BP-BACEN-2020'!$G$105</f>
        <v>-156867</v>
      </c>
      <c r="E52" s="154">
        <f>'[5]BP-BACEN-2020'!$H$107</f>
        <v>-164576</v>
      </c>
      <c r="F52" s="154">
        <f>'[6]BP-BACEN-2021'!$H$101</f>
        <v>-173076</v>
      </c>
      <c r="G52" s="154">
        <f>'[7]BP-BACEN-2021'!$G$101</f>
        <v>-181929</v>
      </c>
      <c r="H52" s="154">
        <f>'[8]BP-BACEN-2021'!$H$101</f>
        <v>-191481</v>
      </c>
      <c r="I52" s="154">
        <f>'[1]BP-BACEN-2022'!$I$104</f>
        <v>-198190</v>
      </c>
      <c r="J52" s="154">
        <f>'[1]BP-BACEN-2022'!$H$104</f>
        <v>-206852</v>
      </c>
      <c r="K52" s="154">
        <v>-210231</v>
      </c>
      <c r="L52" s="154">
        <v>-211893</v>
      </c>
      <c r="M52" s="154">
        <v>-206830</v>
      </c>
      <c r="N52" s="154">
        <v>-209824</v>
      </c>
      <c r="O52" s="154">
        <v>-213117</v>
      </c>
      <c r="P52" s="154">
        <v>-221998</v>
      </c>
      <c r="Q52" s="154">
        <v>-229451</v>
      </c>
      <c r="R52" s="154">
        <v>0</v>
      </c>
      <c r="S52" s="154">
        <v>0</v>
      </c>
      <c r="T52" s="154">
        <v>0</v>
      </c>
      <c r="U52" s="154">
        <v>0</v>
      </c>
      <c r="V52" s="154">
        <v>0</v>
      </c>
      <c r="W52" s="154">
        <v>0</v>
      </c>
      <c r="X52" s="154">
        <v>0</v>
      </c>
      <c r="Y52" s="154">
        <v>0</v>
      </c>
    </row>
    <row r="53" spans="1:25" ht="6" customHeight="1" x14ac:dyDescent="0.2">
      <c r="A53" s="157"/>
    </row>
    <row r="54" spans="1:25" x14ac:dyDescent="0.2">
      <c r="A54" s="166" t="s">
        <v>270</v>
      </c>
      <c r="B54" s="167">
        <f>SUM(B55:B56)</f>
        <v>56685</v>
      </c>
      <c r="C54" s="167">
        <f t="shared" ref="C54:Y54" si="10">SUM(C55:C56)</f>
        <v>58905</v>
      </c>
      <c r="D54" s="167">
        <f t="shared" si="10"/>
        <v>66895</v>
      </c>
      <c r="E54" s="167">
        <f t="shared" si="10"/>
        <v>69262</v>
      </c>
      <c r="F54" s="167">
        <f t="shared" si="10"/>
        <v>69791</v>
      </c>
      <c r="G54" s="167">
        <f t="shared" si="10"/>
        <v>69666</v>
      </c>
      <c r="H54" s="167">
        <f t="shared" si="10"/>
        <v>82185</v>
      </c>
      <c r="I54" s="167">
        <f t="shared" si="10"/>
        <v>81720</v>
      </c>
      <c r="J54" s="167">
        <f t="shared" si="10"/>
        <v>81258</v>
      </c>
      <c r="K54" s="167">
        <f t="shared" si="10"/>
        <v>89893</v>
      </c>
      <c r="L54" s="167">
        <f t="shared" si="10"/>
        <v>92643</v>
      </c>
      <c r="M54" s="167">
        <f t="shared" si="10"/>
        <v>100737</v>
      </c>
      <c r="N54" s="167">
        <f t="shared" si="10"/>
        <v>100982</v>
      </c>
      <c r="O54" s="167">
        <f t="shared" si="10"/>
        <v>100862</v>
      </c>
      <c r="P54" s="167">
        <f t="shared" si="10"/>
        <v>110209</v>
      </c>
      <c r="Q54" s="167">
        <f t="shared" si="10"/>
        <v>115555</v>
      </c>
      <c r="R54" s="167">
        <f t="shared" si="10"/>
        <v>0</v>
      </c>
      <c r="S54" s="167">
        <f t="shared" si="10"/>
        <v>0</v>
      </c>
      <c r="T54" s="167">
        <f t="shared" si="10"/>
        <v>0</v>
      </c>
      <c r="U54" s="167">
        <f t="shared" si="10"/>
        <v>0</v>
      </c>
      <c r="V54" s="167">
        <f t="shared" si="10"/>
        <v>0</v>
      </c>
      <c r="W54" s="167">
        <f t="shared" si="10"/>
        <v>0</v>
      </c>
      <c r="X54" s="167">
        <f t="shared" si="10"/>
        <v>0</v>
      </c>
      <c r="Y54" s="167">
        <f t="shared" si="10"/>
        <v>0</v>
      </c>
    </row>
    <row r="55" spans="1:25" x14ac:dyDescent="0.2">
      <c r="A55" s="161" t="s">
        <v>281</v>
      </c>
      <c r="B55" s="147">
        <f>'[2]BP-BACEN-2020'!$H$108</f>
        <v>145002</v>
      </c>
      <c r="C55" s="147">
        <f>'[3]BP-BACEN-2020'!$H$108</f>
        <v>151732</v>
      </c>
      <c r="D55" s="147">
        <f>'[4]BP-BACEN-2020'!$G$108</f>
        <v>164333</v>
      </c>
      <c r="E55" s="147">
        <f>'[5]BP-BACEN-2020'!$H$110</f>
        <v>171408</v>
      </c>
      <c r="F55" s="147">
        <f>'[6]BP-BACEN-2021'!$H$104</f>
        <v>176916</v>
      </c>
      <c r="G55" s="147">
        <f>'[7]BP-BACEN-2021'!$G$104</f>
        <v>179319</v>
      </c>
      <c r="H55" s="147">
        <f>'[8]BP-BACEN-2021'!$H$104</f>
        <v>197280</v>
      </c>
      <c r="I55" s="147">
        <f>'[9]BP-BACEN-2021'!$H$107</f>
        <v>196129</v>
      </c>
      <c r="J55" s="147">
        <f>'[1]BP-BACEN-2022'!$H$107</f>
        <v>202392</v>
      </c>
      <c r="K55" s="147">
        <v>209492</v>
      </c>
      <c r="L55" s="147">
        <v>218743</v>
      </c>
      <c r="M55" s="147">
        <v>234555</v>
      </c>
      <c r="N55" s="147">
        <v>243458</v>
      </c>
      <c r="O55" s="147">
        <v>252415</v>
      </c>
      <c r="P55" s="147">
        <v>266048</v>
      </c>
      <c r="Q55" s="147">
        <v>281185</v>
      </c>
      <c r="R55" s="147">
        <v>0</v>
      </c>
      <c r="S55" s="147">
        <v>0</v>
      </c>
      <c r="T55" s="147">
        <v>0</v>
      </c>
      <c r="U55" s="147">
        <v>0</v>
      </c>
      <c r="V55" s="147">
        <v>0</v>
      </c>
      <c r="W55" s="147">
        <v>0</v>
      </c>
      <c r="X55" s="147">
        <v>0</v>
      </c>
      <c r="Y55" s="147">
        <v>0</v>
      </c>
    </row>
    <row r="56" spans="1:25" x14ac:dyDescent="0.2">
      <c r="A56" s="161" t="s">
        <v>271</v>
      </c>
      <c r="B56" s="147">
        <f>'[2]BP-BACEN-2020'!$H$109</f>
        <v>-88317</v>
      </c>
      <c r="C56" s="147">
        <f>'[3]BP-BACEN-2020'!$H$109</f>
        <v>-92827</v>
      </c>
      <c r="D56" s="147">
        <f>'[4]BP-BACEN-2020'!$G$109</f>
        <v>-97438</v>
      </c>
      <c r="E56" s="147">
        <f>'[5]BP-BACEN-2020'!$H$111</f>
        <v>-102146</v>
      </c>
      <c r="F56" s="147">
        <f>'[6]BP-BACEN-2021'!$H$105</f>
        <v>-107125</v>
      </c>
      <c r="G56" s="147">
        <f>'[7]BP-BACEN-2021'!$G$105</f>
        <v>-109653</v>
      </c>
      <c r="H56" s="147">
        <f>'[8]BP-BACEN-2021'!$H$105</f>
        <v>-115095</v>
      </c>
      <c r="I56" s="147">
        <f>'[9]BP-BACEN-2021'!$H$108</f>
        <v>-114409</v>
      </c>
      <c r="J56" s="147">
        <f>'[1]BP-BACEN-2022'!$H$108</f>
        <v>-121134</v>
      </c>
      <c r="K56" s="147">
        <v>-119599</v>
      </c>
      <c r="L56" s="147">
        <v>-126100</v>
      </c>
      <c r="M56" s="147">
        <v>-133818</v>
      </c>
      <c r="N56" s="147">
        <v>-142476</v>
      </c>
      <c r="O56" s="147">
        <v>-151553</v>
      </c>
      <c r="P56" s="147">
        <v>-155839</v>
      </c>
      <c r="Q56" s="147">
        <v>-165630</v>
      </c>
      <c r="R56" s="147">
        <v>0</v>
      </c>
      <c r="S56" s="147">
        <v>0</v>
      </c>
      <c r="T56" s="147">
        <v>0</v>
      </c>
      <c r="U56" s="147">
        <v>0</v>
      </c>
      <c r="V56" s="147">
        <v>0</v>
      </c>
      <c r="W56" s="147">
        <v>0</v>
      </c>
      <c r="X56" s="147">
        <v>0</v>
      </c>
      <c r="Y56" s="147">
        <v>0</v>
      </c>
    </row>
    <row r="57" spans="1:25" ht="6" customHeight="1" x14ac:dyDescent="0.2">
      <c r="A57" s="157"/>
    </row>
    <row r="58" spans="1:25" x14ac:dyDescent="0.2">
      <c r="A58" s="168" t="s">
        <v>162</v>
      </c>
      <c r="B58" s="146">
        <f t="shared" ref="B58:Y58" si="11">B12+B14+B34+B43+B38+B45+B48+B54</f>
        <v>10087527</v>
      </c>
      <c r="C58" s="146">
        <f t="shared" si="11"/>
        <v>10747166</v>
      </c>
      <c r="D58" s="146">
        <f t="shared" si="11"/>
        <v>10158015</v>
      </c>
      <c r="E58" s="146">
        <f t="shared" si="11"/>
        <v>10718363</v>
      </c>
      <c r="F58" s="146">
        <f t="shared" si="11"/>
        <v>10730786</v>
      </c>
      <c r="G58" s="146">
        <f t="shared" si="11"/>
        <v>11530824</v>
      </c>
      <c r="H58" s="146">
        <f t="shared" si="11"/>
        <v>11950964</v>
      </c>
      <c r="I58" s="146">
        <f t="shared" si="11"/>
        <v>12423365</v>
      </c>
      <c r="J58" s="146">
        <f t="shared" si="11"/>
        <v>13041042</v>
      </c>
      <c r="K58" s="146">
        <f t="shared" si="11"/>
        <v>14348764</v>
      </c>
      <c r="L58" s="146">
        <f t="shared" si="11"/>
        <v>14329731</v>
      </c>
      <c r="M58" s="146">
        <f t="shared" si="11"/>
        <v>14848428</v>
      </c>
      <c r="N58" s="146">
        <f t="shared" si="11"/>
        <v>15489134</v>
      </c>
      <c r="O58" s="146">
        <f t="shared" si="11"/>
        <v>17115775</v>
      </c>
      <c r="P58" s="146">
        <f t="shared" si="11"/>
        <v>17686710</v>
      </c>
      <c r="Q58" s="146">
        <f t="shared" si="11"/>
        <v>19282882</v>
      </c>
      <c r="R58" s="146">
        <f t="shared" si="11"/>
        <v>0</v>
      </c>
      <c r="S58" s="146">
        <f t="shared" si="11"/>
        <v>0</v>
      </c>
      <c r="T58" s="146">
        <f t="shared" si="11"/>
        <v>0</v>
      </c>
      <c r="U58" s="146">
        <f t="shared" si="11"/>
        <v>0</v>
      </c>
      <c r="V58" s="146">
        <f t="shared" si="11"/>
        <v>0</v>
      </c>
      <c r="W58" s="146">
        <f t="shared" si="11"/>
        <v>0</v>
      </c>
      <c r="X58" s="146">
        <f t="shared" si="11"/>
        <v>0</v>
      </c>
      <c r="Y58" s="146">
        <f t="shared" si="11"/>
        <v>0</v>
      </c>
    </row>
    <row r="59" spans="1:25" s="60" customFormat="1" x14ac:dyDescent="0.2">
      <c r="A59" s="117"/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</row>
    <row r="60" spans="1:25" ht="6" customHeight="1" x14ac:dyDescent="0.2">
      <c r="A60" s="157"/>
    </row>
    <row r="61" spans="1:25" x14ac:dyDescent="0.2">
      <c r="A61" s="114" t="s">
        <v>122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</row>
    <row r="62" spans="1:25" ht="6" customHeight="1" x14ac:dyDescent="0.2">
      <c r="A62" s="157" t="s">
        <v>121</v>
      </c>
    </row>
    <row r="63" spans="1:25" x14ac:dyDescent="0.2">
      <c r="A63" s="114" t="s">
        <v>297</v>
      </c>
      <c r="B63" s="163">
        <f t="shared" ref="B63:Y63" si="12">B64+B70+B73+B74+B78+B81+B82+B83+B84</f>
        <v>8293530</v>
      </c>
      <c r="C63" s="163">
        <f t="shared" si="12"/>
        <v>8823293</v>
      </c>
      <c r="D63" s="163">
        <f t="shared" si="12"/>
        <v>8279891</v>
      </c>
      <c r="E63" s="163">
        <f t="shared" si="12"/>
        <v>8771334</v>
      </c>
      <c r="F63" s="163">
        <f t="shared" si="12"/>
        <v>8688149</v>
      </c>
      <c r="G63" s="163">
        <f t="shared" si="12"/>
        <v>9362255</v>
      </c>
      <c r="H63" s="163">
        <f t="shared" si="12"/>
        <v>9741258</v>
      </c>
      <c r="I63" s="163">
        <f t="shared" si="12"/>
        <v>10234642</v>
      </c>
      <c r="J63" s="163">
        <f t="shared" si="12"/>
        <v>10776053</v>
      </c>
      <c r="K63" s="163">
        <f t="shared" si="12"/>
        <v>11968494</v>
      </c>
      <c r="L63" s="163">
        <f t="shared" si="12"/>
        <v>12036751</v>
      </c>
      <c r="M63" s="163">
        <f t="shared" si="12"/>
        <v>12511627</v>
      </c>
      <c r="N63" s="163">
        <f t="shared" si="12"/>
        <v>13109926</v>
      </c>
      <c r="O63" s="163">
        <f t="shared" si="12"/>
        <v>14519727</v>
      </c>
      <c r="P63" s="163">
        <f t="shared" si="12"/>
        <v>15035967</v>
      </c>
      <c r="Q63" s="163">
        <f t="shared" si="12"/>
        <v>16437741</v>
      </c>
      <c r="R63" s="163">
        <f t="shared" si="12"/>
        <v>0</v>
      </c>
      <c r="S63" s="163">
        <f t="shared" si="12"/>
        <v>0</v>
      </c>
      <c r="T63" s="163">
        <f t="shared" si="12"/>
        <v>0</v>
      </c>
      <c r="U63" s="163">
        <f t="shared" si="12"/>
        <v>0</v>
      </c>
      <c r="V63" s="163">
        <f t="shared" si="12"/>
        <v>0</v>
      </c>
      <c r="W63" s="163">
        <f t="shared" si="12"/>
        <v>0</v>
      </c>
      <c r="X63" s="163">
        <f t="shared" si="12"/>
        <v>0</v>
      </c>
      <c r="Y63" s="163">
        <f t="shared" si="12"/>
        <v>0</v>
      </c>
    </row>
    <row r="64" spans="1:25" s="60" customFormat="1" x14ac:dyDescent="0.2">
      <c r="A64" s="157" t="s">
        <v>298</v>
      </c>
      <c r="B64" s="164">
        <f>SUM(B65:B69)</f>
        <v>6674461</v>
      </c>
      <c r="C64" s="164">
        <f t="shared" ref="C64:Y64" si="13">SUM(C65:C69)</f>
        <v>7409235</v>
      </c>
      <c r="D64" s="164">
        <f t="shared" si="13"/>
        <v>7611601</v>
      </c>
      <c r="E64" s="164">
        <f t="shared" si="13"/>
        <v>8035003</v>
      </c>
      <c r="F64" s="164">
        <f t="shared" si="13"/>
        <v>7933861</v>
      </c>
      <c r="G64" s="164">
        <f t="shared" si="13"/>
        <v>8688226</v>
      </c>
      <c r="H64" s="164">
        <f t="shared" si="13"/>
        <v>9069616</v>
      </c>
      <c r="I64" s="164">
        <f t="shared" si="13"/>
        <v>9231014</v>
      </c>
      <c r="J64" s="164">
        <f t="shared" si="13"/>
        <v>9527591</v>
      </c>
      <c r="K64" s="164">
        <f t="shared" si="13"/>
        <v>10274519</v>
      </c>
      <c r="L64" s="164">
        <f t="shared" si="13"/>
        <v>10332640</v>
      </c>
      <c r="M64" s="164">
        <f t="shared" si="13"/>
        <v>10841812</v>
      </c>
      <c r="N64" s="164">
        <f t="shared" si="13"/>
        <v>11370138</v>
      </c>
      <c r="O64" s="164">
        <f t="shared" si="13"/>
        <v>12629285</v>
      </c>
      <c r="P64" s="164">
        <f t="shared" si="13"/>
        <v>13321873</v>
      </c>
      <c r="Q64" s="164">
        <f t="shared" si="13"/>
        <v>13897527</v>
      </c>
      <c r="R64" s="164">
        <f t="shared" si="13"/>
        <v>0</v>
      </c>
      <c r="S64" s="164">
        <f t="shared" si="13"/>
        <v>0</v>
      </c>
      <c r="T64" s="164">
        <f t="shared" si="13"/>
        <v>0</v>
      </c>
      <c r="U64" s="164">
        <f t="shared" si="13"/>
        <v>0</v>
      </c>
      <c r="V64" s="164">
        <f t="shared" si="13"/>
        <v>0</v>
      </c>
      <c r="W64" s="164">
        <f t="shared" si="13"/>
        <v>0</v>
      </c>
      <c r="X64" s="164">
        <f t="shared" si="13"/>
        <v>0</v>
      </c>
      <c r="Y64" s="164">
        <f t="shared" si="13"/>
        <v>0</v>
      </c>
    </row>
    <row r="65" spans="1:25" x14ac:dyDescent="0.2">
      <c r="A65" s="161" t="s">
        <v>272</v>
      </c>
      <c r="B65" s="147">
        <v>322715</v>
      </c>
      <c r="C65" s="147">
        <v>399125</v>
      </c>
      <c r="D65" s="147">
        <v>389805</v>
      </c>
      <c r="E65" s="147">
        <v>443055</v>
      </c>
      <c r="F65" s="147">
        <v>456121</v>
      </c>
      <c r="G65" s="147">
        <v>494062</v>
      </c>
      <c r="H65" s="147">
        <v>444334</v>
      </c>
      <c r="I65" s="147">
        <v>480750</v>
      </c>
      <c r="J65" s="147">
        <v>497008</v>
      </c>
      <c r="K65" s="147">
        <v>513369</v>
      </c>
      <c r="L65" s="147">
        <v>541721</v>
      </c>
      <c r="M65" s="147">
        <v>542847</v>
      </c>
      <c r="N65" s="147">
        <v>526843</v>
      </c>
      <c r="O65" s="147">
        <v>583504</v>
      </c>
      <c r="P65" s="147">
        <v>582982</v>
      </c>
      <c r="Q65" s="147">
        <v>625209</v>
      </c>
      <c r="R65" s="147">
        <v>0</v>
      </c>
      <c r="S65" s="147">
        <v>0</v>
      </c>
      <c r="T65" s="147">
        <v>0</v>
      </c>
      <c r="U65" s="147">
        <v>0</v>
      </c>
      <c r="V65" s="147">
        <v>0</v>
      </c>
      <c r="W65" s="147">
        <v>0</v>
      </c>
      <c r="X65" s="147">
        <v>0</v>
      </c>
      <c r="Y65" s="147">
        <v>0</v>
      </c>
    </row>
    <row r="66" spans="1:25" x14ac:dyDescent="0.2">
      <c r="A66" s="161" t="s">
        <v>273</v>
      </c>
      <c r="B66" s="147">
        <v>201079</v>
      </c>
      <c r="C66" s="147">
        <v>222429</v>
      </c>
      <c r="D66" s="147">
        <v>233045</v>
      </c>
      <c r="E66" s="147">
        <v>232987</v>
      </c>
      <c r="F66" s="147">
        <v>231896</v>
      </c>
      <c r="G66" s="147">
        <v>238444</v>
      </c>
      <c r="H66" s="147">
        <v>226583</v>
      </c>
      <c r="I66" s="147">
        <v>226084</v>
      </c>
      <c r="J66" s="147">
        <v>218273</v>
      </c>
      <c r="K66" s="147">
        <v>220749</v>
      </c>
      <c r="L66" s="147">
        <v>202442</v>
      </c>
      <c r="M66" s="147">
        <v>196467</v>
      </c>
      <c r="N66" s="147">
        <v>184707</v>
      </c>
      <c r="O66" s="147">
        <v>173091</v>
      </c>
      <c r="P66" s="147">
        <v>165378</v>
      </c>
      <c r="Q66" s="147">
        <v>155764</v>
      </c>
      <c r="R66" s="147">
        <v>0</v>
      </c>
      <c r="S66" s="147">
        <v>0</v>
      </c>
      <c r="T66" s="147">
        <v>0</v>
      </c>
      <c r="U66" s="147">
        <v>0</v>
      </c>
      <c r="V66" s="147">
        <v>0</v>
      </c>
      <c r="W66" s="147">
        <v>0</v>
      </c>
      <c r="X66" s="147">
        <v>0</v>
      </c>
      <c r="Y66" s="147">
        <v>0</v>
      </c>
    </row>
    <row r="67" spans="1:25" x14ac:dyDescent="0.2">
      <c r="A67" s="161" t="s">
        <v>274</v>
      </c>
      <c r="B67" s="147">
        <v>96853</v>
      </c>
      <c r="C67" s="147">
        <v>116902</v>
      </c>
      <c r="D67" s="147">
        <v>26474</v>
      </c>
      <c r="E67" s="147">
        <v>26753</v>
      </c>
      <c r="F67" s="147">
        <v>67840</v>
      </c>
      <c r="G67" s="147">
        <v>198628</v>
      </c>
      <c r="H67" s="147">
        <v>229842</v>
      </c>
      <c r="I67" s="147">
        <v>235048</v>
      </c>
      <c r="J67" s="147">
        <v>188481</v>
      </c>
      <c r="K67" s="147">
        <v>195074</v>
      </c>
      <c r="L67" s="147">
        <v>139047</v>
      </c>
      <c r="M67" s="147">
        <v>148436</v>
      </c>
      <c r="N67" s="147">
        <v>365141</v>
      </c>
      <c r="O67" s="147">
        <v>461098</v>
      </c>
      <c r="P67" s="147">
        <v>535691</v>
      </c>
      <c r="Q67" s="147">
        <v>549906</v>
      </c>
      <c r="R67" s="147">
        <v>0</v>
      </c>
      <c r="S67" s="147">
        <v>0</v>
      </c>
      <c r="T67" s="147">
        <v>0</v>
      </c>
      <c r="U67" s="147">
        <v>0</v>
      </c>
      <c r="V67" s="147">
        <v>0</v>
      </c>
      <c r="W67" s="147">
        <v>0</v>
      </c>
      <c r="X67" s="147">
        <v>0</v>
      </c>
      <c r="Y67" s="147">
        <v>0</v>
      </c>
    </row>
    <row r="68" spans="1:25" x14ac:dyDescent="0.2">
      <c r="A68" s="161" t="s">
        <v>275</v>
      </c>
      <c r="B68" s="147">
        <v>6053814</v>
      </c>
      <c r="C68" s="147">
        <v>6670779</v>
      </c>
      <c r="D68" s="147">
        <v>6962277</v>
      </c>
      <c r="E68" s="147">
        <v>7332208</v>
      </c>
      <c r="F68" s="147">
        <v>7172921</v>
      </c>
      <c r="G68" s="147">
        <v>7751725</v>
      </c>
      <c r="H68" s="147">
        <v>8165726</v>
      </c>
      <c r="I68" s="147">
        <v>8285956</v>
      </c>
      <c r="J68" s="147">
        <v>8620937</v>
      </c>
      <c r="K68" s="147">
        <v>9344320</v>
      </c>
      <c r="L68" s="147">
        <v>9447053</v>
      </c>
      <c r="M68" s="147">
        <v>9946592</v>
      </c>
      <c r="N68" s="147">
        <v>10292482</v>
      </c>
      <c r="O68" s="147">
        <v>11410078</v>
      </c>
      <c r="P68" s="147">
        <v>12036557</v>
      </c>
      <c r="Q68" s="147">
        <v>12564331</v>
      </c>
      <c r="R68" s="147">
        <v>0</v>
      </c>
      <c r="S68" s="147">
        <v>0</v>
      </c>
      <c r="T68" s="147">
        <v>0</v>
      </c>
      <c r="U68" s="147">
        <v>0</v>
      </c>
      <c r="V68" s="147">
        <v>0</v>
      </c>
      <c r="W68" s="147">
        <v>0</v>
      </c>
      <c r="X68" s="147">
        <v>0</v>
      </c>
      <c r="Y68" s="147">
        <v>0</v>
      </c>
    </row>
    <row r="69" spans="1:25" x14ac:dyDescent="0.2">
      <c r="A69" s="161" t="s">
        <v>325</v>
      </c>
      <c r="B69" s="147">
        <v>0</v>
      </c>
      <c r="C69" s="147">
        <v>0</v>
      </c>
      <c r="D69" s="147">
        <v>0</v>
      </c>
      <c r="E69" s="147">
        <v>0</v>
      </c>
      <c r="F69" s="147">
        <v>5083</v>
      </c>
      <c r="G69" s="147">
        <v>5367</v>
      </c>
      <c r="H69" s="147">
        <v>3131</v>
      </c>
      <c r="I69" s="147">
        <v>3176</v>
      </c>
      <c r="J69" s="147">
        <v>2892</v>
      </c>
      <c r="K69" s="147">
        <v>1007</v>
      </c>
      <c r="L69" s="147">
        <v>2377</v>
      </c>
      <c r="M69" s="147">
        <v>7470</v>
      </c>
      <c r="N69" s="147">
        <v>965</v>
      </c>
      <c r="O69" s="147">
        <v>1514</v>
      </c>
      <c r="P69" s="147">
        <v>1265</v>
      </c>
      <c r="Q69" s="147">
        <v>2317</v>
      </c>
      <c r="R69" s="147"/>
      <c r="S69" s="147"/>
      <c r="T69" s="147"/>
      <c r="U69" s="147"/>
      <c r="V69" s="147"/>
      <c r="W69" s="147"/>
      <c r="X69" s="147"/>
      <c r="Y69" s="147"/>
    </row>
    <row r="70" spans="1:25" x14ac:dyDescent="0.2">
      <c r="A70" s="157" t="s">
        <v>299</v>
      </c>
      <c r="B70" s="162">
        <f t="shared" ref="B70:M70" si="14">B72</f>
        <v>297751</v>
      </c>
      <c r="C70" s="162">
        <f t="shared" si="14"/>
        <v>100903</v>
      </c>
      <c r="D70" s="162">
        <f t="shared" si="14"/>
        <v>65902</v>
      </c>
      <c r="E70" s="162">
        <f t="shared" si="14"/>
        <v>146853</v>
      </c>
      <c r="F70" s="162">
        <f t="shared" si="14"/>
        <v>169896</v>
      </c>
      <c r="G70" s="162">
        <f t="shared" si="14"/>
        <v>74108</v>
      </c>
      <c r="H70" s="162">
        <f t="shared" si="14"/>
        <v>71416</v>
      </c>
      <c r="I70" s="162">
        <f t="shared" si="14"/>
        <v>106216</v>
      </c>
      <c r="J70" s="162">
        <f t="shared" si="14"/>
        <v>70020</v>
      </c>
      <c r="K70" s="162">
        <f t="shared" si="14"/>
        <v>51357</v>
      </c>
      <c r="L70" s="162">
        <f t="shared" si="14"/>
        <v>59371</v>
      </c>
      <c r="M70" s="162">
        <f t="shared" si="14"/>
        <v>30762</v>
      </c>
      <c r="N70" s="162">
        <f>N72+N71</f>
        <v>16759</v>
      </c>
      <c r="O70" s="162">
        <f t="shared" ref="O70:Y70" si="15">O72+O71</f>
        <v>196278</v>
      </c>
      <c r="P70" s="162">
        <f t="shared" si="15"/>
        <v>23361</v>
      </c>
      <c r="Q70" s="162">
        <f t="shared" si="15"/>
        <v>61788</v>
      </c>
      <c r="R70" s="162">
        <f t="shared" si="15"/>
        <v>0</v>
      </c>
      <c r="S70" s="162">
        <f t="shared" si="15"/>
        <v>0</v>
      </c>
      <c r="T70" s="162">
        <f t="shared" si="15"/>
        <v>0</v>
      </c>
      <c r="U70" s="162">
        <f t="shared" si="15"/>
        <v>0</v>
      </c>
      <c r="V70" s="162">
        <f t="shared" si="15"/>
        <v>0</v>
      </c>
      <c r="W70" s="162">
        <f t="shared" si="15"/>
        <v>0</v>
      </c>
      <c r="X70" s="162">
        <f t="shared" si="15"/>
        <v>0</v>
      </c>
      <c r="Y70" s="162">
        <f t="shared" si="15"/>
        <v>0</v>
      </c>
    </row>
    <row r="71" spans="1:25" x14ac:dyDescent="0.2">
      <c r="A71" s="161" t="s">
        <v>261</v>
      </c>
      <c r="B71" s="147">
        <v>0</v>
      </c>
      <c r="C71" s="147">
        <v>0</v>
      </c>
      <c r="D71" s="147">
        <v>0</v>
      </c>
      <c r="E71" s="147">
        <v>0</v>
      </c>
      <c r="F71" s="147">
        <v>0</v>
      </c>
      <c r="G71" s="147">
        <v>0</v>
      </c>
      <c r="H71" s="147">
        <v>0</v>
      </c>
      <c r="I71" s="147">
        <v>0</v>
      </c>
      <c r="J71" s="147">
        <v>0</v>
      </c>
      <c r="K71" s="147">
        <v>0</v>
      </c>
      <c r="L71" s="147">
        <v>0</v>
      </c>
      <c r="M71" s="147">
        <v>0</v>
      </c>
      <c r="N71" s="147">
        <v>2057</v>
      </c>
      <c r="O71" s="147">
        <v>0</v>
      </c>
      <c r="P71" s="147">
        <v>0</v>
      </c>
      <c r="Q71" s="147">
        <v>0</v>
      </c>
      <c r="R71" s="147"/>
      <c r="S71" s="147"/>
      <c r="T71" s="147"/>
      <c r="U71" s="147"/>
      <c r="V71" s="147"/>
      <c r="W71" s="147"/>
      <c r="X71" s="147"/>
      <c r="Y71" s="147"/>
    </row>
    <row r="72" spans="1:25" x14ac:dyDescent="0.2">
      <c r="A72" s="161" t="s">
        <v>276</v>
      </c>
      <c r="B72" s="147">
        <v>297751</v>
      </c>
      <c r="C72" s="147">
        <v>100903</v>
      </c>
      <c r="D72" s="147">
        <v>65902</v>
      </c>
      <c r="E72" s="147">
        <v>146853</v>
      </c>
      <c r="F72" s="147">
        <v>169896</v>
      </c>
      <c r="G72" s="147">
        <v>74108</v>
      </c>
      <c r="H72" s="147">
        <v>71416</v>
      </c>
      <c r="I72" s="147">
        <v>106216</v>
      </c>
      <c r="J72" s="147">
        <v>70020</v>
      </c>
      <c r="K72" s="147">
        <v>51357</v>
      </c>
      <c r="L72" s="147">
        <v>59371</v>
      </c>
      <c r="M72" s="147">
        <v>30762</v>
      </c>
      <c r="N72" s="147">
        <v>14702</v>
      </c>
      <c r="O72" s="147">
        <v>196278</v>
      </c>
      <c r="P72" s="147">
        <v>23361</v>
      </c>
      <c r="Q72" s="147">
        <v>61788</v>
      </c>
      <c r="R72" s="147"/>
      <c r="S72" s="147"/>
      <c r="T72" s="147"/>
      <c r="U72" s="147"/>
      <c r="V72" s="147"/>
      <c r="W72" s="147"/>
      <c r="X72" s="147"/>
      <c r="Y72" s="147"/>
    </row>
    <row r="73" spans="1:25" x14ac:dyDescent="0.2">
      <c r="A73" s="157" t="s">
        <v>300</v>
      </c>
      <c r="B73" s="162">
        <v>154510</v>
      </c>
      <c r="C73" s="162">
        <v>105565</v>
      </c>
      <c r="D73" s="162">
        <v>86806</v>
      </c>
      <c r="E73" s="162">
        <v>88495</v>
      </c>
      <c r="F73" s="162">
        <v>84982</v>
      </c>
      <c r="G73" s="162">
        <v>77860</v>
      </c>
      <c r="H73" s="162">
        <v>73727</v>
      </c>
      <c r="I73" s="162">
        <v>92029</v>
      </c>
      <c r="J73" s="162">
        <v>116104</v>
      </c>
      <c r="K73" s="162">
        <v>126394</v>
      </c>
      <c r="L73" s="162">
        <v>126282</v>
      </c>
      <c r="M73" s="162">
        <v>120510</v>
      </c>
      <c r="N73" s="162">
        <v>115555</v>
      </c>
      <c r="O73" s="162">
        <v>116827</v>
      </c>
      <c r="P73" s="162">
        <v>113236</v>
      </c>
      <c r="Q73" s="162">
        <v>1149347</v>
      </c>
      <c r="R73" s="162">
        <v>0</v>
      </c>
      <c r="S73" s="162">
        <v>0</v>
      </c>
      <c r="T73" s="162">
        <v>0</v>
      </c>
      <c r="U73" s="162">
        <v>0</v>
      </c>
      <c r="V73" s="162">
        <v>0</v>
      </c>
      <c r="W73" s="162">
        <v>0</v>
      </c>
      <c r="X73" s="162">
        <v>0</v>
      </c>
      <c r="Y73" s="162">
        <v>0</v>
      </c>
    </row>
    <row r="74" spans="1:25" x14ac:dyDescent="0.2">
      <c r="A74" s="157" t="s">
        <v>290</v>
      </c>
      <c r="B74" s="162">
        <f>B75+B76+B77</f>
        <v>11236</v>
      </c>
      <c r="C74" s="162">
        <f t="shared" ref="C74:Y74" si="16">C75+C76+C77</f>
        <v>15367</v>
      </c>
      <c r="D74" s="162">
        <f t="shared" si="16"/>
        <v>56626</v>
      </c>
      <c r="E74" s="162">
        <f t="shared" si="16"/>
        <v>56271</v>
      </c>
      <c r="F74" s="162">
        <f t="shared" si="16"/>
        <v>70543</v>
      </c>
      <c r="G74" s="162">
        <f t="shared" si="16"/>
        <v>84546</v>
      </c>
      <c r="H74" s="162">
        <f t="shared" si="16"/>
        <v>87934</v>
      </c>
      <c r="I74" s="162">
        <f t="shared" si="16"/>
        <v>124225</v>
      </c>
      <c r="J74" s="162">
        <f t="shared" si="16"/>
        <v>98761</v>
      </c>
      <c r="K74" s="162">
        <f t="shared" si="16"/>
        <v>109383</v>
      </c>
      <c r="L74" s="162">
        <f t="shared" si="16"/>
        <v>111938</v>
      </c>
      <c r="M74" s="162">
        <f t="shared" si="16"/>
        <v>137157</v>
      </c>
      <c r="N74" s="162">
        <f t="shared" si="16"/>
        <v>136396</v>
      </c>
      <c r="O74" s="162">
        <f t="shared" si="16"/>
        <v>148043</v>
      </c>
      <c r="P74" s="162">
        <f t="shared" si="16"/>
        <v>216365</v>
      </c>
      <c r="Q74" s="162">
        <f t="shared" si="16"/>
        <v>83589</v>
      </c>
      <c r="R74" s="162">
        <f t="shared" si="16"/>
        <v>0</v>
      </c>
      <c r="S74" s="162">
        <f t="shared" si="16"/>
        <v>0</v>
      </c>
      <c r="T74" s="162">
        <f t="shared" si="16"/>
        <v>0</v>
      </c>
      <c r="U74" s="162">
        <f t="shared" si="16"/>
        <v>0</v>
      </c>
      <c r="V74" s="162">
        <f t="shared" si="16"/>
        <v>0</v>
      </c>
      <c r="W74" s="162">
        <f t="shared" si="16"/>
        <v>0</v>
      </c>
      <c r="X74" s="162">
        <f t="shared" si="16"/>
        <v>0</v>
      </c>
      <c r="Y74" s="162">
        <f t="shared" si="16"/>
        <v>0</v>
      </c>
    </row>
    <row r="75" spans="1:25" x14ac:dyDescent="0.2">
      <c r="A75" s="161" t="s">
        <v>277</v>
      </c>
      <c r="B75" s="147">
        <v>9325</v>
      </c>
      <c r="C75" s="147">
        <v>14200</v>
      </c>
      <c r="D75" s="147">
        <v>54084</v>
      </c>
      <c r="E75" s="147">
        <v>49304</v>
      </c>
      <c r="F75" s="147">
        <v>61587</v>
      </c>
      <c r="G75" s="147">
        <v>71736</v>
      </c>
      <c r="H75" s="147">
        <v>76909</v>
      </c>
      <c r="I75" s="147">
        <v>65027</v>
      </c>
      <c r="J75" s="147">
        <v>75841</v>
      </c>
      <c r="K75" s="147">
        <v>85889</v>
      </c>
      <c r="L75" s="147">
        <v>83167</v>
      </c>
      <c r="M75" s="147">
        <v>75061</v>
      </c>
      <c r="N75" s="147">
        <v>87918</v>
      </c>
      <c r="O75" s="147">
        <v>95286</v>
      </c>
      <c r="P75" s="147">
        <v>89880</v>
      </c>
      <c r="Q75" s="147">
        <v>78502</v>
      </c>
      <c r="R75" s="147"/>
      <c r="S75" s="147"/>
      <c r="T75" s="147"/>
      <c r="U75" s="147"/>
      <c r="V75" s="147"/>
      <c r="W75" s="147"/>
      <c r="X75" s="147"/>
      <c r="Y75" s="147"/>
    </row>
    <row r="76" spans="1:25" x14ac:dyDescent="0.2">
      <c r="A76" s="161" t="s">
        <v>320</v>
      </c>
      <c r="B76" s="147">
        <v>0</v>
      </c>
      <c r="C76" s="147">
        <v>0</v>
      </c>
      <c r="D76" s="147">
        <v>0</v>
      </c>
      <c r="E76" s="147">
        <v>4003</v>
      </c>
      <c r="F76" s="147">
        <v>2143</v>
      </c>
      <c r="G76" s="147">
        <v>0</v>
      </c>
      <c r="H76" s="147">
        <v>0</v>
      </c>
      <c r="I76" s="147">
        <v>30180</v>
      </c>
      <c r="J76" s="147">
        <v>0</v>
      </c>
      <c r="K76" s="147">
        <v>0</v>
      </c>
      <c r="L76" s="147">
        <v>13012</v>
      </c>
      <c r="M76" s="147">
        <v>26512</v>
      </c>
      <c r="N76" s="147">
        <v>10023</v>
      </c>
      <c r="O76" s="147">
        <v>50212</v>
      </c>
      <c r="P76" s="147">
        <v>123306</v>
      </c>
      <c r="Q76" s="147">
        <v>0</v>
      </c>
      <c r="R76" s="147"/>
      <c r="S76" s="147"/>
      <c r="T76" s="147"/>
      <c r="U76" s="147"/>
      <c r="V76" s="147"/>
      <c r="W76" s="147"/>
      <c r="X76" s="147"/>
      <c r="Y76" s="147"/>
    </row>
    <row r="77" spans="1:25" x14ac:dyDescent="0.2">
      <c r="A77" s="161" t="s">
        <v>265</v>
      </c>
      <c r="B77" s="147">
        <v>1911</v>
      </c>
      <c r="C77" s="147">
        <v>1167</v>
      </c>
      <c r="D77" s="147">
        <v>2542</v>
      </c>
      <c r="E77" s="147">
        <v>2964</v>
      </c>
      <c r="F77" s="147">
        <v>6813</v>
      </c>
      <c r="G77" s="147">
        <v>12810</v>
      </c>
      <c r="H77" s="147">
        <v>11025</v>
      </c>
      <c r="I77" s="147">
        <v>29018</v>
      </c>
      <c r="J77" s="147">
        <v>22920</v>
      </c>
      <c r="K77" s="147">
        <v>23494</v>
      </c>
      <c r="L77" s="147">
        <v>15759</v>
      </c>
      <c r="M77" s="147">
        <v>35584</v>
      </c>
      <c r="N77" s="147">
        <v>38455</v>
      </c>
      <c r="O77" s="147">
        <v>2545</v>
      </c>
      <c r="P77" s="147">
        <v>3179</v>
      </c>
      <c r="Q77" s="147">
        <v>5087</v>
      </c>
      <c r="R77" s="147"/>
      <c r="S77" s="147"/>
      <c r="T77" s="147"/>
      <c r="U77" s="147"/>
      <c r="V77" s="147"/>
      <c r="W77" s="147"/>
      <c r="X77" s="147"/>
      <c r="Y77" s="147"/>
    </row>
    <row r="78" spans="1:25" x14ac:dyDescent="0.2">
      <c r="A78" s="157" t="s">
        <v>292</v>
      </c>
      <c r="B78" s="162">
        <f t="shared" ref="B78:Y78" si="17">B79+B80</f>
        <v>4475</v>
      </c>
      <c r="C78" s="162">
        <f t="shared" si="17"/>
        <v>5487</v>
      </c>
      <c r="D78" s="162">
        <f t="shared" si="17"/>
        <v>15884</v>
      </c>
      <c r="E78" s="162">
        <f t="shared" si="17"/>
        <v>16758</v>
      </c>
      <c r="F78" s="162">
        <f t="shared" si="17"/>
        <v>3605</v>
      </c>
      <c r="G78" s="162">
        <f t="shared" si="17"/>
        <v>6059</v>
      </c>
      <c r="H78" s="162">
        <f t="shared" si="17"/>
        <v>3854</v>
      </c>
      <c r="I78" s="162">
        <f t="shared" si="17"/>
        <v>15670</v>
      </c>
      <c r="J78" s="162">
        <f t="shared" si="17"/>
        <v>2553</v>
      </c>
      <c r="K78" s="162">
        <f t="shared" si="17"/>
        <v>2959</v>
      </c>
      <c r="L78" s="162">
        <f t="shared" si="17"/>
        <v>2861</v>
      </c>
      <c r="M78" s="162">
        <f t="shared" si="17"/>
        <v>2873</v>
      </c>
      <c r="N78" s="162">
        <f t="shared" si="17"/>
        <v>3868</v>
      </c>
      <c r="O78" s="162">
        <f t="shared" si="17"/>
        <v>5182</v>
      </c>
      <c r="P78" s="162">
        <f t="shared" si="17"/>
        <v>2962</v>
      </c>
      <c r="Q78" s="162">
        <f t="shared" si="17"/>
        <v>17689</v>
      </c>
      <c r="R78" s="162">
        <f t="shared" si="17"/>
        <v>0</v>
      </c>
      <c r="S78" s="162">
        <f t="shared" si="17"/>
        <v>0</v>
      </c>
      <c r="T78" s="162">
        <f t="shared" si="17"/>
        <v>0</v>
      </c>
      <c r="U78" s="162">
        <f t="shared" si="17"/>
        <v>0</v>
      </c>
      <c r="V78" s="162">
        <f t="shared" si="17"/>
        <v>0</v>
      </c>
      <c r="W78" s="162">
        <f t="shared" si="17"/>
        <v>0</v>
      </c>
      <c r="X78" s="162">
        <f t="shared" si="17"/>
        <v>0</v>
      </c>
      <c r="Y78" s="162">
        <f t="shared" si="17"/>
        <v>0</v>
      </c>
    </row>
    <row r="79" spans="1:25" x14ac:dyDescent="0.2">
      <c r="A79" s="161" t="s">
        <v>278</v>
      </c>
      <c r="B79" s="147">
        <v>4475</v>
      </c>
      <c r="C79" s="147">
        <v>5487</v>
      </c>
      <c r="D79" s="147">
        <v>15675</v>
      </c>
      <c r="E79" s="147">
        <v>16758</v>
      </c>
      <c r="F79" s="147">
        <v>3605</v>
      </c>
      <c r="G79" s="147">
        <v>6059</v>
      </c>
      <c r="H79" s="147">
        <v>3854</v>
      </c>
      <c r="I79" s="147">
        <v>15670</v>
      </c>
      <c r="J79" s="147">
        <v>2553</v>
      </c>
      <c r="K79" s="147">
        <v>2948</v>
      </c>
      <c r="L79" s="147">
        <v>2861</v>
      </c>
      <c r="M79" s="147">
        <v>2873</v>
      </c>
      <c r="N79" s="147">
        <v>3801</v>
      </c>
      <c r="O79" s="147">
        <v>5171</v>
      </c>
      <c r="P79" s="147">
        <v>2962</v>
      </c>
      <c r="Q79" s="147">
        <v>17689</v>
      </c>
      <c r="R79" s="147"/>
      <c r="S79" s="147"/>
      <c r="T79" s="147"/>
      <c r="U79" s="147"/>
      <c r="V79" s="147"/>
      <c r="W79" s="147"/>
      <c r="X79" s="147"/>
      <c r="Y79" s="147"/>
    </row>
    <row r="80" spans="1:25" x14ac:dyDescent="0.2">
      <c r="A80" s="161" t="s">
        <v>266</v>
      </c>
      <c r="B80" s="147">
        <v>0</v>
      </c>
      <c r="C80" s="147">
        <v>0</v>
      </c>
      <c r="D80" s="147">
        <v>209</v>
      </c>
      <c r="E80" s="147">
        <v>0</v>
      </c>
      <c r="F80" s="147">
        <v>0</v>
      </c>
      <c r="G80" s="147">
        <v>0</v>
      </c>
      <c r="H80" s="147">
        <v>0</v>
      </c>
      <c r="I80" s="147">
        <v>0</v>
      </c>
      <c r="J80" s="147">
        <v>0</v>
      </c>
      <c r="K80" s="147">
        <v>11</v>
      </c>
      <c r="L80" s="147">
        <v>0</v>
      </c>
      <c r="M80" s="147">
        <v>0</v>
      </c>
      <c r="N80" s="147">
        <v>67</v>
      </c>
      <c r="O80" s="147">
        <v>11</v>
      </c>
      <c r="P80" s="147">
        <v>0</v>
      </c>
      <c r="Q80" s="147">
        <v>0</v>
      </c>
      <c r="R80" s="147"/>
      <c r="S80" s="147"/>
      <c r="T80" s="147"/>
      <c r="U80" s="147"/>
      <c r="V80" s="147"/>
      <c r="W80" s="147"/>
      <c r="X80" s="147"/>
      <c r="Y80" s="147"/>
    </row>
    <row r="81" spans="1:26" s="94" customFormat="1" x14ac:dyDescent="0.2">
      <c r="A81" s="157" t="s">
        <v>301</v>
      </c>
      <c r="B81" s="162">
        <v>19434</v>
      </c>
      <c r="C81" s="162">
        <v>14128</v>
      </c>
      <c r="D81" s="162">
        <v>9091</v>
      </c>
      <c r="E81" s="162">
        <v>0</v>
      </c>
      <c r="F81" s="162">
        <v>0</v>
      </c>
      <c r="G81" s="162">
        <v>0</v>
      </c>
      <c r="H81" s="162">
        <v>0</v>
      </c>
      <c r="I81" s="162">
        <v>226402</v>
      </c>
      <c r="J81" s="162">
        <v>494650</v>
      </c>
      <c r="K81" s="162">
        <v>895902</v>
      </c>
      <c r="L81" s="162">
        <v>822843</v>
      </c>
      <c r="M81" s="162">
        <v>752950</v>
      </c>
      <c r="N81" s="162">
        <v>662943</v>
      </c>
      <c r="O81" s="162">
        <v>597218</v>
      </c>
      <c r="P81" s="162">
        <v>518271</v>
      </c>
      <c r="Q81" s="162">
        <v>410656</v>
      </c>
      <c r="R81" s="162"/>
      <c r="S81" s="162"/>
      <c r="T81" s="162"/>
      <c r="U81" s="162"/>
      <c r="V81" s="162"/>
      <c r="W81" s="162"/>
      <c r="X81" s="162"/>
      <c r="Y81" s="162"/>
    </row>
    <row r="82" spans="1:26" s="94" customFormat="1" x14ac:dyDescent="0.2">
      <c r="A82" s="157" t="s">
        <v>302</v>
      </c>
      <c r="B82" s="162">
        <v>716527</v>
      </c>
      <c r="C82" s="162">
        <v>741010</v>
      </c>
      <c r="D82" s="162">
        <v>0</v>
      </c>
      <c r="E82" s="162">
        <v>0</v>
      </c>
      <c r="F82" s="162">
        <v>0</v>
      </c>
      <c r="G82" s="162">
        <v>0</v>
      </c>
      <c r="H82" s="162">
        <v>0</v>
      </c>
      <c r="I82" s="162">
        <v>0</v>
      </c>
      <c r="J82" s="162">
        <v>0</v>
      </c>
      <c r="K82" s="162">
        <v>0</v>
      </c>
      <c r="L82" s="162">
        <v>0</v>
      </c>
      <c r="M82" s="162">
        <v>0</v>
      </c>
      <c r="N82" s="162">
        <v>0</v>
      </c>
      <c r="O82" s="162">
        <v>0</v>
      </c>
      <c r="P82" s="162">
        <v>0</v>
      </c>
      <c r="Q82" s="162">
        <v>0</v>
      </c>
      <c r="R82" s="162"/>
      <c r="S82" s="162"/>
      <c r="T82" s="162"/>
      <c r="U82" s="162"/>
      <c r="V82" s="162"/>
      <c r="W82" s="162"/>
      <c r="X82" s="162"/>
      <c r="Y82" s="162"/>
    </row>
    <row r="83" spans="1:26" s="94" customFormat="1" x14ac:dyDescent="0.2">
      <c r="A83" s="157" t="s">
        <v>303</v>
      </c>
      <c r="B83" s="162">
        <v>403856</v>
      </c>
      <c r="C83" s="162">
        <v>411858</v>
      </c>
      <c r="D83" s="162">
        <v>416881</v>
      </c>
      <c r="E83" s="162">
        <v>417256</v>
      </c>
      <c r="F83" s="162">
        <v>420406</v>
      </c>
      <c r="G83" s="162">
        <v>425760</v>
      </c>
      <c r="H83" s="162">
        <v>430548</v>
      </c>
      <c r="I83" s="162">
        <v>435283</v>
      </c>
      <c r="J83" s="162">
        <v>460769</v>
      </c>
      <c r="K83" s="162">
        <v>501733</v>
      </c>
      <c r="L83" s="162">
        <v>575359</v>
      </c>
      <c r="M83" s="162">
        <v>621938</v>
      </c>
      <c r="N83" s="162">
        <v>801134</v>
      </c>
      <c r="O83" s="162">
        <v>817676</v>
      </c>
      <c r="P83" s="162">
        <v>831384</v>
      </c>
      <c r="Q83" s="162">
        <v>813457</v>
      </c>
      <c r="R83" s="162"/>
      <c r="S83" s="162"/>
      <c r="T83" s="162"/>
      <c r="U83" s="162"/>
      <c r="V83" s="162"/>
      <c r="W83" s="162"/>
      <c r="X83" s="162"/>
      <c r="Y83" s="162"/>
    </row>
    <row r="84" spans="1:26" s="82" customFormat="1" x14ac:dyDescent="0.2">
      <c r="A84" s="157" t="s">
        <v>366</v>
      </c>
      <c r="B84" s="149">
        <v>11280</v>
      </c>
      <c r="C84" s="149">
        <v>19740</v>
      </c>
      <c r="D84" s="149">
        <v>17100</v>
      </c>
      <c r="E84" s="149">
        <v>10698</v>
      </c>
      <c r="F84" s="149">
        <v>4856</v>
      </c>
      <c r="G84" s="149">
        <v>5696</v>
      </c>
      <c r="H84" s="149">
        <v>4163</v>
      </c>
      <c r="I84" s="149">
        <v>3803</v>
      </c>
      <c r="J84" s="149">
        <v>5605</v>
      </c>
      <c r="K84" s="149">
        <v>6247</v>
      </c>
      <c r="L84" s="149">
        <v>5457</v>
      </c>
      <c r="M84" s="149">
        <v>3625</v>
      </c>
      <c r="N84" s="149">
        <v>3133</v>
      </c>
      <c r="O84" s="149">
        <v>9218</v>
      </c>
      <c r="P84" s="149">
        <v>8515</v>
      </c>
      <c r="Q84" s="149">
        <v>3688</v>
      </c>
      <c r="R84" s="149">
        <v>0</v>
      </c>
      <c r="S84" s="149">
        <v>0</v>
      </c>
      <c r="T84" s="149">
        <v>0</v>
      </c>
      <c r="U84" s="149">
        <v>0</v>
      </c>
      <c r="V84" s="149">
        <v>0</v>
      </c>
      <c r="W84" s="149">
        <v>0</v>
      </c>
      <c r="X84" s="149">
        <v>0</v>
      </c>
      <c r="Y84" s="149">
        <v>0</v>
      </c>
      <c r="Z84" s="82" t="s">
        <v>119</v>
      </c>
    </row>
    <row r="85" spans="1:26" ht="6" customHeight="1" x14ac:dyDescent="0.2">
      <c r="A85" s="157"/>
    </row>
    <row r="86" spans="1:26" ht="12.75" customHeight="1" x14ac:dyDescent="0.2">
      <c r="A86" s="114" t="s">
        <v>306</v>
      </c>
      <c r="B86" s="163">
        <f t="shared" ref="B86:Y86" si="18">SUM(B87:B88)</f>
        <v>293697</v>
      </c>
      <c r="C86" s="163">
        <f t="shared" si="18"/>
        <v>291135</v>
      </c>
      <c r="D86" s="163">
        <f t="shared" si="18"/>
        <v>295411</v>
      </c>
      <c r="E86" s="163">
        <f t="shared" si="18"/>
        <v>286050</v>
      </c>
      <c r="F86" s="163">
        <f t="shared" si="18"/>
        <v>303097</v>
      </c>
      <c r="G86" s="163">
        <f t="shared" si="18"/>
        <v>287811</v>
      </c>
      <c r="H86" s="163">
        <f t="shared" si="18"/>
        <v>297135</v>
      </c>
      <c r="I86" s="163">
        <f t="shared" si="18"/>
        <v>280339</v>
      </c>
      <c r="J86" s="163">
        <f t="shared" si="18"/>
        <v>289749</v>
      </c>
      <c r="K86" s="163">
        <f t="shared" si="18"/>
        <v>287429</v>
      </c>
      <c r="L86" s="163">
        <f t="shared" si="18"/>
        <v>267707</v>
      </c>
      <c r="M86" s="163">
        <f t="shared" si="18"/>
        <v>270495</v>
      </c>
      <c r="N86" s="163">
        <f t="shared" si="18"/>
        <v>268507</v>
      </c>
      <c r="O86" s="163">
        <f t="shared" si="18"/>
        <v>268191</v>
      </c>
      <c r="P86" s="163">
        <f t="shared" si="18"/>
        <v>258457</v>
      </c>
      <c r="Q86" s="163">
        <f t="shared" si="18"/>
        <v>259185</v>
      </c>
      <c r="R86" s="163">
        <f t="shared" si="18"/>
        <v>0</v>
      </c>
      <c r="S86" s="163">
        <f t="shared" si="18"/>
        <v>0</v>
      </c>
      <c r="T86" s="163">
        <f t="shared" si="18"/>
        <v>0</v>
      </c>
      <c r="U86" s="163">
        <f t="shared" si="18"/>
        <v>0</v>
      </c>
      <c r="V86" s="163">
        <f t="shared" si="18"/>
        <v>0</v>
      </c>
      <c r="W86" s="163">
        <f t="shared" si="18"/>
        <v>0</v>
      </c>
      <c r="X86" s="163">
        <f t="shared" si="18"/>
        <v>0</v>
      </c>
      <c r="Y86" s="163">
        <f t="shared" si="18"/>
        <v>0</v>
      </c>
    </row>
    <row r="87" spans="1:26" ht="12.75" customHeight="1" x14ac:dyDescent="0.2">
      <c r="A87" s="157" t="s">
        <v>305</v>
      </c>
      <c r="B87" s="147">
        <v>293697</v>
      </c>
      <c r="C87" s="147">
        <v>291135</v>
      </c>
      <c r="D87" s="147">
        <v>295411</v>
      </c>
      <c r="E87" s="147">
        <v>286050</v>
      </c>
      <c r="F87" s="147">
        <v>303097</v>
      </c>
      <c r="G87" s="147">
        <v>287811</v>
      </c>
      <c r="H87" s="147">
        <v>297135</v>
      </c>
      <c r="I87" s="147">
        <v>280339</v>
      </c>
      <c r="J87" s="147">
        <v>289749</v>
      </c>
      <c r="K87" s="147">
        <v>287429</v>
      </c>
      <c r="L87" s="147">
        <v>267707</v>
      </c>
      <c r="M87" s="147">
        <v>270495</v>
      </c>
      <c r="N87" s="147">
        <v>268507</v>
      </c>
      <c r="O87" s="147">
        <v>268191</v>
      </c>
      <c r="P87" s="147">
        <v>258457</v>
      </c>
      <c r="Q87" s="147">
        <v>259185</v>
      </c>
      <c r="R87" s="147">
        <v>0</v>
      </c>
      <c r="S87" s="147">
        <v>0</v>
      </c>
      <c r="T87" s="147">
        <v>0</v>
      </c>
      <c r="U87" s="147">
        <v>0</v>
      </c>
      <c r="V87" s="147">
        <v>0</v>
      </c>
      <c r="W87" s="147">
        <v>0</v>
      </c>
      <c r="X87" s="147">
        <v>0</v>
      </c>
      <c r="Y87" s="147">
        <v>0</v>
      </c>
    </row>
    <row r="88" spans="1:26" ht="6" customHeight="1" x14ac:dyDescent="0.2">
      <c r="A88" s="157"/>
    </row>
    <row r="89" spans="1:26" x14ac:dyDescent="0.2">
      <c r="A89" s="114" t="s">
        <v>304</v>
      </c>
      <c r="B89" s="163">
        <f t="shared" ref="B89:G89" si="19">B90+B91</f>
        <v>30951</v>
      </c>
      <c r="C89" s="163">
        <f t="shared" si="19"/>
        <v>39421</v>
      </c>
      <c r="D89" s="163">
        <f t="shared" si="19"/>
        <v>37583</v>
      </c>
      <c r="E89" s="163">
        <f t="shared" si="19"/>
        <v>46728</v>
      </c>
      <c r="F89" s="163">
        <f t="shared" si="19"/>
        <v>40419</v>
      </c>
      <c r="G89" s="163">
        <f t="shared" si="19"/>
        <v>41027</v>
      </c>
      <c r="H89" s="163">
        <f t="shared" ref="H89:Y89" si="20">H90+H91</f>
        <v>52043</v>
      </c>
      <c r="I89" s="163">
        <f t="shared" si="20"/>
        <v>49811</v>
      </c>
      <c r="J89" s="163">
        <f t="shared" si="20"/>
        <v>47857</v>
      </c>
      <c r="K89" s="163">
        <f t="shared" si="20"/>
        <v>48184</v>
      </c>
      <c r="L89" s="163">
        <f t="shared" si="20"/>
        <v>62754</v>
      </c>
      <c r="M89" s="163">
        <f t="shared" si="20"/>
        <v>55339</v>
      </c>
      <c r="N89" s="163">
        <f t="shared" si="20"/>
        <v>58132</v>
      </c>
      <c r="O89" s="163">
        <f t="shared" si="20"/>
        <v>101027</v>
      </c>
      <c r="P89" s="163">
        <f t="shared" si="20"/>
        <v>139572</v>
      </c>
      <c r="Q89" s="163">
        <f t="shared" si="20"/>
        <v>107520</v>
      </c>
      <c r="R89" s="163">
        <f t="shared" si="20"/>
        <v>0</v>
      </c>
      <c r="S89" s="163">
        <f t="shared" si="20"/>
        <v>0</v>
      </c>
      <c r="T89" s="163">
        <f t="shared" si="20"/>
        <v>0</v>
      </c>
      <c r="U89" s="163">
        <f t="shared" si="20"/>
        <v>0</v>
      </c>
      <c r="V89" s="163">
        <f t="shared" si="20"/>
        <v>0</v>
      </c>
      <c r="W89" s="163">
        <f t="shared" si="20"/>
        <v>0</v>
      </c>
      <c r="X89" s="163">
        <f t="shared" si="20"/>
        <v>0</v>
      </c>
      <c r="Y89" s="163">
        <f t="shared" si="20"/>
        <v>0</v>
      </c>
    </row>
    <row r="90" spans="1:26" x14ac:dyDescent="0.2">
      <c r="A90" s="157" t="s">
        <v>340</v>
      </c>
      <c r="B90" s="147">
        <v>24947</v>
      </c>
      <c r="C90" s="147">
        <v>27779</v>
      </c>
      <c r="D90" s="147">
        <v>30874</v>
      </c>
      <c r="E90" s="147">
        <v>39391</v>
      </c>
      <c r="F90" s="147">
        <v>37280</v>
      </c>
      <c r="G90" s="147">
        <v>37837</v>
      </c>
      <c r="H90" s="147">
        <v>46598</v>
      </c>
      <c r="I90" s="147">
        <v>42334</v>
      </c>
      <c r="J90" s="147">
        <v>37184</v>
      </c>
      <c r="K90" s="147">
        <v>38721</v>
      </c>
      <c r="L90" s="147">
        <v>50109</v>
      </c>
      <c r="M90" s="147">
        <v>50467</v>
      </c>
      <c r="N90" s="147">
        <v>50955</v>
      </c>
      <c r="O90" s="147">
        <v>55914</v>
      </c>
      <c r="P90" s="147">
        <v>58383</v>
      </c>
      <c r="Q90" s="147">
        <v>72947</v>
      </c>
      <c r="R90" s="147">
        <v>0</v>
      </c>
      <c r="S90" s="147">
        <v>0</v>
      </c>
      <c r="T90" s="147">
        <v>0</v>
      </c>
      <c r="U90" s="147">
        <v>0</v>
      </c>
      <c r="V90" s="147">
        <v>0</v>
      </c>
      <c r="W90" s="147">
        <v>0</v>
      </c>
      <c r="X90" s="147">
        <v>0</v>
      </c>
      <c r="Y90" s="147">
        <v>0</v>
      </c>
    </row>
    <row r="91" spans="1:26" x14ac:dyDescent="0.2">
      <c r="A91" s="157" t="s">
        <v>341</v>
      </c>
      <c r="B91" s="147">
        <v>6004</v>
      </c>
      <c r="C91" s="147">
        <v>11642</v>
      </c>
      <c r="D91" s="147">
        <v>6709</v>
      </c>
      <c r="E91" s="147">
        <v>7337</v>
      </c>
      <c r="F91" s="147">
        <v>3139</v>
      </c>
      <c r="G91" s="147">
        <v>3190</v>
      </c>
      <c r="H91" s="147">
        <v>5445</v>
      </c>
      <c r="I91" s="147">
        <v>7477</v>
      </c>
      <c r="J91" s="147">
        <v>10673</v>
      </c>
      <c r="K91" s="147">
        <v>9463</v>
      </c>
      <c r="L91" s="147">
        <v>12645</v>
      </c>
      <c r="M91" s="147">
        <v>4872</v>
      </c>
      <c r="N91" s="147">
        <v>7177</v>
      </c>
      <c r="O91" s="147">
        <v>45113</v>
      </c>
      <c r="P91" s="147">
        <v>81189</v>
      </c>
      <c r="Q91" s="147">
        <v>34573</v>
      </c>
      <c r="R91" s="147">
        <v>0</v>
      </c>
      <c r="S91" s="147">
        <v>0</v>
      </c>
      <c r="T91" s="147">
        <v>0</v>
      </c>
      <c r="U91" s="147">
        <v>0</v>
      </c>
      <c r="V91" s="147">
        <v>0</v>
      </c>
      <c r="W91" s="147">
        <v>0</v>
      </c>
      <c r="X91" s="147">
        <v>0</v>
      </c>
      <c r="Y91" s="147">
        <v>0</v>
      </c>
    </row>
    <row r="92" spans="1:26" ht="6" customHeight="1" x14ac:dyDescent="0.2">
      <c r="A92" s="157"/>
    </row>
    <row r="93" spans="1:26" x14ac:dyDescent="0.2">
      <c r="A93" s="114" t="s">
        <v>307</v>
      </c>
      <c r="B93" s="163">
        <v>489456</v>
      </c>
      <c r="C93" s="163">
        <v>592332</v>
      </c>
      <c r="D93" s="163">
        <v>518498</v>
      </c>
      <c r="E93" s="163">
        <v>580032</v>
      </c>
      <c r="F93" s="163">
        <v>614055</v>
      </c>
      <c r="G93" s="163">
        <v>726439</v>
      </c>
      <c r="H93" s="163">
        <v>701861</v>
      </c>
      <c r="I93" s="163">
        <v>687105</v>
      </c>
      <c r="J93" s="163">
        <v>704634</v>
      </c>
      <c r="K93" s="163">
        <v>794767</v>
      </c>
      <c r="L93" s="163">
        <v>688359</v>
      </c>
      <c r="M93" s="163">
        <v>691426</v>
      </c>
      <c r="N93" s="163">
        <v>694853</v>
      </c>
      <c r="O93" s="163">
        <v>802043</v>
      </c>
      <c r="P93" s="163">
        <v>754818</v>
      </c>
      <c r="Q93" s="163">
        <v>884141</v>
      </c>
      <c r="R93" s="163">
        <v>0</v>
      </c>
      <c r="S93" s="163">
        <v>0</v>
      </c>
      <c r="T93" s="163">
        <v>0</v>
      </c>
      <c r="U93" s="163">
        <v>0</v>
      </c>
      <c r="V93" s="163">
        <v>0</v>
      </c>
      <c r="W93" s="163">
        <v>0</v>
      </c>
      <c r="X93" s="163">
        <v>0</v>
      </c>
      <c r="Y93" s="163">
        <v>0</v>
      </c>
    </row>
    <row r="94" spans="1:26" ht="6" customHeight="1" x14ac:dyDescent="0.2">
      <c r="A94" s="157"/>
    </row>
    <row r="95" spans="1:26" x14ac:dyDescent="0.2">
      <c r="A95" s="114" t="s">
        <v>279</v>
      </c>
      <c r="B95" s="163">
        <v>318</v>
      </c>
      <c r="C95" s="163">
        <v>258</v>
      </c>
      <c r="D95" s="163">
        <v>303</v>
      </c>
      <c r="E95" s="163">
        <v>312</v>
      </c>
      <c r="F95" s="163">
        <v>288</v>
      </c>
      <c r="G95" s="163">
        <v>250</v>
      </c>
      <c r="H95" s="163">
        <v>273</v>
      </c>
      <c r="I95" s="163">
        <v>0</v>
      </c>
      <c r="J95" s="163">
        <v>0</v>
      </c>
      <c r="K95" s="163">
        <v>0</v>
      </c>
      <c r="L95" s="163">
        <v>0</v>
      </c>
      <c r="M95" s="163">
        <v>0</v>
      </c>
      <c r="N95" s="163">
        <v>0</v>
      </c>
      <c r="O95" s="163">
        <v>0</v>
      </c>
      <c r="P95" s="163">
        <v>0</v>
      </c>
      <c r="Q95" s="163">
        <v>0</v>
      </c>
      <c r="R95" s="163">
        <v>0</v>
      </c>
      <c r="S95" s="163">
        <v>0</v>
      </c>
      <c r="T95" s="163">
        <v>0</v>
      </c>
      <c r="U95" s="163">
        <v>0</v>
      </c>
      <c r="V95" s="163">
        <v>0</v>
      </c>
      <c r="W95" s="163">
        <v>0</v>
      </c>
      <c r="X95" s="163">
        <v>0</v>
      </c>
      <c r="Y95" s="163">
        <v>0</v>
      </c>
    </row>
    <row r="96" spans="1:26" ht="6" customHeight="1" x14ac:dyDescent="0.2">
      <c r="A96" s="157"/>
    </row>
    <row r="97" spans="1:25" x14ac:dyDescent="0.2">
      <c r="A97" s="114" t="s">
        <v>280</v>
      </c>
      <c r="B97" s="163">
        <f t="shared" ref="B97:Y97" si="21">B98+B100+B101+B102+B103+B104+B99+B105</f>
        <v>979575</v>
      </c>
      <c r="C97" s="163">
        <f t="shared" si="21"/>
        <v>1000727</v>
      </c>
      <c r="D97" s="163">
        <f t="shared" si="21"/>
        <v>1026329</v>
      </c>
      <c r="E97" s="163">
        <f t="shared" si="21"/>
        <v>1033907</v>
      </c>
      <c r="F97" s="163">
        <f t="shared" si="21"/>
        <v>1084778</v>
      </c>
      <c r="G97" s="163">
        <f t="shared" si="21"/>
        <v>1113042</v>
      </c>
      <c r="H97" s="163">
        <f t="shared" si="21"/>
        <v>1158394</v>
      </c>
      <c r="I97" s="163">
        <f t="shared" si="21"/>
        <v>1171468</v>
      </c>
      <c r="J97" s="163">
        <f t="shared" si="21"/>
        <v>1222749</v>
      </c>
      <c r="K97" s="163">
        <f t="shared" si="21"/>
        <v>1249890</v>
      </c>
      <c r="L97" s="163">
        <f t="shared" si="21"/>
        <v>1274160</v>
      </c>
      <c r="M97" s="163">
        <f t="shared" si="21"/>
        <v>1319541</v>
      </c>
      <c r="N97" s="163">
        <f t="shared" si="21"/>
        <v>1357716</v>
      </c>
      <c r="O97" s="163">
        <f t="shared" si="21"/>
        <v>1424787</v>
      </c>
      <c r="P97" s="163">
        <f t="shared" si="21"/>
        <v>1497896</v>
      </c>
      <c r="Q97" s="163">
        <f t="shared" si="21"/>
        <v>1594295</v>
      </c>
      <c r="R97" s="163">
        <f t="shared" si="21"/>
        <v>0</v>
      </c>
      <c r="S97" s="163">
        <f t="shared" si="21"/>
        <v>0</v>
      </c>
      <c r="T97" s="163">
        <f t="shared" si="21"/>
        <v>0</v>
      </c>
      <c r="U97" s="163">
        <f t="shared" si="21"/>
        <v>0</v>
      </c>
      <c r="V97" s="163">
        <f t="shared" si="21"/>
        <v>0</v>
      </c>
      <c r="W97" s="163">
        <f t="shared" si="21"/>
        <v>0</v>
      </c>
      <c r="X97" s="163">
        <f t="shared" si="21"/>
        <v>0</v>
      </c>
      <c r="Y97" s="163">
        <f t="shared" si="21"/>
        <v>0</v>
      </c>
    </row>
    <row r="98" spans="1:25" s="94" customFormat="1" x14ac:dyDescent="0.2">
      <c r="A98" s="157" t="s">
        <v>308</v>
      </c>
      <c r="B98" s="165">
        <v>492708</v>
      </c>
      <c r="C98" s="165">
        <v>492708</v>
      </c>
      <c r="D98" s="165">
        <v>492708</v>
      </c>
      <c r="E98" s="165">
        <v>492708</v>
      </c>
      <c r="F98" s="165">
        <v>492708</v>
      </c>
      <c r="G98" s="165">
        <v>492708</v>
      </c>
      <c r="H98" s="165">
        <v>492708</v>
      </c>
      <c r="I98" s="165">
        <v>597540</v>
      </c>
      <c r="J98" s="165">
        <v>597540</v>
      </c>
      <c r="K98" s="165">
        <v>597540</v>
      </c>
      <c r="L98" s="165">
        <v>597540</v>
      </c>
      <c r="M98" s="165">
        <v>597540</v>
      </c>
      <c r="N98" s="165">
        <v>597540</v>
      </c>
      <c r="O98" s="165">
        <v>702372</v>
      </c>
      <c r="P98" s="165">
        <v>702372</v>
      </c>
      <c r="Q98" s="165">
        <v>702372</v>
      </c>
      <c r="R98" s="165">
        <v>0</v>
      </c>
      <c r="S98" s="165">
        <v>0</v>
      </c>
      <c r="T98" s="165">
        <v>0</v>
      </c>
      <c r="U98" s="165">
        <v>0</v>
      </c>
      <c r="V98" s="165">
        <v>0</v>
      </c>
      <c r="W98" s="165">
        <v>0</v>
      </c>
      <c r="X98" s="165">
        <v>0</v>
      </c>
      <c r="Y98" s="165">
        <v>0</v>
      </c>
    </row>
    <row r="99" spans="1:25" s="94" customFormat="1" x14ac:dyDescent="0.2">
      <c r="A99" s="157" t="s">
        <v>330</v>
      </c>
      <c r="B99" s="165">
        <v>0</v>
      </c>
      <c r="C99" s="165">
        <v>0</v>
      </c>
      <c r="D99" s="165">
        <v>0</v>
      </c>
      <c r="E99" s="165">
        <v>0</v>
      </c>
      <c r="F99" s="165">
        <v>0</v>
      </c>
      <c r="G99" s="165">
        <v>0</v>
      </c>
      <c r="H99" s="165">
        <v>0</v>
      </c>
      <c r="I99" s="165">
        <v>-5614</v>
      </c>
      <c r="J99" s="165">
        <v>-3974</v>
      </c>
      <c r="K99" s="165">
        <v>-3830</v>
      </c>
      <c r="L99" s="165">
        <v>-3830</v>
      </c>
      <c r="M99" s="165">
        <v>-3830</v>
      </c>
      <c r="N99" s="165">
        <v>-3830</v>
      </c>
      <c r="O99" s="165">
        <v>-3830</v>
      </c>
      <c r="P99" s="165">
        <v>-3830</v>
      </c>
      <c r="Q99" s="165">
        <v>-3830</v>
      </c>
      <c r="R99" s="165"/>
      <c r="S99" s="165"/>
      <c r="T99" s="165"/>
      <c r="U99" s="165"/>
      <c r="V99" s="165"/>
      <c r="W99" s="165"/>
      <c r="X99" s="165"/>
      <c r="Y99" s="165"/>
    </row>
    <row r="100" spans="1:25" s="94" customFormat="1" x14ac:dyDescent="0.2">
      <c r="A100" s="157" t="s">
        <v>309</v>
      </c>
      <c r="B100" s="165">
        <v>43375</v>
      </c>
      <c r="C100" s="165">
        <v>43375</v>
      </c>
      <c r="D100" s="165">
        <v>43375</v>
      </c>
      <c r="E100" s="165">
        <v>43375</v>
      </c>
      <c r="F100" s="165">
        <v>43375</v>
      </c>
      <c r="G100" s="165">
        <v>43375</v>
      </c>
      <c r="H100" s="165">
        <v>43375</v>
      </c>
      <c r="I100" s="165">
        <v>43375</v>
      </c>
      <c r="J100" s="165">
        <v>43375</v>
      </c>
      <c r="K100" s="165">
        <v>43375</v>
      </c>
      <c r="L100" s="165">
        <v>43375</v>
      </c>
      <c r="M100" s="165">
        <v>43375</v>
      </c>
      <c r="N100" s="165">
        <v>43375</v>
      </c>
      <c r="O100" s="165">
        <v>43375</v>
      </c>
      <c r="P100" s="165">
        <v>43375</v>
      </c>
      <c r="Q100" s="165">
        <v>43375</v>
      </c>
      <c r="R100" s="165"/>
      <c r="S100" s="165"/>
      <c r="T100" s="165"/>
      <c r="U100" s="165"/>
      <c r="V100" s="165"/>
      <c r="W100" s="165"/>
      <c r="X100" s="165"/>
      <c r="Y100" s="165"/>
    </row>
    <row r="101" spans="1:25" s="94" customFormat="1" x14ac:dyDescent="0.2">
      <c r="A101" s="157" t="s">
        <v>310</v>
      </c>
      <c r="B101" s="165">
        <v>124</v>
      </c>
      <c r="C101" s="165">
        <v>122</v>
      </c>
      <c r="D101" s="165">
        <v>119</v>
      </c>
      <c r="E101" s="165">
        <v>117</v>
      </c>
      <c r="F101" s="165">
        <v>115</v>
      </c>
      <c r="G101" s="165">
        <v>113</v>
      </c>
      <c r="H101" s="165">
        <v>111</v>
      </c>
      <c r="I101" s="165">
        <v>108</v>
      </c>
      <c r="J101" s="165">
        <v>106</v>
      </c>
      <c r="K101" s="165">
        <v>104</v>
      </c>
      <c r="L101" s="165">
        <v>102</v>
      </c>
      <c r="M101" s="165">
        <v>100</v>
      </c>
      <c r="N101" s="165">
        <v>98</v>
      </c>
      <c r="O101" s="165">
        <v>96</v>
      </c>
      <c r="P101" s="165">
        <v>95</v>
      </c>
      <c r="Q101" s="165">
        <v>92</v>
      </c>
      <c r="R101" s="165"/>
      <c r="S101" s="165"/>
      <c r="T101" s="165"/>
      <c r="U101" s="165"/>
      <c r="V101" s="165"/>
      <c r="W101" s="165"/>
      <c r="X101" s="165"/>
      <c r="Y101" s="165"/>
    </row>
    <row r="102" spans="1:25" x14ac:dyDescent="0.2">
      <c r="A102" s="157" t="s">
        <v>311</v>
      </c>
      <c r="B102" s="165">
        <v>365958</v>
      </c>
      <c r="C102" s="165">
        <v>438511</v>
      </c>
      <c r="D102" s="165">
        <v>438511</v>
      </c>
      <c r="E102" s="165">
        <v>463107</v>
      </c>
      <c r="F102" s="165">
        <v>463107</v>
      </c>
      <c r="G102" s="165">
        <v>541621</v>
      </c>
      <c r="H102" s="165">
        <v>541621</v>
      </c>
      <c r="I102" s="165">
        <v>478082</v>
      </c>
      <c r="J102" s="165">
        <v>478011</v>
      </c>
      <c r="K102" s="165">
        <v>478002</v>
      </c>
      <c r="L102" s="165">
        <v>478002</v>
      </c>
      <c r="M102" s="165">
        <v>620624</v>
      </c>
      <c r="N102" s="165">
        <v>620624</v>
      </c>
      <c r="O102" s="165">
        <v>515792</v>
      </c>
      <c r="P102" s="165">
        <v>515792</v>
      </c>
      <c r="Q102" s="165">
        <v>806696</v>
      </c>
      <c r="R102" s="165">
        <v>0</v>
      </c>
      <c r="S102" s="165">
        <v>0</v>
      </c>
      <c r="T102" s="165">
        <v>0</v>
      </c>
      <c r="U102" s="165">
        <v>0</v>
      </c>
      <c r="V102" s="165">
        <v>0</v>
      </c>
      <c r="W102" s="165">
        <v>0</v>
      </c>
      <c r="X102" s="165">
        <v>0</v>
      </c>
      <c r="Y102" s="165">
        <v>0</v>
      </c>
    </row>
    <row r="103" spans="1:25" x14ac:dyDescent="0.2">
      <c r="A103" s="157" t="s">
        <v>312</v>
      </c>
      <c r="B103" s="165">
        <v>-14820</v>
      </c>
      <c r="C103" s="165">
        <v>-19695</v>
      </c>
      <c r="D103" s="165">
        <v>-21615</v>
      </c>
      <c r="E103" s="165">
        <v>-11339</v>
      </c>
      <c r="F103" s="165">
        <v>-11602</v>
      </c>
      <c r="G103" s="165">
        <v>-10339</v>
      </c>
      <c r="H103" s="165">
        <v>-5109</v>
      </c>
      <c r="I103" s="165">
        <v>11000</v>
      </c>
      <c r="J103" s="165">
        <v>13368</v>
      </c>
      <c r="K103" s="165">
        <v>15695</v>
      </c>
      <c r="L103" s="165">
        <v>15983</v>
      </c>
      <c r="M103" s="165">
        <v>15201</v>
      </c>
      <c r="N103" s="165">
        <v>4764</v>
      </c>
      <c r="O103" s="165">
        <v>4500</v>
      </c>
      <c r="P103" s="165">
        <v>4766</v>
      </c>
      <c r="Q103" s="165">
        <v>4348</v>
      </c>
      <c r="R103" s="165">
        <v>0</v>
      </c>
      <c r="S103" s="165">
        <v>0</v>
      </c>
      <c r="T103" s="165">
        <v>0</v>
      </c>
      <c r="U103" s="165">
        <v>0</v>
      </c>
      <c r="V103" s="165">
        <v>0</v>
      </c>
      <c r="W103" s="165">
        <v>0</v>
      </c>
      <c r="X103" s="165">
        <v>0</v>
      </c>
      <c r="Y103" s="165">
        <v>0</v>
      </c>
    </row>
    <row r="104" spans="1:25" s="94" customFormat="1" x14ac:dyDescent="0.2">
      <c r="A104" s="157" t="s">
        <v>313</v>
      </c>
      <c r="B104" s="165">
        <v>46934</v>
      </c>
      <c r="C104" s="165">
        <v>0</v>
      </c>
      <c r="D104" s="165">
        <v>27180</v>
      </c>
      <c r="E104" s="165">
        <v>0</v>
      </c>
      <c r="F104" s="165">
        <v>51243</v>
      </c>
      <c r="G104" s="165">
        <v>0</v>
      </c>
      <c r="H104" s="165">
        <v>40130</v>
      </c>
      <c r="I104" s="165">
        <v>0</v>
      </c>
      <c r="J104" s="165">
        <v>47119</v>
      </c>
      <c r="K104" s="165">
        <v>71813</v>
      </c>
      <c r="L104" s="165">
        <v>96280</v>
      </c>
      <c r="M104" s="165">
        <v>0</v>
      </c>
      <c r="N104" s="165">
        <v>48441</v>
      </c>
      <c r="O104" s="165">
        <v>119714</v>
      </c>
      <c r="P104" s="165">
        <v>192417</v>
      </c>
      <c r="Q104" s="165">
        <v>0</v>
      </c>
      <c r="R104" s="165"/>
      <c r="S104" s="165"/>
      <c r="T104" s="165"/>
      <c r="U104" s="165"/>
      <c r="V104" s="165"/>
      <c r="W104" s="165"/>
      <c r="X104" s="165"/>
      <c r="Y104" s="165"/>
    </row>
    <row r="105" spans="1:25" s="94" customFormat="1" x14ac:dyDescent="0.2">
      <c r="A105" s="157" t="s">
        <v>314</v>
      </c>
      <c r="B105" s="165">
        <v>45296</v>
      </c>
      <c r="C105" s="165">
        <v>45706</v>
      </c>
      <c r="D105" s="165">
        <v>46051</v>
      </c>
      <c r="E105" s="165">
        <v>45939</v>
      </c>
      <c r="F105" s="165">
        <v>45832</v>
      </c>
      <c r="G105" s="165">
        <v>45564</v>
      </c>
      <c r="H105" s="165">
        <v>45558</v>
      </c>
      <c r="I105" s="165">
        <v>46977</v>
      </c>
      <c r="J105" s="165">
        <v>47204</v>
      </c>
      <c r="K105" s="165">
        <v>47191</v>
      </c>
      <c r="L105" s="165">
        <v>46708</v>
      </c>
      <c r="M105" s="165">
        <v>46531</v>
      </c>
      <c r="N105" s="165">
        <v>46704</v>
      </c>
      <c r="O105" s="165">
        <v>42768</v>
      </c>
      <c r="P105" s="165">
        <v>42909</v>
      </c>
      <c r="Q105" s="165">
        <v>41242</v>
      </c>
      <c r="R105" s="165"/>
      <c r="S105" s="165"/>
      <c r="T105" s="165"/>
      <c r="U105" s="165"/>
      <c r="V105" s="165"/>
      <c r="W105" s="165"/>
      <c r="X105" s="165"/>
      <c r="Y105" s="165"/>
    </row>
    <row r="106" spans="1:25" ht="6" customHeight="1" thickBot="1" x14ac:dyDescent="0.25">
      <c r="A106" s="157"/>
    </row>
    <row r="107" spans="1:25" ht="13.5" thickBot="1" x14ac:dyDescent="0.25">
      <c r="A107" s="169" t="s">
        <v>163</v>
      </c>
      <c r="B107" s="170">
        <f t="shared" ref="B107:Y107" si="22">B63+B86+B89+B93+B95+B97</f>
        <v>10087527</v>
      </c>
      <c r="C107" s="170">
        <f t="shared" si="22"/>
        <v>10747166</v>
      </c>
      <c r="D107" s="170">
        <f t="shared" si="22"/>
        <v>10158015</v>
      </c>
      <c r="E107" s="170">
        <f t="shared" si="22"/>
        <v>10718363</v>
      </c>
      <c r="F107" s="170">
        <f t="shared" si="22"/>
        <v>10730786</v>
      </c>
      <c r="G107" s="170">
        <f t="shared" si="22"/>
        <v>11530824</v>
      </c>
      <c r="H107" s="170">
        <f t="shared" si="22"/>
        <v>11950964</v>
      </c>
      <c r="I107" s="170">
        <f t="shared" si="22"/>
        <v>12423365</v>
      </c>
      <c r="J107" s="170">
        <f t="shared" si="22"/>
        <v>13041042</v>
      </c>
      <c r="K107" s="170">
        <f t="shared" si="22"/>
        <v>14348764</v>
      </c>
      <c r="L107" s="170">
        <f t="shared" si="22"/>
        <v>14329731</v>
      </c>
      <c r="M107" s="170">
        <f t="shared" si="22"/>
        <v>14848428</v>
      </c>
      <c r="N107" s="170">
        <f t="shared" si="22"/>
        <v>15489134</v>
      </c>
      <c r="O107" s="170">
        <f t="shared" si="22"/>
        <v>17115775</v>
      </c>
      <c r="P107" s="170">
        <f t="shared" si="22"/>
        <v>17686710</v>
      </c>
      <c r="Q107" s="170">
        <f t="shared" si="22"/>
        <v>19282882</v>
      </c>
      <c r="R107" s="170">
        <f t="shared" si="22"/>
        <v>0</v>
      </c>
      <c r="S107" s="170">
        <f t="shared" si="22"/>
        <v>0</v>
      </c>
      <c r="T107" s="170">
        <f t="shared" si="22"/>
        <v>0</v>
      </c>
      <c r="U107" s="170">
        <f t="shared" si="22"/>
        <v>0</v>
      </c>
      <c r="V107" s="170">
        <f t="shared" si="22"/>
        <v>0</v>
      </c>
      <c r="W107" s="170">
        <f t="shared" si="22"/>
        <v>0</v>
      </c>
      <c r="X107" s="170">
        <f t="shared" si="22"/>
        <v>0</v>
      </c>
      <c r="Y107" s="170">
        <f t="shared" si="22"/>
        <v>0</v>
      </c>
    </row>
    <row r="108" spans="1:25" x14ac:dyDescent="0.2">
      <c r="B108" s="81">
        <f t="shared" ref="B108:Y108" si="23">B58-B107</f>
        <v>0</v>
      </c>
      <c r="C108" s="81">
        <f t="shared" si="23"/>
        <v>0</v>
      </c>
      <c r="D108" s="81">
        <f t="shared" si="23"/>
        <v>0</v>
      </c>
      <c r="E108" s="81">
        <f t="shared" si="23"/>
        <v>0</v>
      </c>
      <c r="F108" s="81">
        <f t="shared" si="23"/>
        <v>0</v>
      </c>
      <c r="G108" s="81">
        <f t="shared" si="23"/>
        <v>0</v>
      </c>
      <c r="H108" s="81">
        <f t="shared" si="23"/>
        <v>0</v>
      </c>
      <c r="I108" s="81">
        <f t="shared" si="23"/>
        <v>0</v>
      </c>
      <c r="J108" s="81">
        <f t="shared" si="23"/>
        <v>0</v>
      </c>
      <c r="K108" s="81">
        <f t="shared" si="23"/>
        <v>0</v>
      </c>
      <c r="L108" s="81">
        <f t="shared" si="23"/>
        <v>0</v>
      </c>
      <c r="M108" s="81">
        <f t="shared" si="23"/>
        <v>0</v>
      </c>
      <c r="N108" s="81">
        <f t="shared" si="23"/>
        <v>0</v>
      </c>
      <c r="O108" s="81">
        <f t="shared" si="23"/>
        <v>0</v>
      </c>
      <c r="P108" s="81">
        <f t="shared" si="23"/>
        <v>0</v>
      </c>
      <c r="Q108" s="81">
        <f>Q58-Q107</f>
        <v>0</v>
      </c>
      <c r="R108" s="81">
        <f t="shared" si="23"/>
        <v>0</v>
      </c>
      <c r="S108" s="81">
        <f t="shared" si="23"/>
        <v>0</v>
      </c>
      <c r="T108" s="81">
        <f t="shared" si="23"/>
        <v>0</v>
      </c>
      <c r="U108" s="81">
        <f t="shared" si="23"/>
        <v>0</v>
      </c>
      <c r="V108" s="81">
        <f t="shared" si="23"/>
        <v>0</v>
      </c>
      <c r="W108" s="81">
        <f t="shared" si="23"/>
        <v>0</v>
      </c>
      <c r="X108" s="81">
        <f t="shared" si="23"/>
        <v>0</v>
      </c>
      <c r="Y108" s="81">
        <f t="shared" si="23"/>
        <v>0</v>
      </c>
    </row>
  </sheetData>
  <hyperlinks>
    <hyperlink ref="R6" location="Índice!A1" display="Índice"/>
    <hyperlink ref="C6" location="Índice!A1" display="Índice"/>
  </hyperlinks>
  <pageMargins left="0.31496062992125984" right="0.31496062992125984" top="0.39370078740157483" bottom="0.39370078740157483" header="0.31496062992125984" footer="0.31496062992125984"/>
  <pageSetup paperSize="9" scale="41" orientation="landscape" r:id="rId1"/>
  <rowBreaks count="1" manualBreakCount="1">
    <brk id="5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Y60"/>
  <sheetViews>
    <sheetView showGridLines="0" zoomScaleNormal="100" workbookViewId="0">
      <pane xSplit="1" ySplit="9" topLeftCell="L10" activePane="bottomRight" state="frozen"/>
      <selection activeCell="C15" sqref="C15"/>
      <selection pane="topRight" activeCell="C15" sqref="C15"/>
      <selection pane="bottomLeft" activeCell="C15" sqref="C15"/>
      <selection pane="bottomRight"/>
    </sheetView>
  </sheetViews>
  <sheetFormatPr defaultColWidth="9.140625" defaultRowHeight="12.75" x14ac:dyDescent="0.2"/>
  <cols>
    <col min="1" max="1" width="70.7109375" style="55" customWidth="1"/>
    <col min="2" max="2" width="12" style="55" customWidth="1"/>
    <col min="3" max="3" width="13.28515625" style="55" bestFit="1" customWidth="1"/>
    <col min="4" max="10" width="11.5703125" style="55" bestFit="1" customWidth="1"/>
    <col min="11" max="12" width="11.5703125" style="55" customWidth="1"/>
    <col min="13" max="13" width="12" style="55" customWidth="1"/>
    <col min="14" max="14" width="11.5703125" style="55" customWidth="1"/>
    <col min="15" max="17" width="11.5703125" style="55" bestFit="1" customWidth="1"/>
    <col min="18" max="16384" width="9.140625" style="55"/>
  </cols>
  <sheetData>
    <row r="1" spans="1:25" ht="15" x14ac:dyDescent="0.25">
      <c r="A1" s="54"/>
    </row>
    <row r="2" spans="1:25" ht="15" x14ac:dyDescent="0.25">
      <c r="A2" s="56" t="s">
        <v>367</v>
      </c>
    </row>
    <row r="3" spans="1:25" ht="6.75" customHeight="1" x14ac:dyDescent="0.25">
      <c r="A3" s="57"/>
    </row>
    <row r="4" spans="1:25" ht="15" x14ac:dyDescent="0.25">
      <c r="A4" s="56" t="s">
        <v>12</v>
      </c>
    </row>
    <row r="5" spans="1:25" ht="6.75" customHeight="1" x14ac:dyDescent="0.25">
      <c r="A5" s="54"/>
    </row>
    <row r="6" spans="1:25" ht="15" x14ac:dyDescent="0.25">
      <c r="A6" s="58"/>
      <c r="B6" s="59" t="s">
        <v>13</v>
      </c>
      <c r="M6" s="59" t="s">
        <v>13</v>
      </c>
      <c r="N6" s="59"/>
    </row>
    <row r="7" spans="1:25" ht="17.25" customHeight="1" x14ac:dyDescent="0.2">
      <c r="A7" s="143" t="s">
        <v>360</v>
      </c>
    </row>
    <row r="8" spans="1:25" x14ac:dyDescent="0.2">
      <c r="A8" s="55" t="s">
        <v>16</v>
      </c>
    </row>
    <row r="9" spans="1:25" x14ac:dyDescent="0.2">
      <c r="A9" s="62"/>
      <c r="B9" s="62" t="s">
        <v>210</v>
      </c>
      <c r="C9" s="62" t="s">
        <v>211</v>
      </c>
      <c r="D9" s="62" t="s">
        <v>212</v>
      </c>
      <c r="E9" s="62" t="s">
        <v>213</v>
      </c>
      <c r="F9" s="62" t="s">
        <v>214</v>
      </c>
      <c r="G9" s="62" t="s">
        <v>215</v>
      </c>
      <c r="H9" s="62" t="s">
        <v>216</v>
      </c>
      <c r="I9" s="62" t="s">
        <v>217</v>
      </c>
      <c r="J9" s="62" t="s">
        <v>218</v>
      </c>
      <c r="K9" s="62" t="s">
        <v>219</v>
      </c>
      <c r="L9" s="62" t="s">
        <v>220</v>
      </c>
      <c r="M9" s="62" t="s">
        <v>221</v>
      </c>
      <c r="N9" s="62" t="s">
        <v>222</v>
      </c>
      <c r="O9" s="62" t="s">
        <v>223</v>
      </c>
      <c r="P9" s="62" t="s">
        <v>224</v>
      </c>
      <c r="Q9" s="62" t="s">
        <v>225</v>
      </c>
      <c r="R9" s="62" t="s">
        <v>226</v>
      </c>
      <c r="S9" s="62" t="s">
        <v>227</v>
      </c>
      <c r="T9" s="62" t="s">
        <v>228</v>
      </c>
      <c r="U9" s="62" t="s">
        <v>229</v>
      </c>
      <c r="V9" s="62" t="s">
        <v>230</v>
      </c>
      <c r="W9" s="62" t="s">
        <v>231</v>
      </c>
      <c r="X9" s="62" t="s">
        <v>232</v>
      </c>
      <c r="Y9" s="62" t="s">
        <v>233</v>
      </c>
    </row>
    <row r="10" spans="1:25" ht="18" customHeight="1" x14ac:dyDescent="0.2">
      <c r="A10" s="145" t="s">
        <v>201</v>
      </c>
      <c r="B10" s="146">
        <f t="shared" ref="B10:Y10" si="0">SUM(B11:B16)</f>
        <v>664161</v>
      </c>
      <c r="C10" s="146">
        <f t="shared" si="0"/>
        <v>560821</v>
      </c>
      <c r="D10" s="146">
        <f t="shared" si="0"/>
        <v>502116</v>
      </c>
      <c r="E10" s="146">
        <f t="shared" si="0"/>
        <v>573627</v>
      </c>
      <c r="F10" s="146">
        <f t="shared" si="0"/>
        <v>577886</v>
      </c>
      <c r="G10" s="146">
        <f t="shared" si="0"/>
        <v>651547</v>
      </c>
      <c r="H10" s="146">
        <f t="shared" si="0"/>
        <v>704008</v>
      </c>
      <c r="I10" s="146">
        <f t="shared" si="0"/>
        <v>673064</v>
      </c>
      <c r="J10" s="146">
        <f t="shared" si="0"/>
        <v>826196</v>
      </c>
      <c r="K10" s="146">
        <f t="shared" si="0"/>
        <v>903615</v>
      </c>
      <c r="L10" s="146">
        <f t="shared" si="0"/>
        <v>949833</v>
      </c>
      <c r="M10" s="146">
        <f t="shared" si="0"/>
        <v>991376</v>
      </c>
      <c r="N10" s="146">
        <f t="shared" si="0"/>
        <v>1075671</v>
      </c>
      <c r="O10" s="146">
        <f t="shared" si="0"/>
        <v>1207328</v>
      </c>
      <c r="P10" s="146">
        <f t="shared" si="0"/>
        <v>1236027</v>
      </c>
      <c r="Q10" s="146">
        <f t="shared" si="0"/>
        <v>1304468</v>
      </c>
      <c r="R10" s="146">
        <f t="shared" si="0"/>
        <v>0</v>
      </c>
      <c r="S10" s="146">
        <f t="shared" si="0"/>
        <v>0</v>
      </c>
      <c r="T10" s="146">
        <f t="shared" si="0"/>
        <v>0</v>
      </c>
      <c r="U10" s="146">
        <f t="shared" si="0"/>
        <v>0</v>
      </c>
      <c r="V10" s="146">
        <f t="shared" si="0"/>
        <v>0</v>
      </c>
      <c r="W10" s="146">
        <f t="shared" si="0"/>
        <v>0</v>
      </c>
      <c r="X10" s="146">
        <f t="shared" si="0"/>
        <v>0</v>
      </c>
      <c r="Y10" s="146">
        <f t="shared" si="0"/>
        <v>0</v>
      </c>
    </row>
    <row r="11" spans="1:25" x14ac:dyDescent="0.2">
      <c r="A11" s="60" t="s">
        <v>237</v>
      </c>
      <c r="B11" s="99">
        <v>459417</v>
      </c>
      <c r="C11" s="99">
        <v>472455</v>
      </c>
      <c r="D11" s="99">
        <v>464980</v>
      </c>
      <c r="E11" s="99">
        <v>516950</v>
      </c>
      <c r="F11" s="99">
        <v>490461</v>
      </c>
      <c r="G11" s="99">
        <v>561883</v>
      </c>
      <c r="H11" s="99">
        <v>617284</v>
      </c>
      <c r="I11" s="147">
        <v>631587</v>
      </c>
      <c r="J11" s="99">
        <v>728867</v>
      </c>
      <c r="K11" s="99">
        <v>762272</v>
      </c>
      <c r="L11" s="99">
        <v>851980</v>
      </c>
      <c r="M11" s="99">
        <f>3229552-L11-K11-J11</f>
        <v>886433</v>
      </c>
      <c r="N11" s="99">
        <v>1019866</v>
      </c>
      <c r="O11" s="99">
        <v>1173446</v>
      </c>
      <c r="P11" s="99">
        <v>1123131</v>
      </c>
      <c r="Q11" s="99">
        <f>4575473-P11-O11-N11</f>
        <v>1259030</v>
      </c>
      <c r="R11" s="99">
        <v>0</v>
      </c>
      <c r="S11" s="99">
        <v>0</v>
      </c>
      <c r="T11" s="99">
        <v>0</v>
      </c>
      <c r="U11" s="99">
        <v>0</v>
      </c>
      <c r="V11" s="99">
        <v>0</v>
      </c>
      <c r="W11" s="99">
        <v>0</v>
      </c>
      <c r="X11" s="99">
        <v>0</v>
      </c>
      <c r="Y11" s="99">
        <v>0</v>
      </c>
    </row>
    <row r="12" spans="1:25" x14ac:dyDescent="0.2">
      <c r="A12" s="60" t="s">
        <v>238</v>
      </c>
      <c r="B12" s="99">
        <v>40172</v>
      </c>
      <c r="C12" s="99">
        <v>37389</v>
      </c>
      <c r="D12" s="99">
        <v>16886</v>
      </c>
      <c r="E12" s="99">
        <v>14969</v>
      </c>
      <c r="F12" s="99">
        <v>11928</v>
      </c>
      <c r="G12" s="99">
        <v>16192</v>
      </c>
      <c r="H12" s="99">
        <v>28221</v>
      </c>
      <c r="I12" s="147">
        <v>43402</v>
      </c>
      <c r="J12" s="99">
        <v>45867</v>
      </c>
      <c r="K12" s="99">
        <v>71183</v>
      </c>
      <c r="L12" s="99">
        <v>88186</v>
      </c>
      <c r="M12" s="99">
        <f>287711-L12-K12-J12</f>
        <v>82475</v>
      </c>
      <c r="N12" s="99">
        <v>65520</v>
      </c>
      <c r="O12" s="99">
        <v>70202</v>
      </c>
      <c r="P12" s="99">
        <v>90299</v>
      </c>
      <c r="Q12" s="99">
        <f>311982-P12-O12-N12</f>
        <v>85961</v>
      </c>
      <c r="R12" s="99">
        <v>0</v>
      </c>
      <c r="S12" s="99">
        <v>0</v>
      </c>
      <c r="T12" s="99">
        <v>0</v>
      </c>
      <c r="U12" s="99">
        <v>0</v>
      </c>
      <c r="V12" s="99">
        <v>0</v>
      </c>
      <c r="W12" s="99">
        <v>0</v>
      </c>
      <c r="X12" s="99">
        <v>0</v>
      </c>
      <c r="Y12" s="99">
        <v>0</v>
      </c>
    </row>
    <row r="13" spans="1:25" x14ac:dyDescent="0.2">
      <c r="A13" s="60" t="s">
        <v>239</v>
      </c>
      <c r="B13" s="99">
        <v>118985</v>
      </c>
      <c r="C13" s="147">
        <v>14480</v>
      </c>
      <c r="D13" s="147">
        <v>-18166</v>
      </c>
      <c r="E13" s="99">
        <v>1741</v>
      </c>
      <c r="F13" s="99">
        <v>12703</v>
      </c>
      <c r="G13" s="147">
        <v>17114</v>
      </c>
      <c r="H13" s="99">
        <v>17820</v>
      </c>
      <c r="I13" s="147">
        <v>-6131</v>
      </c>
      <c r="J13" s="147">
        <v>24068</v>
      </c>
      <c r="K13" s="147">
        <v>41657</v>
      </c>
      <c r="L13" s="147">
        <v>-31439</v>
      </c>
      <c r="M13" s="147">
        <f>56121-L13-K13-J13</f>
        <v>21835</v>
      </c>
      <c r="N13" s="147">
        <v>-10500</v>
      </c>
      <c r="O13" s="147">
        <v>-48878</v>
      </c>
      <c r="P13" s="147">
        <v>21907</v>
      </c>
      <c r="Q13" s="147">
        <f>-78552-P13-O13-N13</f>
        <v>-41081</v>
      </c>
      <c r="R13" s="147">
        <v>0</v>
      </c>
      <c r="S13" s="147">
        <v>0</v>
      </c>
      <c r="T13" s="147">
        <v>0</v>
      </c>
      <c r="U13" s="147">
        <v>0</v>
      </c>
      <c r="V13" s="147">
        <v>0</v>
      </c>
      <c r="W13" s="147">
        <v>0</v>
      </c>
      <c r="X13" s="147">
        <v>0</v>
      </c>
      <c r="Y13" s="147">
        <v>0</v>
      </c>
    </row>
    <row r="14" spans="1:25" x14ac:dyDescent="0.2">
      <c r="A14" s="60" t="s">
        <v>240</v>
      </c>
      <c r="B14" s="99">
        <v>25674</v>
      </c>
      <c r="C14" s="147">
        <v>8015</v>
      </c>
      <c r="D14" s="147">
        <v>8268</v>
      </c>
      <c r="E14" s="147">
        <v>-8229</v>
      </c>
      <c r="F14" s="99">
        <v>11886</v>
      </c>
      <c r="G14" s="147">
        <v>-13061</v>
      </c>
      <c r="H14" s="99">
        <v>10709</v>
      </c>
      <c r="I14" s="147">
        <v>4636</v>
      </c>
      <c r="J14" s="147">
        <v>-3511</v>
      </c>
      <c r="K14" s="147">
        <v>3</v>
      </c>
      <c r="L14" s="147">
        <v>68</v>
      </c>
      <c r="M14" s="147">
        <f>-3470-L14-K14-J14</f>
        <v>-30</v>
      </c>
      <c r="N14" s="147">
        <v>19</v>
      </c>
      <c r="O14" s="147">
        <v>-34</v>
      </c>
      <c r="P14" s="147">
        <v>6</v>
      </c>
      <c r="Q14" s="147">
        <f>-25-P14-O14-N14</f>
        <v>-16</v>
      </c>
      <c r="R14" s="147">
        <v>0</v>
      </c>
      <c r="S14" s="147">
        <v>0</v>
      </c>
      <c r="T14" s="147">
        <v>0</v>
      </c>
      <c r="U14" s="147">
        <v>0</v>
      </c>
      <c r="V14" s="147">
        <v>0</v>
      </c>
      <c r="W14" s="147">
        <v>0</v>
      </c>
      <c r="X14" s="147">
        <v>0</v>
      </c>
      <c r="Y14" s="147">
        <v>0</v>
      </c>
    </row>
    <row r="15" spans="1:25" x14ac:dyDescent="0.2">
      <c r="A15" s="60" t="s">
        <v>241</v>
      </c>
      <c r="B15" s="99">
        <v>699</v>
      </c>
      <c r="C15" s="147">
        <v>712</v>
      </c>
      <c r="D15" s="147">
        <v>654</v>
      </c>
      <c r="E15" s="99">
        <v>532</v>
      </c>
      <c r="F15" s="99">
        <v>530</v>
      </c>
      <c r="G15" s="147">
        <v>951</v>
      </c>
      <c r="H15" s="99">
        <v>1027</v>
      </c>
      <c r="I15" s="147">
        <v>1128</v>
      </c>
      <c r="J15" s="147">
        <v>1597</v>
      </c>
      <c r="K15" s="147">
        <v>1477</v>
      </c>
      <c r="L15" s="147">
        <v>1433</v>
      </c>
      <c r="M15" s="147">
        <f>5503-L15-K15-J15</f>
        <v>996</v>
      </c>
      <c r="N15" s="147">
        <v>766</v>
      </c>
      <c r="O15" s="147">
        <v>717</v>
      </c>
      <c r="P15" s="147">
        <v>684</v>
      </c>
      <c r="Q15" s="147">
        <f>2741-P15-O15-N15</f>
        <v>574</v>
      </c>
      <c r="R15" s="147">
        <v>0</v>
      </c>
      <c r="S15" s="147">
        <v>0</v>
      </c>
      <c r="T15" s="147">
        <v>0</v>
      </c>
      <c r="U15" s="147">
        <v>0</v>
      </c>
      <c r="V15" s="147">
        <v>0</v>
      </c>
      <c r="W15" s="147">
        <v>0</v>
      </c>
      <c r="X15" s="147">
        <v>0</v>
      </c>
      <c r="Y15" s="147">
        <v>0</v>
      </c>
    </row>
    <row r="16" spans="1:25" x14ac:dyDescent="0.2">
      <c r="A16" s="60" t="s">
        <v>243</v>
      </c>
      <c r="B16" s="99">
        <v>19214</v>
      </c>
      <c r="C16" s="99">
        <v>27770</v>
      </c>
      <c r="D16" s="99">
        <v>29494</v>
      </c>
      <c r="E16" s="99">
        <v>47664</v>
      </c>
      <c r="F16" s="99">
        <v>50378</v>
      </c>
      <c r="G16" s="99">
        <v>68468</v>
      </c>
      <c r="H16" s="99">
        <v>28947</v>
      </c>
      <c r="I16" s="147">
        <v>-1558</v>
      </c>
      <c r="J16" s="99">
        <v>29308</v>
      </c>
      <c r="K16" s="99">
        <v>27023</v>
      </c>
      <c r="L16" s="99">
        <v>39605</v>
      </c>
      <c r="M16" s="147">
        <f>95603-L16-K16-J16</f>
        <v>-333</v>
      </c>
      <c r="N16" s="99">
        <v>0</v>
      </c>
      <c r="O16" s="99">
        <v>11875</v>
      </c>
      <c r="P16" s="99">
        <v>0</v>
      </c>
      <c r="Q16" s="99">
        <f>11875-P16-O16-N16</f>
        <v>0</v>
      </c>
      <c r="R16" s="99">
        <v>0</v>
      </c>
      <c r="S16" s="99">
        <v>0</v>
      </c>
      <c r="T16" s="99">
        <v>0</v>
      </c>
      <c r="U16" s="99">
        <v>0</v>
      </c>
      <c r="V16" s="99">
        <v>0</v>
      </c>
      <c r="W16" s="99">
        <v>0</v>
      </c>
      <c r="X16" s="99">
        <v>0</v>
      </c>
      <c r="Y16" s="99">
        <v>0</v>
      </c>
    </row>
    <row r="17" spans="1:25" x14ac:dyDescent="0.2">
      <c r="A17" s="60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</row>
    <row r="18" spans="1:25" x14ac:dyDescent="0.2">
      <c r="A18" s="78" t="s">
        <v>202</v>
      </c>
      <c r="B18" s="148">
        <f t="shared" ref="B18:Y18" si="1">SUM(B19:B21)</f>
        <v>-258258</v>
      </c>
      <c r="C18" s="148">
        <f t="shared" si="1"/>
        <v>-112004</v>
      </c>
      <c r="D18" s="148">
        <f t="shared" si="1"/>
        <v>-27619</v>
      </c>
      <c r="E18" s="148">
        <f t="shared" si="1"/>
        <v>-39482</v>
      </c>
      <c r="F18" s="148">
        <f t="shared" si="1"/>
        <v>-41563</v>
      </c>
      <c r="G18" s="148">
        <f t="shared" si="1"/>
        <v>-64192</v>
      </c>
      <c r="H18" s="148">
        <f t="shared" si="1"/>
        <v>-107555</v>
      </c>
      <c r="I18" s="148">
        <f t="shared" si="1"/>
        <v>-159466</v>
      </c>
      <c r="J18" s="148">
        <f t="shared" si="1"/>
        <v>-220349</v>
      </c>
      <c r="K18" s="148">
        <f t="shared" si="1"/>
        <v>-292154</v>
      </c>
      <c r="L18" s="148">
        <f t="shared" si="1"/>
        <v>-342390</v>
      </c>
      <c r="M18" s="148">
        <f>SUM(M19:M21)</f>
        <v>-350172</v>
      </c>
      <c r="N18" s="148">
        <f t="shared" si="1"/>
        <v>-373446</v>
      </c>
      <c r="O18" s="148">
        <f t="shared" si="1"/>
        <v>-403417</v>
      </c>
      <c r="P18" s="148">
        <f t="shared" si="1"/>
        <v>-440913</v>
      </c>
      <c r="Q18" s="148">
        <f t="shared" si="1"/>
        <v>-424692</v>
      </c>
      <c r="R18" s="148">
        <f t="shared" si="1"/>
        <v>0</v>
      </c>
      <c r="S18" s="148">
        <f t="shared" si="1"/>
        <v>0</v>
      </c>
      <c r="T18" s="148">
        <f t="shared" si="1"/>
        <v>0</v>
      </c>
      <c r="U18" s="148">
        <f t="shared" si="1"/>
        <v>0</v>
      </c>
      <c r="V18" s="148">
        <f t="shared" si="1"/>
        <v>0</v>
      </c>
      <c r="W18" s="148">
        <f t="shared" si="1"/>
        <v>0</v>
      </c>
      <c r="X18" s="148">
        <f t="shared" si="1"/>
        <v>0</v>
      </c>
      <c r="Y18" s="148">
        <f t="shared" si="1"/>
        <v>0</v>
      </c>
    </row>
    <row r="19" spans="1:25" x14ac:dyDescent="0.2">
      <c r="A19" s="60" t="s">
        <v>242</v>
      </c>
      <c r="B19" s="147">
        <v>-249890</v>
      </c>
      <c r="C19" s="147">
        <v>-109255</v>
      </c>
      <c r="D19" s="147">
        <v>-24002</v>
      </c>
      <c r="E19" s="147">
        <v>-39357</v>
      </c>
      <c r="F19" s="147">
        <v>-41358</v>
      </c>
      <c r="G19" s="147">
        <v>-64048</v>
      </c>
      <c r="H19" s="147">
        <v>-105245</v>
      </c>
      <c r="I19" s="147">
        <v>-158859</v>
      </c>
      <c r="J19" s="147">
        <v>-206777</v>
      </c>
      <c r="K19" s="147">
        <v>-269171</v>
      </c>
      <c r="L19" s="147">
        <v>-312493</v>
      </c>
      <c r="M19" s="147">
        <f>-1112628-L19-K19-J19</f>
        <v>-324187</v>
      </c>
      <c r="N19" s="147">
        <v>-349134</v>
      </c>
      <c r="O19" s="147">
        <v>-382938</v>
      </c>
      <c r="P19" s="147">
        <v>-421045</v>
      </c>
      <c r="Q19" s="147">
        <f>-1561557-P19-O19-N19</f>
        <v>-408440</v>
      </c>
      <c r="R19" s="147">
        <v>0</v>
      </c>
      <c r="S19" s="147">
        <v>0</v>
      </c>
      <c r="T19" s="147">
        <v>0</v>
      </c>
      <c r="U19" s="147">
        <v>0</v>
      </c>
      <c r="V19" s="147">
        <v>0</v>
      </c>
      <c r="W19" s="147">
        <v>0</v>
      </c>
      <c r="X19" s="147">
        <v>0</v>
      </c>
      <c r="Y19" s="147">
        <v>0</v>
      </c>
    </row>
    <row r="20" spans="1:25" x14ac:dyDescent="0.2">
      <c r="A20" s="60" t="s">
        <v>253</v>
      </c>
      <c r="B20" s="147">
        <v>-7149</v>
      </c>
      <c r="C20" s="147">
        <v>-1952</v>
      </c>
      <c r="D20" s="147">
        <v>-2860</v>
      </c>
      <c r="E20" s="147">
        <v>187</v>
      </c>
      <c r="F20" s="147">
        <v>-44</v>
      </c>
      <c r="G20" s="147">
        <v>-58</v>
      </c>
      <c r="H20" s="147">
        <v>-130</v>
      </c>
      <c r="I20" s="147">
        <v>-211</v>
      </c>
      <c r="J20" s="147">
        <v>-244</v>
      </c>
      <c r="K20" s="147">
        <v>-171</v>
      </c>
      <c r="L20" s="147">
        <v>-231</v>
      </c>
      <c r="M20" s="147">
        <f>-924-L20-K20-J20</f>
        <v>-278</v>
      </c>
      <c r="N20" s="147">
        <v>-160</v>
      </c>
      <c r="O20" s="147">
        <v>-300</v>
      </c>
      <c r="P20" s="147">
        <v>-601</v>
      </c>
      <c r="Q20" s="147">
        <f>-1496-P20-O20-N20</f>
        <v>-435</v>
      </c>
      <c r="R20" s="147">
        <v>0</v>
      </c>
      <c r="S20" s="147">
        <v>0</v>
      </c>
      <c r="T20" s="147">
        <v>0</v>
      </c>
      <c r="U20" s="147">
        <v>0</v>
      </c>
      <c r="V20" s="147">
        <v>0</v>
      </c>
      <c r="W20" s="147">
        <v>0</v>
      </c>
      <c r="X20" s="147">
        <v>0</v>
      </c>
      <c r="Y20" s="147">
        <v>0</v>
      </c>
    </row>
    <row r="21" spans="1:25" x14ac:dyDescent="0.2">
      <c r="A21" s="60" t="s">
        <v>243</v>
      </c>
      <c r="B21" s="147">
        <v>-1219</v>
      </c>
      <c r="C21" s="147">
        <v>-797</v>
      </c>
      <c r="D21" s="147">
        <v>-757</v>
      </c>
      <c r="E21" s="147">
        <v>-312</v>
      </c>
      <c r="F21" s="147">
        <v>-161</v>
      </c>
      <c r="G21" s="147">
        <v>-86</v>
      </c>
      <c r="H21" s="147">
        <v>-2180</v>
      </c>
      <c r="I21" s="147">
        <v>-396</v>
      </c>
      <c r="J21" s="147">
        <v>-13328</v>
      </c>
      <c r="K21" s="147">
        <v>-22812</v>
      </c>
      <c r="L21" s="147">
        <v>-29666</v>
      </c>
      <c r="M21" s="147">
        <f>-91513-L21-K21-J21</f>
        <v>-25707</v>
      </c>
      <c r="N21" s="147">
        <v>-24152</v>
      </c>
      <c r="O21" s="147">
        <v>-20179</v>
      </c>
      <c r="P21" s="147">
        <v>-19267</v>
      </c>
      <c r="Q21" s="147">
        <f>-79415-P21-O21-N21</f>
        <v>-15817</v>
      </c>
      <c r="R21" s="147">
        <v>0</v>
      </c>
      <c r="S21" s="147">
        <v>0</v>
      </c>
      <c r="T21" s="147">
        <v>0</v>
      </c>
      <c r="U21" s="147">
        <v>0</v>
      </c>
      <c r="V21" s="147">
        <v>0</v>
      </c>
      <c r="W21" s="147">
        <v>0</v>
      </c>
      <c r="X21" s="147">
        <v>0</v>
      </c>
      <c r="Y21" s="147">
        <v>0</v>
      </c>
    </row>
    <row r="22" spans="1:25" x14ac:dyDescent="0.2">
      <c r="A22" s="78" t="s">
        <v>316</v>
      </c>
      <c r="B22" s="148">
        <f t="shared" ref="B22:Y22" si="2">B10+B18</f>
        <v>405903</v>
      </c>
      <c r="C22" s="148">
        <f t="shared" si="2"/>
        <v>448817</v>
      </c>
      <c r="D22" s="148">
        <f t="shared" si="2"/>
        <v>474497</v>
      </c>
      <c r="E22" s="148">
        <f t="shared" si="2"/>
        <v>534145</v>
      </c>
      <c r="F22" s="148">
        <f t="shared" si="2"/>
        <v>536323</v>
      </c>
      <c r="G22" s="148">
        <f t="shared" si="2"/>
        <v>587355</v>
      </c>
      <c r="H22" s="148">
        <f t="shared" si="2"/>
        <v>596453</v>
      </c>
      <c r="I22" s="148">
        <f t="shared" si="2"/>
        <v>513598</v>
      </c>
      <c r="J22" s="148">
        <f t="shared" si="2"/>
        <v>605847</v>
      </c>
      <c r="K22" s="148">
        <f t="shared" si="2"/>
        <v>611461</v>
      </c>
      <c r="L22" s="148">
        <f t="shared" si="2"/>
        <v>607443</v>
      </c>
      <c r="M22" s="148">
        <f t="shared" si="2"/>
        <v>641204</v>
      </c>
      <c r="N22" s="148">
        <f t="shared" si="2"/>
        <v>702225</v>
      </c>
      <c r="O22" s="148">
        <f t="shared" si="2"/>
        <v>803911</v>
      </c>
      <c r="P22" s="148">
        <f t="shared" si="2"/>
        <v>795114</v>
      </c>
      <c r="Q22" s="148">
        <f t="shared" si="2"/>
        <v>879776</v>
      </c>
      <c r="R22" s="148">
        <f t="shared" si="2"/>
        <v>0</v>
      </c>
      <c r="S22" s="148">
        <f t="shared" si="2"/>
        <v>0</v>
      </c>
      <c r="T22" s="148">
        <f t="shared" si="2"/>
        <v>0</v>
      </c>
      <c r="U22" s="148">
        <f t="shared" si="2"/>
        <v>0</v>
      </c>
      <c r="V22" s="148">
        <f t="shared" si="2"/>
        <v>0</v>
      </c>
      <c r="W22" s="148">
        <f t="shared" si="2"/>
        <v>0</v>
      </c>
      <c r="X22" s="148">
        <f t="shared" si="2"/>
        <v>0</v>
      </c>
      <c r="Y22" s="148">
        <f t="shared" si="2"/>
        <v>0</v>
      </c>
    </row>
    <row r="23" spans="1:25" x14ac:dyDescent="0.2">
      <c r="A23" s="60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</row>
    <row r="24" spans="1:25" s="94" customFormat="1" x14ac:dyDescent="0.2">
      <c r="A24" s="78" t="s">
        <v>345</v>
      </c>
      <c r="B24" s="148">
        <v>-75839</v>
      </c>
      <c r="C24" s="148">
        <v>-88546</v>
      </c>
      <c r="D24" s="148">
        <v>-88904</v>
      </c>
      <c r="E24" s="148">
        <v>-73021</v>
      </c>
      <c r="F24" s="148">
        <v>-57795</v>
      </c>
      <c r="G24" s="148">
        <v>-86835</v>
      </c>
      <c r="H24" s="148">
        <v>-81340</v>
      </c>
      <c r="I24" s="148">
        <v>-118727</v>
      </c>
      <c r="J24" s="148">
        <v>-106821</v>
      </c>
      <c r="K24" s="148">
        <v>-29744</v>
      </c>
      <c r="L24" s="148">
        <v>-95242</v>
      </c>
      <c r="M24" s="148">
        <f>-327431-L24-K24-J24</f>
        <v>-95624</v>
      </c>
      <c r="N24" s="148">
        <v>-111559</v>
      </c>
      <c r="O24" s="148">
        <v>-112825</v>
      </c>
      <c r="P24" s="148">
        <v>-148715</v>
      </c>
      <c r="Q24" s="148">
        <f>-487238-P24-O24-N24</f>
        <v>-114139</v>
      </c>
      <c r="R24" s="148">
        <v>0</v>
      </c>
      <c r="S24" s="148">
        <v>0</v>
      </c>
      <c r="T24" s="148">
        <v>0</v>
      </c>
      <c r="U24" s="148">
        <v>0</v>
      </c>
      <c r="V24" s="148">
        <v>0</v>
      </c>
      <c r="W24" s="148">
        <v>0</v>
      </c>
      <c r="X24" s="148">
        <v>0</v>
      </c>
      <c r="Y24" s="148">
        <v>0</v>
      </c>
    </row>
    <row r="25" spans="1:25" x14ac:dyDescent="0.2">
      <c r="A25" s="82" t="s">
        <v>119</v>
      </c>
    </row>
    <row r="26" spans="1:25" x14ac:dyDescent="0.2">
      <c r="A26" s="78" t="s">
        <v>200</v>
      </c>
      <c r="B26" s="148">
        <f t="shared" ref="B26:Y26" si="3">B22+B24</f>
        <v>330064</v>
      </c>
      <c r="C26" s="148">
        <f t="shared" si="3"/>
        <v>360271</v>
      </c>
      <c r="D26" s="148">
        <f t="shared" si="3"/>
        <v>385593</v>
      </c>
      <c r="E26" s="148">
        <f t="shared" si="3"/>
        <v>461124</v>
      </c>
      <c r="F26" s="148">
        <f t="shared" si="3"/>
        <v>478528</v>
      </c>
      <c r="G26" s="148">
        <f t="shared" si="3"/>
        <v>500520</v>
      </c>
      <c r="H26" s="148">
        <f t="shared" si="3"/>
        <v>515113</v>
      </c>
      <c r="I26" s="148">
        <f>I22+I24</f>
        <v>394871</v>
      </c>
      <c r="J26" s="148">
        <f t="shared" si="3"/>
        <v>499026</v>
      </c>
      <c r="K26" s="148">
        <f t="shared" si="3"/>
        <v>581717</v>
      </c>
      <c r="L26" s="148">
        <f t="shared" si="3"/>
        <v>512201</v>
      </c>
      <c r="M26" s="148">
        <f t="shared" si="3"/>
        <v>545580</v>
      </c>
      <c r="N26" s="148">
        <f t="shared" si="3"/>
        <v>590666</v>
      </c>
      <c r="O26" s="148">
        <f t="shared" si="3"/>
        <v>691086</v>
      </c>
      <c r="P26" s="148">
        <f t="shared" si="3"/>
        <v>646399</v>
      </c>
      <c r="Q26" s="148">
        <f t="shared" si="3"/>
        <v>765637</v>
      </c>
      <c r="R26" s="148">
        <f t="shared" si="3"/>
        <v>0</v>
      </c>
      <c r="S26" s="148">
        <f t="shared" si="3"/>
        <v>0</v>
      </c>
      <c r="T26" s="148">
        <f t="shared" si="3"/>
        <v>0</v>
      </c>
      <c r="U26" s="148">
        <f t="shared" si="3"/>
        <v>0</v>
      </c>
      <c r="V26" s="148">
        <f t="shared" si="3"/>
        <v>0</v>
      </c>
      <c r="W26" s="148">
        <f t="shared" si="3"/>
        <v>0</v>
      </c>
      <c r="X26" s="148">
        <f t="shared" si="3"/>
        <v>0</v>
      </c>
      <c r="Y26" s="148">
        <f t="shared" si="3"/>
        <v>0</v>
      </c>
    </row>
    <row r="27" spans="1:25" s="60" customFormat="1" x14ac:dyDescent="0.2">
      <c r="A27" s="91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</row>
    <row r="28" spans="1:25" x14ac:dyDescent="0.2">
      <c r="A28" s="78" t="s">
        <v>203</v>
      </c>
      <c r="B28" s="148">
        <f>B29+B32+B33+B34+B35+B36+B37</f>
        <v>-260104</v>
      </c>
      <c r="C28" s="148">
        <f t="shared" ref="C28:Y28" si="4">C29+C32+C33+C34+C35+C36+C37</f>
        <v>-298221</v>
      </c>
      <c r="D28" s="148">
        <f t="shared" si="4"/>
        <v>-334680</v>
      </c>
      <c r="E28" s="148">
        <f t="shared" si="4"/>
        <v>-398836</v>
      </c>
      <c r="F28" s="148">
        <f t="shared" si="4"/>
        <v>-387955</v>
      </c>
      <c r="G28" s="148">
        <f t="shared" si="4"/>
        <v>-431839</v>
      </c>
      <c r="H28" s="148">
        <f t="shared" si="4"/>
        <v>-446080</v>
      </c>
      <c r="I28" s="148">
        <f t="shared" si="4"/>
        <v>-459285</v>
      </c>
      <c r="J28" s="148">
        <f t="shared" si="4"/>
        <v>-434232</v>
      </c>
      <c r="K28" s="148">
        <f t="shared" si="4"/>
        <v>-504971</v>
      </c>
      <c r="L28" s="148">
        <f t="shared" si="4"/>
        <v>-479943</v>
      </c>
      <c r="M28" s="148">
        <f t="shared" si="4"/>
        <v>-467836</v>
      </c>
      <c r="N28" s="148">
        <f t="shared" si="4"/>
        <v>-492746</v>
      </c>
      <c r="O28" s="148">
        <f t="shared" si="4"/>
        <v>-553340</v>
      </c>
      <c r="P28" s="148">
        <f t="shared" si="4"/>
        <v>-521257</v>
      </c>
      <c r="Q28" s="148">
        <f t="shared" si="4"/>
        <v>-590971</v>
      </c>
      <c r="R28" s="148">
        <f t="shared" si="4"/>
        <v>0</v>
      </c>
      <c r="S28" s="148">
        <f t="shared" si="4"/>
        <v>0</v>
      </c>
      <c r="T28" s="148">
        <f t="shared" si="4"/>
        <v>0</v>
      </c>
      <c r="U28" s="148">
        <f t="shared" si="4"/>
        <v>0</v>
      </c>
      <c r="V28" s="148">
        <f t="shared" si="4"/>
        <v>0</v>
      </c>
      <c r="W28" s="148">
        <f t="shared" si="4"/>
        <v>0</v>
      </c>
      <c r="X28" s="148">
        <f t="shared" si="4"/>
        <v>0</v>
      </c>
      <c r="Y28" s="148">
        <f t="shared" si="4"/>
        <v>0</v>
      </c>
    </row>
    <row r="29" spans="1:25" x14ac:dyDescent="0.2">
      <c r="A29" s="60" t="s">
        <v>244</v>
      </c>
      <c r="B29" s="95">
        <f t="shared" ref="B29:Y29" si="5">B30+B31</f>
        <v>78741</v>
      </c>
      <c r="C29" s="95">
        <f t="shared" si="5"/>
        <v>83367</v>
      </c>
      <c r="D29" s="95">
        <f t="shared" si="5"/>
        <v>76934</v>
      </c>
      <c r="E29" s="95">
        <f t="shared" si="5"/>
        <v>79357</v>
      </c>
      <c r="F29" s="95">
        <f t="shared" si="5"/>
        <v>79982</v>
      </c>
      <c r="G29" s="95">
        <f t="shared" si="5"/>
        <v>87400</v>
      </c>
      <c r="H29" s="95">
        <f t="shared" si="5"/>
        <v>88981</v>
      </c>
      <c r="I29" s="95">
        <f t="shared" si="5"/>
        <v>96231</v>
      </c>
      <c r="J29" s="95">
        <f t="shared" si="5"/>
        <v>98618</v>
      </c>
      <c r="K29" s="95">
        <f t="shared" si="5"/>
        <v>100936</v>
      </c>
      <c r="L29" s="95">
        <f t="shared" si="5"/>
        <v>110610</v>
      </c>
      <c r="M29" s="95">
        <f t="shared" si="5"/>
        <v>124706</v>
      </c>
      <c r="N29" s="95">
        <f t="shared" si="5"/>
        <v>132872</v>
      </c>
      <c r="O29" s="95">
        <f t="shared" si="5"/>
        <v>140251</v>
      </c>
      <c r="P29" s="95">
        <f t="shared" si="5"/>
        <v>152141</v>
      </c>
      <c r="Q29" s="95">
        <f t="shared" si="5"/>
        <v>150899</v>
      </c>
      <c r="R29" s="95">
        <f t="shared" si="5"/>
        <v>0</v>
      </c>
      <c r="S29" s="95">
        <f t="shared" si="5"/>
        <v>0</v>
      </c>
      <c r="T29" s="95">
        <f t="shared" si="5"/>
        <v>0</v>
      </c>
      <c r="U29" s="95">
        <f t="shared" si="5"/>
        <v>0</v>
      </c>
      <c r="V29" s="95">
        <f t="shared" si="5"/>
        <v>0</v>
      </c>
      <c r="W29" s="95">
        <f t="shared" si="5"/>
        <v>0</v>
      </c>
      <c r="X29" s="95">
        <f t="shared" si="5"/>
        <v>0</v>
      </c>
      <c r="Y29" s="95">
        <f t="shared" si="5"/>
        <v>0</v>
      </c>
    </row>
    <row r="30" spans="1:25" x14ac:dyDescent="0.2">
      <c r="A30" s="60" t="s">
        <v>245</v>
      </c>
      <c r="B30" s="99">
        <v>18741</v>
      </c>
      <c r="C30" s="99">
        <v>20425</v>
      </c>
      <c r="D30" s="99">
        <v>24362</v>
      </c>
      <c r="E30" s="99">
        <v>32994</v>
      </c>
      <c r="F30" s="99">
        <v>33347</v>
      </c>
      <c r="G30" s="99">
        <v>40403</v>
      </c>
      <c r="H30" s="99">
        <v>42225</v>
      </c>
      <c r="I30" s="99">
        <v>49427</v>
      </c>
      <c r="J30" s="99">
        <v>47756</v>
      </c>
      <c r="K30" s="99">
        <v>47742</v>
      </c>
      <c r="L30" s="99">
        <v>53062</v>
      </c>
      <c r="M30" s="99">
        <f>210075-L30-K30-J30</f>
        <v>61515</v>
      </c>
      <c r="N30" s="99">
        <v>60140</v>
      </c>
      <c r="O30" s="99">
        <v>69860</v>
      </c>
      <c r="P30" s="99">
        <v>88610</v>
      </c>
      <c r="Q30" s="99">
        <f>311854-P30-O30-N30</f>
        <v>93244</v>
      </c>
      <c r="R30" s="99">
        <v>0</v>
      </c>
      <c r="S30" s="99">
        <v>0</v>
      </c>
      <c r="T30" s="99">
        <v>0</v>
      </c>
      <c r="U30" s="99">
        <v>0</v>
      </c>
      <c r="V30" s="99">
        <v>0</v>
      </c>
      <c r="W30" s="99">
        <v>0</v>
      </c>
      <c r="X30" s="99">
        <v>0</v>
      </c>
      <c r="Y30" s="99">
        <v>0</v>
      </c>
    </row>
    <row r="31" spans="1:25" x14ac:dyDescent="0.2">
      <c r="A31" s="60" t="s">
        <v>246</v>
      </c>
      <c r="B31" s="99">
        <v>60000</v>
      </c>
      <c r="C31" s="99">
        <v>62942</v>
      </c>
      <c r="D31" s="99">
        <v>52572</v>
      </c>
      <c r="E31" s="99">
        <v>46363</v>
      </c>
      <c r="F31" s="99">
        <v>46635</v>
      </c>
      <c r="G31" s="99">
        <v>46997</v>
      </c>
      <c r="H31" s="99">
        <v>46756</v>
      </c>
      <c r="I31" s="99">
        <v>46804</v>
      </c>
      <c r="J31" s="99">
        <v>50862</v>
      </c>
      <c r="K31" s="99">
        <v>53194</v>
      </c>
      <c r="L31" s="99">
        <v>57548</v>
      </c>
      <c r="M31" s="99">
        <f>224795-L31-K31-J31</f>
        <v>63191</v>
      </c>
      <c r="N31" s="99">
        <v>72732</v>
      </c>
      <c r="O31" s="99">
        <v>70391</v>
      </c>
      <c r="P31" s="99">
        <v>63531</v>
      </c>
      <c r="Q31" s="99">
        <f>264309-P31-O31-N31</f>
        <v>57655</v>
      </c>
      <c r="R31" s="99">
        <v>0</v>
      </c>
      <c r="S31" s="99">
        <v>0</v>
      </c>
      <c r="T31" s="99">
        <v>0</v>
      </c>
      <c r="U31" s="99">
        <v>0</v>
      </c>
      <c r="V31" s="99">
        <v>0</v>
      </c>
      <c r="W31" s="99">
        <v>0</v>
      </c>
      <c r="X31" s="99">
        <v>0</v>
      </c>
      <c r="Y31" s="99">
        <v>0</v>
      </c>
    </row>
    <row r="32" spans="1:25" x14ac:dyDescent="0.2">
      <c r="A32" s="60" t="s">
        <v>247</v>
      </c>
      <c r="B32" s="147">
        <v>-106348</v>
      </c>
      <c r="C32" s="147">
        <v>-110204</v>
      </c>
      <c r="D32" s="147">
        <v>-121257</v>
      </c>
      <c r="E32" s="147">
        <v>-121045</v>
      </c>
      <c r="F32" s="147">
        <v>-120294</v>
      </c>
      <c r="G32" s="147">
        <v>-114924</v>
      </c>
      <c r="H32" s="147">
        <v>-134677</v>
      </c>
      <c r="I32" s="147">
        <v>-130545</v>
      </c>
      <c r="J32" s="154">
        <v>-115594</v>
      </c>
      <c r="K32" s="154">
        <v>-118467</v>
      </c>
      <c r="L32" s="147">
        <v>-129320</v>
      </c>
      <c r="M32" s="154">
        <f>-497289-L32-K32-J32</f>
        <v>-133908</v>
      </c>
      <c r="N32" s="147">
        <v>-134395</v>
      </c>
      <c r="O32" s="147">
        <v>-150059</v>
      </c>
      <c r="P32" s="147">
        <v>-140030</v>
      </c>
      <c r="Q32" s="147">
        <f>-561935-P32-O32-N32</f>
        <v>-137451</v>
      </c>
      <c r="R32" s="147">
        <v>0</v>
      </c>
      <c r="S32" s="147">
        <v>0</v>
      </c>
      <c r="T32" s="147">
        <v>0</v>
      </c>
      <c r="U32" s="147">
        <v>0</v>
      </c>
      <c r="V32" s="147">
        <v>0</v>
      </c>
      <c r="W32" s="147">
        <v>0</v>
      </c>
      <c r="X32" s="147">
        <v>0</v>
      </c>
      <c r="Y32" s="147">
        <v>0</v>
      </c>
    </row>
    <row r="33" spans="1:25" x14ac:dyDescent="0.2">
      <c r="A33" s="60" t="s">
        <v>248</v>
      </c>
      <c r="B33" s="147">
        <v>-157063</v>
      </c>
      <c r="C33" s="147">
        <v>-165828</v>
      </c>
      <c r="D33" s="147">
        <v>-164697</v>
      </c>
      <c r="E33" s="147">
        <v>-196265</v>
      </c>
      <c r="F33" s="147">
        <v>-192282</v>
      </c>
      <c r="G33" s="147">
        <v>-248088</v>
      </c>
      <c r="H33" s="147">
        <v>-207116</v>
      </c>
      <c r="I33" s="147">
        <v>-203964</v>
      </c>
      <c r="J33" s="154">
        <v>-222297</v>
      </c>
      <c r="K33" s="154">
        <v>-221078</v>
      </c>
      <c r="L33" s="147">
        <v>-213190</v>
      </c>
      <c r="M33" s="154">
        <f>-846801-L33-K33-J33</f>
        <v>-190236</v>
      </c>
      <c r="N33" s="147">
        <v>-207011</v>
      </c>
      <c r="O33" s="147">
        <v>-234863</v>
      </c>
      <c r="P33" s="147">
        <v>-235630</v>
      </c>
      <c r="Q33" s="147">
        <f>-916510-P33-O33-N33</f>
        <v>-239006</v>
      </c>
      <c r="R33" s="147">
        <v>0</v>
      </c>
      <c r="S33" s="147">
        <v>0</v>
      </c>
      <c r="T33" s="147">
        <v>0</v>
      </c>
      <c r="U33" s="147">
        <v>0</v>
      </c>
      <c r="V33" s="147">
        <v>0</v>
      </c>
      <c r="W33" s="147">
        <v>0</v>
      </c>
      <c r="X33" s="147">
        <v>0</v>
      </c>
      <c r="Y33" s="147">
        <v>0</v>
      </c>
    </row>
    <row r="34" spans="1:25" x14ac:dyDescent="0.2">
      <c r="A34" s="60" t="s">
        <v>249</v>
      </c>
      <c r="B34" s="147">
        <v>-26342</v>
      </c>
      <c r="C34" s="147">
        <v>-28803</v>
      </c>
      <c r="D34" s="147">
        <v>-30227</v>
      </c>
      <c r="E34" s="147">
        <v>-32434</v>
      </c>
      <c r="F34" s="147">
        <v>-33872</v>
      </c>
      <c r="G34" s="147">
        <v>-40744</v>
      </c>
      <c r="H34" s="147">
        <v>-36252</v>
      </c>
      <c r="I34" s="147">
        <v>-37630</v>
      </c>
      <c r="J34" s="154">
        <v>-38510</v>
      </c>
      <c r="K34" s="154">
        <v>-41338</v>
      </c>
      <c r="L34" s="147">
        <v>-40245</v>
      </c>
      <c r="M34" s="154">
        <f>-165545-L34-K34-J34</f>
        <v>-45452</v>
      </c>
      <c r="N34" s="147">
        <v>-46436</v>
      </c>
      <c r="O34" s="147">
        <v>-48305</v>
      </c>
      <c r="P34" s="147">
        <v>-49646</v>
      </c>
      <c r="Q34" s="147">
        <f>-206924-P34-O34-N34</f>
        <v>-62537</v>
      </c>
      <c r="R34" s="147">
        <v>0</v>
      </c>
      <c r="S34" s="147">
        <v>0</v>
      </c>
      <c r="T34" s="147">
        <v>0</v>
      </c>
      <c r="U34" s="147">
        <v>0</v>
      </c>
      <c r="V34" s="147">
        <v>0</v>
      </c>
      <c r="W34" s="147">
        <v>0</v>
      </c>
      <c r="X34" s="147">
        <v>0</v>
      </c>
      <c r="Y34" s="147">
        <v>0</v>
      </c>
    </row>
    <row r="35" spans="1:25" s="60" customFormat="1" x14ac:dyDescent="0.2">
      <c r="A35" s="60" t="s">
        <v>260</v>
      </c>
      <c r="B35" s="99">
        <v>30427</v>
      </c>
      <c r="C35" s="99">
        <v>5822</v>
      </c>
      <c r="D35" s="99">
        <v>11400</v>
      </c>
      <c r="E35" s="147">
        <v>4589</v>
      </c>
      <c r="F35" s="147">
        <v>7199</v>
      </c>
      <c r="G35" s="99">
        <v>26843</v>
      </c>
      <c r="H35" s="99">
        <v>18494</v>
      </c>
      <c r="I35" s="147">
        <v>39402</v>
      </c>
      <c r="J35" s="99">
        <v>40505</v>
      </c>
      <c r="K35" s="99">
        <v>11197</v>
      </c>
      <c r="L35" s="99">
        <v>18311</v>
      </c>
      <c r="M35" s="99">
        <f>91173-L35-K35-J35</f>
        <v>21160</v>
      </c>
      <c r="N35" s="99">
        <v>12548</v>
      </c>
      <c r="O35" s="99">
        <v>14819</v>
      </c>
      <c r="P35" s="99">
        <v>22134</v>
      </c>
      <c r="Q35" s="99">
        <f>72198-P35-O35-N35</f>
        <v>22697</v>
      </c>
      <c r="R35" s="99">
        <v>0</v>
      </c>
      <c r="S35" s="99">
        <v>0</v>
      </c>
      <c r="T35" s="99">
        <v>0</v>
      </c>
      <c r="U35" s="99">
        <v>0</v>
      </c>
      <c r="V35" s="99">
        <v>0</v>
      </c>
      <c r="W35" s="99">
        <v>0</v>
      </c>
      <c r="X35" s="99">
        <v>0</v>
      </c>
      <c r="Y35" s="99">
        <v>0</v>
      </c>
    </row>
    <row r="36" spans="1:25" s="60" customFormat="1" x14ac:dyDescent="0.2">
      <c r="A36" s="60" t="s">
        <v>250</v>
      </c>
      <c r="B36" s="154">
        <v>-79519</v>
      </c>
      <c r="C36" s="154">
        <v>-82575</v>
      </c>
      <c r="D36" s="154">
        <v>-106833</v>
      </c>
      <c r="E36" s="147">
        <v>-133038</v>
      </c>
      <c r="F36" s="147">
        <v>-128688</v>
      </c>
      <c r="G36" s="154">
        <v>-142326</v>
      </c>
      <c r="H36" s="154">
        <v>-175510</v>
      </c>
      <c r="I36" s="154">
        <v>-222779</v>
      </c>
      <c r="J36" s="154">
        <v>-171257</v>
      </c>
      <c r="K36" s="154">
        <v>-198453</v>
      </c>
      <c r="L36" s="154">
        <v>-208647</v>
      </c>
      <c r="M36" s="154">
        <f>-789791-L36-K36-J36</f>
        <v>-211434</v>
      </c>
      <c r="N36" s="154">
        <v>-217010</v>
      </c>
      <c r="O36" s="154">
        <v>-230649</v>
      </c>
      <c r="P36" s="154">
        <v>-237699</v>
      </c>
      <c r="Q36" s="154">
        <f>-968621-P36-O36-N36</f>
        <v>-283263</v>
      </c>
      <c r="R36" s="154">
        <v>0</v>
      </c>
      <c r="S36" s="154">
        <v>0</v>
      </c>
      <c r="T36" s="154">
        <v>0</v>
      </c>
      <c r="U36" s="154">
        <v>0</v>
      </c>
      <c r="V36" s="154">
        <v>0</v>
      </c>
      <c r="W36" s="154">
        <v>0</v>
      </c>
      <c r="X36" s="154">
        <v>0</v>
      </c>
      <c r="Y36" s="154">
        <v>0</v>
      </c>
    </row>
    <row r="37" spans="1:25" s="60" customFormat="1" x14ac:dyDescent="0.2">
      <c r="A37" s="60" t="s">
        <v>336</v>
      </c>
      <c r="B37" s="154">
        <v>0</v>
      </c>
      <c r="C37" s="154">
        <v>0</v>
      </c>
      <c r="D37" s="154">
        <v>0</v>
      </c>
      <c r="E37" s="154">
        <v>0</v>
      </c>
      <c r="F37" s="154">
        <v>0</v>
      </c>
      <c r="G37" s="154">
        <v>0</v>
      </c>
      <c r="H37" s="154">
        <v>0</v>
      </c>
      <c r="I37" s="154">
        <v>0</v>
      </c>
      <c r="J37" s="154">
        <v>-25697</v>
      </c>
      <c r="K37" s="154">
        <v>-37768</v>
      </c>
      <c r="L37" s="154">
        <v>-17462</v>
      </c>
      <c r="M37" s="154">
        <f>-113599-L37-K37-J37</f>
        <v>-32672</v>
      </c>
      <c r="N37" s="154">
        <v>-33314</v>
      </c>
      <c r="O37" s="154">
        <v>-44534</v>
      </c>
      <c r="P37" s="154">
        <v>-32527</v>
      </c>
      <c r="Q37" s="154">
        <f>-152685-P37-O37-N37</f>
        <v>-42310</v>
      </c>
      <c r="R37" s="154"/>
      <c r="S37" s="154"/>
      <c r="T37" s="154"/>
      <c r="U37" s="154"/>
      <c r="V37" s="154"/>
      <c r="W37" s="154"/>
      <c r="X37" s="154"/>
      <c r="Y37" s="154"/>
    </row>
    <row r="38" spans="1:25" s="60" customFormat="1" x14ac:dyDescent="0.2"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</row>
    <row r="39" spans="1:25" x14ac:dyDescent="0.2">
      <c r="A39" s="78" t="s">
        <v>204</v>
      </c>
      <c r="B39" s="148">
        <f t="shared" ref="B39:D39" si="6">B26+B28</f>
        <v>69960</v>
      </c>
      <c r="C39" s="148">
        <f t="shared" si="6"/>
        <v>62050</v>
      </c>
      <c r="D39" s="148">
        <f t="shared" si="6"/>
        <v>50913</v>
      </c>
      <c r="E39" s="148">
        <f t="shared" ref="E39:Y39" si="7">E26+E28</f>
        <v>62288</v>
      </c>
      <c r="F39" s="148">
        <f t="shared" si="7"/>
        <v>90573</v>
      </c>
      <c r="G39" s="148">
        <f t="shared" si="7"/>
        <v>68681</v>
      </c>
      <c r="H39" s="148">
        <f t="shared" si="7"/>
        <v>69033</v>
      </c>
      <c r="I39" s="148">
        <f t="shared" si="7"/>
        <v>-64414</v>
      </c>
      <c r="J39" s="148">
        <f t="shared" si="7"/>
        <v>64794</v>
      </c>
      <c r="K39" s="148">
        <f t="shared" si="7"/>
        <v>76746</v>
      </c>
      <c r="L39" s="148">
        <f t="shared" si="7"/>
        <v>32258</v>
      </c>
      <c r="M39" s="148">
        <f>M26+M28</f>
        <v>77744</v>
      </c>
      <c r="N39" s="148">
        <f t="shared" si="7"/>
        <v>97920</v>
      </c>
      <c r="O39" s="148">
        <f t="shared" si="7"/>
        <v>137746</v>
      </c>
      <c r="P39" s="148">
        <f t="shared" si="7"/>
        <v>125142</v>
      </c>
      <c r="Q39" s="148">
        <f t="shared" si="7"/>
        <v>174666</v>
      </c>
      <c r="R39" s="148">
        <f t="shared" si="7"/>
        <v>0</v>
      </c>
      <c r="S39" s="148">
        <f t="shared" si="7"/>
        <v>0</v>
      </c>
      <c r="T39" s="148">
        <f t="shared" si="7"/>
        <v>0</v>
      </c>
      <c r="U39" s="148">
        <f t="shared" si="7"/>
        <v>0</v>
      </c>
      <c r="V39" s="148">
        <f t="shared" si="7"/>
        <v>0</v>
      </c>
      <c r="W39" s="148">
        <f t="shared" si="7"/>
        <v>0</v>
      </c>
      <c r="X39" s="148">
        <f t="shared" si="7"/>
        <v>0</v>
      </c>
      <c r="Y39" s="148">
        <f t="shared" si="7"/>
        <v>0</v>
      </c>
    </row>
    <row r="41" spans="1:25" x14ac:dyDescent="0.2">
      <c r="A41" s="78" t="s">
        <v>235</v>
      </c>
      <c r="B41" s="148">
        <f t="shared" ref="B41:Y41" si="8">B42+B43</f>
        <v>-6430</v>
      </c>
      <c r="C41" s="148">
        <f t="shared" si="8"/>
        <v>-6393</v>
      </c>
      <c r="D41" s="148">
        <f t="shared" si="8"/>
        <v>-1001</v>
      </c>
      <c r="E41" s="148">
        <f t="shared" si="8"/>
        <v>-2207</v>
      </c>
      <c r="F41" s="148">
        <f t="shared" si="8"/>
        <v>-7040</v>
      </c>
      <c r="G41" s="148">
        <f t="shared" si="8"/>
        <v>3639</v>
      </c>
      <c r="H41" s="148">
        <f t="shared" si="8"/>
        <v>13624</v>
      </c>
      <c r="I41" s="148">
        <f t="shared" si="8"/>
        <v>-6732</v>
      </c>
      <c r="J41" s="148">
        <f t="shared" si="8"/>
        <v>780</v>
      </c>
      <c r="K41" s="148">
        <f t="shared" si="8"/>
        <v>3186</v>
      </c>
      <c r="L41" s="148">
        <f t="shared" si="8"/>
        <v>250</v>
      </c>
      <c r="M41" s="148">
        <f t="shared" si="8"/>
        <v>8375</v>
      </c>
      <c r="N41" s="148">
        <f t="shared" si="8"/>
        <v>-1730</v>
      </c>
      <c r="O41" s="148">
        <f t="shared" si="8"/>
        <v>667</v>
      </c>
      <c r="P41" s="148">
        <f t="shared" si="8"/>
        <v>500</v>
      </c>
      <c r="Q41" s="148">
        <f t="shared" si="8"/>
        <v>8350</v>
      </c>
      <c r="R41" s="148">
        <f t="shared" si="8"/>
        <v>0</v>
      </c>
      <c r="S41" s="148">
        <f t="shared" si="8"/>
        <v>0</v>
      </c>
      <c r="T41" s="148">
        <f t="shared" si="8"/>
        <v>0</v>
      </c>
      <c r="U41" s="148">
        <f t="shared" si="8"/>
        <v>0</v>
      </c>
      <c r="V41" s="148">
        <f t="shared" si="8"/>
        <v>0</v>
      </c>
      <c r="W41" s="148">
        <f t="shared" si="8"/>
        <v>0</v>
      </c>
      <c r="X41" s="148">
        <f t="shared" si="8"/>
        <v>0</v>
      </c>
      <c r="Y41" s="148">
        <f t="shared" si="8"/>
        <v>0</v>
      </c>
    </row>
    <row r="42" spans="1:25" x14ac:dyDescent="0.2">
      <c r="A42" s="55" t="s">
        <v>251</v>
      </c>
      <c r="B42" s="147">
        <v>24068</v>
      </c>
      <c r="C42" s="147">
        <v>6789</v>
      </c>
      <c r="D42" s="147">
        <v>17738</v>
      </c>
      <c r="E42" s="147">
        <v>8058</v>
      </c>
      <c r="F42" s="147">
        <v>2261</v>
      </c>
      <c r="G42" s="147">
        <v>4791</v>
      </c>
      <c r="H42" s="147">
        <v>14119</v>
      </c>
      <c r="I42" s="147">
        <v>969</v>
      </c>
      <c r="J42" s="147">
        <v>1129</v>
      </c>
      <c r="K42" s="147">
        <v>5286</v>
      </c>
      <c r="L42" s="147">
        <v>861</v>
      </c>
      <c r="M42" s="147">
        <f>19276-L42-K42-J42</f>
        <v>12000</v>
      </c>
      <c r="N42" s="147">
        <v>1154</v>
      </c>
      <c r="O42" s="147">
        <v>1972</v>
      </c>
      <c r="P42" s="147">
        <v>888</v>
      </c>
      <c r="Q42" s="147">
        <f>14208-P42-O42-N42</f>
        <v>10194</v>
      </c>
      <c r="R42" s="147">
        <v>0</v>
      </c>
      <c r="S42" s="147">
        <v>0</v>
      </c>
      <c r="T42" s="147">
        <v>0</v>
      </c>
      <c r="U42" s="147">
        <v>0</v>
      </c>
      <c r="V42" s="147">
        <v>0</v>
      </c>
      <c r="W42" s="147">
        <v>0</v>
      </c>
      <c r="X42" s="147">
        <v>0</v>
      </c>
      <c r="Y42" s="147">
        <v>0</v>
      </c>
    </row>
    <row r="43" spans="1:25" x14ac:dyDescent="0.2">
      <c r="A43" s="55" t="s">
        <v>252</v>
      </c>
      <c r="B43" s="147">
        <v>-30498</v>
      </c>
      <c r="C43" s="147">
        <v>-13182</v>
      </c>
      <c r="D43" s="147">
        <v>-18739</v>
      </c>
      <c r="E43" s="147">
        <v>-10265</v>
      </c>
      <c r="F43" s="147">
        <v>-9301</v>
      </c>
      <c r="G43" s="147">
        <v>-1152</v>
      </c>
      <c r="H43" s="147">
        <v>-495</v>
      </c>
      <c r="I43" s="147">
        <v>-7701</v>
      </c>
      <c r="J43" s="147">
        <v>-349</v>
      </c>
      <c r="K43" s="147">
        <v>-2100</v>
      </c>
      <c r="L43" s="147">
        <v>-611</v>
      </c>
      <c r="M43" s="147">
        <f>-6685-L43-K43-J43</f>
        <v>-3625</v>
      </c>
      <c r="N43" s="147">
        <v>-2884</v>
      </c>
      <c r="O43" s="147">
        <v>-1305</v>
      </c>
      <c r="P43" s="147">
        <v>-388</v>
      </c>
      <c r="Q43" s="147">
        <f>-6421-P43-O43-N43</f>
        <v>-1844</v>
      </c>
      <c r="R43" s="147">
        <v>0</v>
      </c>
      <c r="S43" s="147">
        <v>0</v>
      </c>
      <c r="T43" s="147">
        <v>0</v>
      </c>
      <c r="U43" s="147">
        <v>0</v>
      </c>
      <c r="V43" s="147">
        <v>0</v>
      </c>
      <c r="W43" s="147">
        <v>0</v>
      </c>
      <c r="X43" s="147">
        <v>0</v>
      </c>
      <c r="Y43" s="147">
        <v>0</v>
      </c>
    </row>
    <row r="45" spans="1:25" x14ac:dyDescent="0.2">
      <c r="A45" s="78" t="s">
        <v>205</v>
      </c>
      <c r="B45" s="148">
        <f t="shared" ref="B45:Y45" si="9">B39+B41</f>
        <v>63530</v>
      </c>
      <c r="C45" s="148">
        <f t="shared" si="9"/>
        <v>55657</v>
      </c>
      <c r="D45" s="148">
        <f t="shared" si="9"/>
        <v>49912</v>
      </c>
      <c r="E45" s="148">
        <f t="shared" si="9"/>
        <v>60081</v>
      </c>
      <c r="F45" s="148">
        <f t="shared" si="9"/>
        <v>83533</v>
      </c>
      <c r="G45" s="148">
        <f t="shared" si="9"/>
        <v>72320</v>
      </c>
      <c r="H45" s="148">
        <f t="shared" si="9"/>
        <v>82657</v>
      </c>
      <c r="I45" s="148">
        <f t="shared" si="9"/>
        <v>-71146</v>
      </c>
      <c r="J45" s="148">
        <f t="shared" si="9"/>
        <v>65574</v>
      </c>
      <c r="K45" s="148">
        <f t="shared" si="9"/>
        <v>79932</v>
      </c>
      <c r="L45" s="148">
        <f t="shared" si="9"/>
        <v>32508</v>
      </c>
      <c r="M45" s="148">
        <f>M39+M41</f>
        <v>86119</v>
      </c>
      <c r="N45" s="148">
        <f t="shared" si="9"/>
        <v>96190</v>
      </c>
      <c r="O45" s="148">
        <f t="shared" si="9"/>
        <v>138413</v>
      </c>
      <c r="P45" s="148">
        <f t="shared" si="9"/>
        <v>125642</v>
      </c>
      <c r="Q45" s="148">
        <f t="shared" si="9"/>
        <v>183016</v>
      </c>
      <c r="R45" s="148">
        <f t="shared" si="9"/>
        <v>0</v>
      </c>
      <c r="S45" s="148">
        <f t="shared" si="9"/>
        <v>0</v>
      </c>
      <c r="T45" s="148">
        <f t="shared" si="9"/>
        <v>0</v>
      </c>
      <c r="U45" s="148">
        <f t="shared" si="9"/>
        <v>0</v>
      </c>
      <c r="V45" s="148">
        <f t="shared" si="9"/>
        <v>0</v>
      </c>
      <c r="W45" s="148">
        <f t="shared" si="9"/>
        <v>0</v>
      </c>
      <c r="X45" s="148">
        <f t="shared" si="9"/>
        <v>0</v>
      </c>
      <c r="Y45" s="148">
        <f t="shared" si="9"/>
        <v>0</v>
      </c>
    </row>
    <row r="47" spans="1:25" x14ac:dyDescent="0.2">
      <c r="A47" s="78" t="s">
        <v>234</v>
      </c>
      <c r="B47" s="148">
        <f t="shared" ref="B47:Y47" si="10">SUM(B48:B50)</f>
        <v>-16338</v>
      </c>
      <c r="C47" s="148">
        <f t="shared" si="10"/>
        <v>-16255</v>
      </c>
      <c r="D47" s="148">
        <f t="shared" si="10"/>
        <v>-17161</v>
      </c>
      <c r="E47" s="148">
        <f t="shared" si="10"/>
        <v>-633</v>
      </c>
      <c r="F47" s="148">
        <f t="shared" si="10"/>
        <v>-23540</v>
      </c>
      <c r="G47" s="148">
        <f t="shared" si="10"/>
        <v>-12799</v>
      </c>
      <c r="H47" s="148">
        <f t="shared" si="10"/>
        <v>-34357</v>
      </c>
      <c r="I47" s="148">
        <f t="shared" si="10"/>
        <v>124982</v>
      </c>
      <c r="J47" s="148">
        <f t="shared" si="10"/>
        <v>-18431</v>
      </c>
      <c r="K47" s="148">
        <f t="shared" si="10"/>
        <v>-31668</v>
      </c>
      <c r="L47" s="148">
        <f t="shared" si="10"/>
        <v>7112</v>
      </c>
      <c r="M47" s="148">
        <f t="shared" si="10"/>
        <v>-20531</v>
      </c>
      <c r="N47" s="148">
        <f t="shared" si="10"/>
        <v>-27982</v>
      </c>
      <c r="O47" s="148">
        <f t="shared" si="10"/>
        <v>-37945</v>
      </c>
      <c r="P47" s="148">
        <f t="shared" si="10"/>
        <v>-23231</v>
      </c>
      <c r="Q47" s="148">
        <f t="shared" si="10"/>
        <v>-32309</v>
      </c>
      <c r="R47" s="148">
        <f t="shared" si="10"/>
        <v>0</v>
      </c>
      <c r="S47" s="148">
        <f t="shared" si="10"/>
        <v>0</v>
      </c>
      <c r="T47" s="148">
        <f t="shared" si="10"/>
        <v>0</v>
      </c>
      <c r="U47" s="148">
        <f t="shared" si="10"/>
        <v>0</v>
      </c>
      <c r="V47" s="148">
        <f t="shared" si="10"/>
        <v>0</v>
      </c>
      <c r="W47" s="148">
        <f t="shared" si="10"/>
        <v>0</v>
      </c>
      <c r="X47" s="148">
        <f t="shared" si="10"/>
        <v>0</v>
      </c>
      <c r="Y47" s="148">
        <f t="shared" si="10"/>
        <v>0</v>
      </c>
    </row>
    <row r="48" spans="1:25" x14ac:dyDescent="0.2">
      <c r="A48" s="55" t="s">
        <v>254</v>
      </c>
      <c r="B48" s="147">
        <v>-3197</v>
      </c>
      <c r="C48" s="147">
        <v>-4889</v>
      </c>
      <c r="D48" s="147">
        <v>472</v>
      </c>
      <c r="E48" s="147">
        <v>-2354</v>
      </c>
      <c r="F48" s="147">
        <v>-11499</v>
      </c>
      <c r="G48" s="147">
        <v>-3372</v>
      </c>
      <c r="H48" s="147">
        <v>-14485</v>
      </c>
      <c r="I48" s="147">
        <v>25107</v>
      </c>
      <c r="J48" s="147">
        <v>16968</v>
      </c>
      <c r="K48" s="147">
        <v>-7392</v>
      </c>
      <c r="L48" s="147">
        <v>-8250</v>
      </c>
      <c r="M48" s="147">
        <f>-5597-L48-K48-J48</f>
        <v>-6923</v>
      </c>
      <c r="N48" s="147">
        <v>-14028</v>
      </c>
      <c r="O48" s="147">
        <v>-32446</v>
      </c>
      <c r="P48" s="147">
        <v>-24445</v>
      </c>
      <c r="Q48" s="147">
        <f>-63029-P48-O48-N48</f>
        <v>7890</v>
      </c>
      <c r="R48" s="147">
        <v>0</v>
      </c>
      <c r="S48" s="147">
        <v>0</v>
      </c>
      <c r="T48" s="147">
        <v>0</v>
      </c>
      <c r="U48" s="147">
        <v>0</v>
      </c>
      <c r="V48" s="147">
        <v>0</v>
      </c>
      <c r="W48" s="147">
        <v>0</v>
      </c>
      <c r="X48" s="147">
        <v>0</v>
      </c>
      <c r="Y48" s="147">
        <v>0</v>
      </c>
    </row>
    <row r="49" spans="1:25" x14ac:dyDescent="0.2">
      <c r="A49" s="55" t="s">
        <v>255</v>
      </c>
      <c r="B49" s="147">
        <v>-2069</v>
      </c>
      <c r="C49" s="147">
        <v>-3204</v>
      </c>
      <c r="D49" s="147">
        <v>1114</v>
      </c>
      <c r="E49" s="147">
        <v>-967</v>
      </c>
      <c r="F49" s="147">
        <v>-8137</v>
      </c>
      <c r="G49" s="147">
        <v>-1354</v>
      </c>
      <c r="H49" s="147">
        <v>-12611</v>
      </c>
      <c r="I49" s="147">
        <v>21554</v>
      </c>
      <c r="J49" s="147">
        <v>12423</v>
      </c>
      <c r="K49" s="147">
        <v>-2720</v>
      </c>
      <c r="L49" s="147">
        <v>-3921</v>
      </c>
      <c r="M49" s="147">
        <f>4454-L49-K49-J49</f>
        <v>-1328</v>
      </c>
      <c r="N49" s="147">
        <v>-7319</v>
      </c>
      <c r="O49" s="147">
        <v>-21779</v>
      </c>
      <c r="P49" s="147">
        <v>-16190</v>
      </c>
      <c r="Q49" s="147">
        <f>-32975-P49-O49-N49</f>
        <v>12313</v>
      </c>
      <c r="R49" s="147">
        <v>0</v>
      </c>
      <c r="S49" s="147">
        <v>0</v>
      </c>
      <c r="T49" s="147">
        <v>0</v>
      </c>
      <c r="U49" s="147">
        <v>0</v>
      </c>
      <c r="V49" s="147">
        <v>0</v>
      </c>
      <c r="W49" s="147">
        <v>0</v>
      </c>
      <c r="X49" s="147">
        <v>0</v>
      </c>
      <c r="Y49" s="147">
        <v>0</v>
      </c>
    </row>
    <row r="50" spans="1:25" x14ac:dyDescent="0.2">
      <c r="A50" s="55" t="s">
        <v>256</v>
      </c>
      <c r="B50" s="147">
        <v>-11072</v>
      </c>
      <c r="C50" s="147">
        <v>-8162</v>
      </c>
      <c r="D50" s="147">
        <v>-18747</v>
      </c>
      <c r="E50" s="147">
        <v>2688</v>
      </c>
      <c r="F50" s="147">
        <v>-3904</v>
      </c>
      <c r="G50" s="147">
        <v>-8073</v>
      </c>
      <c r="H50" s="147">
        <v>-7261</v>
      </c>
      <c r="I50" s="147">
        <v>78321</v>
      </c>
      <c r="J50" s="147">
        <v>-47822</v>
      </c>
      <c r="K50" s="147">
        <v>-21556</v>
      </c>
      <c r="L50" s="147">
        <v>19283</v>
      </c>
      <c r="M50" s="147">
        <f>-62375-L50-K50-J50</f>
        <v>-12280</v>
      </c>
      <c r="N50" s="147">
        <v>-6635</v>
      </c>
      <c r="O50" s="147">
        <v>16280</v>
      </c>
      <c r="P50" s="147">
        <v>17404</v>
      </c>
      <c r="Q50" s="147">
        <f>-25463-P50-O50-N50</f>
        <v>-52512</v>
      </c>
      <c r="R50" s="147">
        <v>0</v>
      </c>
      <c r="S50" s="147">
        <v>0</v>
      </c>
      <c r="T50" s="147">
        <v>0</v>
      </c>
      <c r="U50" s="147">
        <v>0</v>
      </c>
      <c r="V50" s="147">
        <v>0</v>
      </c>
      <c r="W50" s="147">
        <v>0</v>
      </c>
      <c r="X50" s="147">
        <v>0</v>
      </c>
      <c r="Y50" s="147">
        <v>0</v>
      </c>
    </row>
    <row r="52" spans="1:25" x14ac:dyDescent="0.2">
      <c r="A52" s="78" t="s">
        <v>206</v>
      </c>
      <c r="B52" s="148">
        <f t="shared" ref="B52:Y52" si="11">B53+B54</f>
        <v>-11</v>
      </c>
      <c r="C52" s="148">
        <f t="shared" si="11"/>
        <v>-12388</v>
      </c>
      <c r="D52" s="148">
        <f t="shared" si="11"/>
        <v>-4370</v>
      </c>
      <c r="E52" s="148">
        <f t="shared" si="11"/>
        <v>-8669</v>
      </c>
      <c r="F52" s="148">
        <f t="shared" si="11"/>
        <v>-8556</v>
      </c>
      <c r="G52" s="148">
        <f t="shared" si="11"/>
        <v>-10044</v>
      </c>
      <c r="H52" s="148">
        <f t="shared" si="11"/>
        <v>-8157</v>
      </c>
      <c r="I52" s="148">
        <f t="shared" si="11"/>
        <v>-7530</v>
      </c>
      <c r="J52" s="148">
        <f t="shared" si="11"/>
        <v>0</v>
      </c>
      <c r="K52" s="148">
        <f t="shared" si="11"/>
        <v>0</v>
      </c>
      <c r="L52" s="148">
        <f t="shared" si="11"/>
        <v>0</v>
      </c>
      <c r="M52" s="148">
        <f t="shared" si="11"/>
        <v>0</v>
      </c>
      <c r="N52" s="148">
        <f t="shared" si="11"/>
        <v>0</v>
      </c>
      <c r="O52" s="148">
        <f t="shared" si="11"/>
        <v>0</v>
      </c>
      <c r="P52" s="148">
        <f t="shared" si="11"/>
        <v>0</v>
      </c>
      <c r="Q52" s="148">
        <f t="shared" si="11"/>
        <v>0</v>
      </c>
      <c r="R52" s="148">
        <f t="shared" si="11"/>
        <v>0</v>
      </c>
      <c r="S52" s="148">
        <f t="shared" si="11"/>
        <v>0</v>
      </c>
      <c r="T52" s="148">
        <f t="shared" si="11"/>
        <v>0</v>
      </c>
      <c r="U52" s="148">
        <f t="shared" si="11"/>
        <v>0</v>
      </c>
      <c r="V52" s="148">
        <f t="shared" si="11"/>
        <v>0</v>
      </c>
      <c r="W52" s="148">
        <f t="shared" si="11"/>
        <v>0</v>
      </c>
      <c r="X52" s="148">
        <f t="shared" si="11"/>
        <v>0</v>
      </c>
      <c r="Y52" s="148">
        <f t="shared" si="11"/>
        <v>0</v>
      </c>
    </row>
    <row r="53" spans="1:25" x14ac:dyDescent="0.2">
      <c r="A53" s="55" t="s">
        <v>257</v>
      </c>
      <c r="B53" s="147">
        <v>0</v>
      </c>
      <c r="C53" s="147">
        <v>-750</v>
      </c>
      <c r="D53" s="147">
        <v>0</v>
      </c>
      <c r="E53" s="147">
        <v>-1540</v>
      </c>
      <c r="F53" s="147">
        <v>-1689</v>
      </c>
      <c r="G53" s="147">
        <v>-1527</v>
      </c>
      <c r="H53" s="147">
        <v>-1680</v>
      </c>
      <c r="I53" s="147">
        <v>-316</v>
      </c>
      <c r="J53" s="154">
        <v>0</v>
      </c>
      <c r="K53" s="147">
        <v>0</v>
      </c>
      <c r="L53" s="147">
        <v>0</v>
      </c>
      <c r="M53" s="147">
        <v>0</v>
      </c>
      <c r="N53" s="147">
        <v>0</v>
      </c>
      <c r="O53" s="147">
        <v>0</v>
      </c>
      <c r="P53" s="147">
        <v>0</v>
      </c>
      <c r="Q53" s="147">
        <v>0</v>
      </c>
      <c r="R53" s="147">
        <v>0</v>
      </c>
      <c r="S53" s="147">
        <v>0</v>
      </c>
      <c r="T53" s="147">
        <v>0</v>
      </c>
      <c r="U53" s="147">
        <v>0</v>
      </c>
      <c r="V53" s="147">
        <v>0</v>
      </c>
      <c r="W53" s="147">
        <v>0</v>
      </c>
      <c r="X53" s="147">
        <v>0</v>
      </c>
      <c r="Y53" s="147">
        <v>0</v>
      </c>
    </row>
    <row r="54" spans="1:25" x14ac:dyDescent="0.2">
      <c r="A54" s="55" t="s">
        <v>258</v>
      </c>
      <c r="B54" s="147">
        <v>-11</v>
      </c>
      <c r="C54" s="147">
        <v>-11638</v>
      </c>
      <c r="D54" s="147">
        <v>-4370</v>
      </c>
      <c r="E54" s="147">
        <v>-7129</v>
      </c>
      <c r="F54" s="147">
        <v>-6867</v>
      </c>
      <c r="G54" s="147">
        <v>-8517</v>
      </c>
      <c r="H54" s="147">
        <v>-6477</v>
      </c>
      <c r="I54" s="147">
        <v>-7214</v>
      </c>
      <c r="J54" s="154">
        <v>0</v>
      </c>
      <c r="K54" s="147">
        <v>0</v>
      </c>
      <c r="L54" s="147">
        <v>0</v>
      </c>
      <c r="M54" s="147">
        <v>0</v>
      </c>
      <c r="N54" s="147">
        <v>0</v>
      </c>
      <c r="O54" s="147">
        <v>0</v>
      </c>
      <c r="P54" s="147">
        <v>0</v>
      </c>
      <c r="Q54" s="147">
        <v>0</v>
      </c>
      <c r="R54" s="147">
        <v>0</v>
      </c>
      <c r="S54" s="147">
        <v>0</v>
      </c>
      <c r="T54" s="147">
        <v>0</v>
      </c>
      <c r="U54" s="147">
        <v>0</v>
      </c>
      <c r="V54" s="147">
        <v>0</v>
      </c>
      <c r="W54" s="147">
        <v>0</v>
      </c>
      <c r="X54" s="147">
        <v>0</v>
      </c>
      <c r="Y54" s="147">
        <v>0</v>
      </c>
    </row>
    <row r="55" spans="1:25" x14ac:dyDescent="0.2">
      <c r="A55" s="55" t="s">
        <v>119</v>
      </c>
    </row>
    <row r="56" spans="1:25" x14ac:dyDescent="0.2">
      <c r="A56" s="78" t="s">
        <v>315</v>
      </c>
      <c r="B56" s="148">
        <v>-249</v>
      </c>
      <c r="C56" s="148">
        <v>-360</v>
      </c>
      <c r="D56" s="148">
        <v>-379</v>
      </c>
      <c r="E56" s="148">
        <v>-1319</v>
      </c>
      <c r="F56" s="148">
        <v>-196</v>
      </c>
      <c r="G56" s="148">
        <v>-179</v>
      </c>
      <c r="H56" s="148">
        <v>-15</v>
      </c>
      <c r="I56" s="148">
        <v>-2486</v>
      </c>
      <c r="J56" s="148">
        <v>-26</v>
      </c>
      <c r="K56" s="148">
        <v>-81</v>
      </c>
      <c r="L56" s="148">
        <v>480</v>
      </c>
      <c r="M56" s="148">
        <f>-44-L56-K56-J56</f>
        <v>-417</v>
      </c>
      <c r="N56" s="148">
        <v>-83</v>
      </c>
      <c r="O56" s="148">
        <v>-232</v>
      </c>
      <c r="P56" s="148">
        <v>-164</v>
      </c>
      <c r="Q56" s="148">
        <f>-898-P56-O56-N56</f>
        <v>-419</v>
      </c>
      <c r="R56" s="148">
        <v>0</v>
      </c>
      <c r="S56" s="148">
        <v>0</v>
      </c>
      <c r="T56" s="148">
        <v>0</v>
      </c>
      <c r="U56" s="148">
        <v>0</v>
      </c>
      <c r="V56" s="148">
        <v>0</v>
      </c>
      <c r="W56" s="148">
        <v>0</v>
      </c>
      <c r="X56" s="148">
        <v>0</v>
      </c>
      <c r="Y56" s="148">
        <v>0</v>
      </c>
    </row>
    <row r="58" spans="1:25" x14ac:dyDescent="0.2">
      <c r="A58" s="78" t="s">
        <v>259</v>
      </c>
      <c r="B58" s="148">
        <f t="shared" ref="B58:Y58" si="12">B45+B47+B52+B56</f>
        <v>46932</v>
      </c>
      <c r="C58" s="148">
        <f t="shared" si="12"/>
        <v>26654</v>
      </c>
      <c r="D58" s="148">
        <f t="shared" si="12"/>
        <v>28002</v>
      </c>
      <c r="E58" s="148">
        <f t="shared" si="12"/>
        <v>49460</v>
      </c>
      <c r="F58" s="148">
        <f t="shared" si="12"/>
        <v>51241</v>
      </c>
      <c r="G58" s="148">
        <f t="shared" si="12"/>
        <v>49298</v>
      </c>
      <c r="H58" s="148">
        <f t="shared" si="12"/>
        <v>40128</v>
      </c>
      <c r="I58" s="148">
        <f t="shared" si="12"/>
        <v>43820</v>
      </c>
      <c r="J58" s="148">
        <f t="shared" si="12"/>
        <v>47117</v>
      </c>
      <c r="K58" s="148">
        <f t="shared" si="12"/>
        <v>48183</v>
      </c>
      <c r="L58" s="148">
        <f t="shared" si="12"/>
        <v>40100</v>
      </c>
      <c r="M58" s="148">
        <f>M45+M47+M52+M56</f>
        <v>65171</v>
      </c>
      <c r="N58" s="148">
        <f t="shared" si="12"/>
        <v>68125</v>
      </c>
      <c r="O58" s="148">
        <f t="shared" si="12"/>
        <v>100236</v>
      </c>
      <c r="P58" s="148">
        <f t="shared" si="12"/>
        <v>102247</v>
      </c>
      <c r="Q58" s="148">
        <f t="shared" si="12"/>
        <v>150288</v>
      </c>
      <c r="R58" s="148">
        <f t="shared" si="12"/>
        <v>0</v>
      </c>
      <c r="S58" s="148">
        <f t="shared" si="12"/>
        <v>0</v>
      </c>
      <c r="T58" s="148">
        <f t="shared" si="12"/>
        <v>0</v>
      </c>
      <c r="U58" s="148">
        <f t="shared" si="12"/>
        <v>0</v>
      </c>
      <c r="V58" s="148">
        <f t="shared" si="12"/>
        <v>0</v>
      </c>
      <c r="W58" s="148">
        <f t="shared" si="12"/>
        <v>0</v>
      </c>
      <c r="X58" s="148">
        <f t="shared" si="12"/>
        <v>0</v>
      </c>
      <c r="Y58" s="148">
        <f t="shared" si="12"/>
        <v>0</v>
      </c>
    </row>
    <row r="60" spans="1:25" x14ac:dyDescent="0.2">
      <c r="B60" s="155" t="s">
        <v>119</v>
      </c>
      <c r="E60" s="155">
        <f>E58+D58+C58+B58-'DRE Anual'!B58</f>
        <v>0</v>
      </c>
      <c r="F60" s="155" t="s">
        <v>119</v>
      </c>
      <c r="I60" s="155">
        <f>F58+G58+H58+I58-'DRE Anual'!C58</f>
        <v>0</v>
      </c>
      <c r="J60" s="155" t="s">
        <v>119</v>
      </c>
      <c r="L60" s="155"/>
      <c r="M60" s="155">
        <f>J58+K58+L58+M58-'DRE Anual'!D58</f>
        <v>0</v>
      </c>
      <c r="Q60" s="155">
        <f>N58+O58+P58+Q58-'DRE Anual'!E58</f>
        <v>0</v>
      </c>
    </row>
  </sheetData>
  <hyperlinks>
    <hyperlink ref="B6" location="Índice!A1" display="Índice"/>
    <hyperlink ref="M6" location="Índice!A1" display="Índice"/>
  </hyperlinks>
  <pageMargins left="0.51181102362204722" right="0.51181102362204722" top="0.78740157480314965" bottom="0.78740157480314965" header="0.31496062992125984" footer="0.31496062992125984"/>
  <pageSetup paperSize="9" scale="3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2:AT67"/>
  <sheetViews>
    <sheetView showGridLines="0" zoomScaleNormal="100" workbookViewId="0">
      <pane xSplit="1" ySplit="9" topLeftCell="AH10" activePane="bottomRight" state="frozen"/>
      <selection pane="topRight" activeCell="B1" sqref="B1"/>
      <selection pane="bottomLeft" activeCell="A10" sqref="A10"/>
      <selection pane="bottomRight" activeCell="AT9" sqref="AT9"/>
    </sheetView>
  </sheetViews>
  <sheetFormatPr defaultRowHeight="15" x14ac:dyDescent="0.25"/>
  <cols>
    <col min="1" max="1" width="61.85546875" bestFit="1" customWidth="1"/>
    <col min="2" max="31" width="12" customWidth="1"/>
    <col min="32" max="32" width="13.28515625" bestFit="1" customWidth="1"/>
    <col min="33" max="40" width="11.5703125" bestFit="1" customWidth="1"/>
    <col min="41" max="42" width="10.5703125" bestFit="1" customWidth="1"/>
    <col min="43" max="43" width="10.5703125" customWidth="1"/>
    <col min="44" max="46" width="10.5703125" bestFit="1" customWidth="1"/>
  </cols>
  <sheetData>
    <row r="2" spans="1:46" ht="21" x14ac:dyDescent="0.35">
      <c r="A2" s="8" t="s">
        <v>11</v>
      </c>
    </row>
    <row r="3" spans="1:46" ht="6.75" customHeight="1" x14ac:dyDescent="0.25">
      <c r="A3" s="7"/>
    </row>
    <row r="4" spans="1:46" x14ac:dyDescent="0.25">
      <c r="A4" s="6" t="s">
        <v>12</v>
      </c>
    </row>
    <row r="5" spans="1:46" ht="6.75" customHeight="1" x14ac:dyDescent="0.25"/>
    <row r="6" spans="1:46" x14ac:dyDescent="0.25">
      <c r="A6" s="9"/>
      <c r="B6" s="11" t="s">
        <v>13</v>
      </c>
      <c r="AP6" s="11"/>
      <c r="AQ6" s="11"/>
      <c r="AS6" s="11"/>
      <c r="AT6" s="11" t="s">
        <v>13</v>
      </c>
    </row>
    <row r="7" spans="1:46" ht="17.25" customHeight="1" x14ac:dyDescent="0.25">
      <c r="A7" s="10" t="s">
        <v>5</v>
      </c>
    </row>
    <row r="8" spans="1:46" x14ac:dyDescent="0.25">
      <c r="A8" s="1" t="s">
        <v>99</v>
      </c>
    </row>
    <row r="9" spans="1:46" s="7" customFormat="1" x14ac:dyDescent="0.25">
      <c r="A9" s="12"/>
      <c r="B9" s="12" t="s">
        <v>17</v>
      </c>
      <c r="C9" s="12" t="s">
        <v>18</v>
      </c>
      <c r="D9" s="12" t="s">
        <v>19</v>
      </c>
      <c r="E9" s="12" t="s">
        <v>20</v>
      </c>
      <c r="F9" s="12" t="s">
        <v>22</v>
      </c>
      <c r="G9" s="12" t="s">
        <v>23</v>
      </c>
      <c r="H9" s="12" t="s">
        <v>24</v>
      </c>
      <c r="I9" s="12" t="s">
        <v>25</v>
      </c>
      <c r="J9" s="12" t="s">
        <v>27</v>
      </c>
      <c r="K9" s="12" t="s">
        <v>28</v>
      </c>
      <c r="L9" s="12" t="s">
        <v>29</v>
      </c>
      <c r="M9" s="12" t="s">
        <v>30</v>
      </c>
      <c r="N9" s="12" t="s">
        <v>32</v>
      </c>
      <c r="O9" s="12" t="s">
        <v>33</v>
      </c>
      <c r="P9" s="12" t="s">
        <v>34</v>
      </c>
      <c r="Q9" s="12" t="s">
        <v>35</v>
      </c>
      <c r="R9" s="12" t="s">
        <v>36</v>
      </c>
      <c r="S9" s="12" t="s">
        <v>37</v>
      </c>
      <c r="T9" s="12" t="s">
        <v>38</v>
      </c>
      <c r="U9" s="12" t="s">
        <v>39</v>
      </c>
      <c r="V9" s="12" t="s">
        <v>40</v>
      </c>
      <c r="W9" s="12" t="s">
        <v>41</v>
      </c>
      <c r="X9" s="12" t="s">
        <v>42</v>
      </c>
      <c r="Y9" s="12" t="s">
        <v>43</v>
      </c>
      <c r="Z9" s="12" t="s">
        <v>44</v>
      </c>
      <c r="AA9" s="12" t="s">
        <v>45</v>
      </c>
      <c r="AB9" s="12" t="s">
        <v>46</v>
      </c>
      <c r="AC9" s="12" t="s">
        <v>47</v>
      </c>
      <c r="AD9" s="12" t="s">
        <v>48</v>
      </c>
      <c r="AE9" s="12" t="s">
        <v>49</v>
      </c>
      <c r="AF9" s="12" t="s">
        <v>50</v>
      </c>
      <c r="AG9" s="12" t="s">
        <v>51</v>
      </c>
      <c r="AH9" s="12" t="s">
        <v>52</v>
      </c>
      <c r="AI9" s="12" t="s">
        <v>53</v>
      </c>
      <c r="AJ9" s="12" t="s">
        <v>54</v>
      </c>
      <c r="AK9" s="12" t="s">
        <v>55</v>
      </c>
      <c r="AL9" s="12" t="s">
        <v>56</v>
      </c>
      <c r="AM9" s="12" t="s">
        <v>105</v>
      </c>
      <c r="AN9" s="12" t="s">
        <v>108</v>
      </c>
      <c r="AO9" s="12" t="s">
        <v>109</v>
      </c>
      <c r="AP9" s="12" t="s">
        <v>112</v>
      </c>
      <c r="AQ9" s="12" t="s">
        <v>114</v>
      </c>
      <c r="AR9" s="12" t="s">
        <v>115</v>
      </c>
      <c r="AS9" s="12" t="s">
        <v>116</v>
      </c>
      <c r="AT9" s="12" t="s">
        <v>117</v>
      </c>
    </row>
    <row r="10" spans="1:46" s="17" customFormat="1" x14ac:dyDescent="0.25">
      <c r="A10" s="16" t="s">
        <v>97</v>
      </c>
      <c r="B10" s="21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</row>
    <row r="11" spans="1:46" s="4" customFormat="1" x14ac:dyDescent="0.25">
      <c r="A11" s="4" t="s">
        <v>60</v>
      </c>
      <c r="B11" s="14">
        <v>86.9</v>
      </c>
      <c r="C11" s="14">
        <v>96.2</v>
      </c>
      <c r="D11" s="14">
        <v>104.5</v>
      </c>
      <c r="E11" s="14">
        <v>103</v>
      </c>
      <c r="F11" s="14">
        <v>88.9</v>
      </c>
      <c r="G11" s="14">
        <v>94.5</v>
      </c>
      <c r="H11" s="14">
        <v>93.8</v>
      </c>
      <c r="I11" s="14">
        <v>98.7</v>
      </c>
      <c r="J11" s="14">
        <v>108.5</v>
      </c>
      <c r="K11" s="14">
        <v>113.3</v>
      </c>
      <c r="L11" s="14">
        <v>116.9</v>
      </c>
      <c r="M11" s="14">
        <v>126.4</v>
      </c>
      <c r="N11" s="14">
        <v>135.4</v>
      </c>
      <c r="O11" s="14">
        <v>133.5</v>
      </c>
      <c r="P11" s="14">
        <v>146.80000000000001</v>
      </c>
      <c r="Q11" s="14">
        <v>143.80000000000001</v>
      </c>
      <c r="R11" s="14">
        <v>140.9</v>
      </c>
      <c r="S11" s="14">
        <v>144.4</v>
      </c>
      <c r="T11" s="14">
        <v>147.6</v>
      </c>
      <c r="U11" s="14">
        <v>148.1</v>
      </c>
      <c r="V11" s="14">
        <v>147.1</v>
      </c>
      <c r="W11" s="14">
        <v>145.30000000000001</v>
      </c>
      <c r="X11" s="14">
        <v>160.4</v>
      </c>
      <c r="Y11" s="14">
        <v>189.3</v>
      </c>
      <c r="Z11" s="14">
        <v>168.5</v>
      </c>
      <c r="AA11" s="14">
        <v>177.7</v>
      </c>
      <c r="AB11" s="14">
        <v>188.7</v>
      </c>
      <c r="AC11" s="14">
        <v>213.3</v>
      </c>
      <c r="AD11" s="14">
        <v>220.4</v>
      </c>
      <c r="AE11" s="14">
        <v>225.8</v>
      </c>
      <c r="AF11" s="14">
        <v>259.39999999999998</v>
      </c>
      <c r="AG11" s="14">
        <v>273</v>
      </c>
      <c r="AH11" s="14">
        <v>226.1</v>
      </c>
      <c r="AI11" s="14">
        <v>250.8</v>
      </c>
      <c r="AJ11" s="14">
        <v>256.3</v>
      </c>
      <c r="AK11" s="14">
        <v>283.3</v>
      </c>
      <c r="AL11" s="39">
        <v>265.8</v>
      </c>
      <c r="AM11" s="14">
        <v>275.82399999999996</v>
      </c>
      <c r="AN11" s="14">
        <v>260.15000000000003</v>
      </c>
      <c r="AO11" s="14">
        <v>276.55752517000002</v>
      </c>
      <c r="AP11" s="14">
        <v>233.51944919024439</v>
      </c>
      <c r="AQ11" s="14">
        <v>257.13100000000003</v>
      </c>
      <c r="AR11" s="14">
        <v>239.256</v>
      </c>
      <c r="AS11" s="14">
        <v>245.64599999999999</v>
      </c>
      <c r="AT11" s="14">
        <v>245.64599999999999</v>
      </c>
    </row>
    <row r="12" spans="1:46" s="5" customFormat="1" x14ac:dyDescent="0.25">
      <c r="A12" s="38" t="s">
        <v>61</v>
      </c>
      <c r="B12" s="13">
        <v>75</v>
      </c>
      <c r="C12" s="13">
        <v>86.4</v>
      </c>
      <c r="D12" s="13">
        <v>100.1</v>
      </c>
      <c r="E12" s="13">
        <v>95.5</v>
      </c>
      <c r="F12" s="13">
        <v>88.7</v>
      </c>
      <c r="G12" s="13">
        <v>85.7</v>
      </c>
      <c r="H12" s="13">
        <v>86</v>
      </c>
      <c r="I12" s="13">
        <v>87.9</v>
      </c>
      <c r="J12" s="13">
        <v>93.8</v>
      </c>
      <c r="K12" s="13">
        <v>104.7</v>
      </c>
      <c r="L12" s="13">
        <v>109.7</v>
      </c>
      <c r="M12" s="13">
        <v>113.3</v>
      </c>
      <c r="N12" s="13">
        <v>121.8</v>
      </c>
      <c r="O12" s="13">
        <v>118.7</v>
      </c>
      <c r="P12" s="13">
        <v>137.19999999999999</v>
      </c>
      <c r="Q12" s="13">
        <v>131.1</v>
      </c>
      <c r="R12" s="13">
        <v>121.6</v>
      </c>
      <c r="S12" s="13">
        <v>121.6</v>
      </c>
      <c r="T12" s="13">
        <v>126.4</v>
      </c>
      <c r="U12" s="13">
        <v>125.4</v>
      </c>
      <c r="V12" s="13">
        <v>123.5</v>
      </c>
      <c r="W12" s="13">
        <v>128.4</v>
      </c>
      <c r="X12" s="13">
        <v>130.80000000000001</v>
      </c>
      <c r="Y12" s="13">
        <v>172.9</v>
      </c>
      <c r="Z12" s="13">
        <v>147.4</v>
      </c>
      <c r="AA12" s="13">
        <v>153.1</v>
      </c>
      <c r="AB12" s="13">
        <v>161.9</v>
      </c>
      <c r="AC12" s="13">
        <v>177.3</v>
      </c>
      <c r="AD12" s="13">
        <v>186.9</v>
      </c>
      <c r="AE12" s="13">
        <v>186.4</v>
      </c>
      <c r="AF12" s="13">
        <v>204.6</v>
      </c>
      <c r="AG12" s="13">
        <v>204.8</v>
      </c>
      <c r="AH12" s="13">
        <v>205.5</v>
      </c>
      <c r="AI12" s="13">
        <v>199</v>
      </c>
      <c r="AJ12" s="13">
        <v>210.8</v>
      </c>
      <c r="AK12" s="13">
        <v>232</v>
      </c>
      <c r="AL12" s="40">
        <v>220.5</v>
      </c>
      <c r="AM12" s="13">
        <v>219.4</v>
      </c>
      <c r="AN12" s="13">
        <v>209.56593364803962</v>
      </c>
      <c r="AO12" s="13">
        <v>203.05174644101317</v>
      </c>
      <c r="AP12" s="13">
        <v>183</v>
      </c>
      <c r="AQ12" s="13">
        <v>189.851</v>
      </c>
      <c r="AR12" s="13">
        <v>188.66191800096297</v>
      </c>
      <c r="AS12" s="13">
        <v>205.46199999999999</v>
      </c>
      <c r="AT12" s="13">
        <v>192.703</v>
      </c>
    </row>
    <row r="13" spans="1:46" s="5" customFormat="1" x14ac:dyDescent="0.25">
      <c r="A13" s="38" t="s">
        <v>62</v>
      </c>
      <c r="B13" s="13">
        <v>11.9</v>
      </c>
      <c r="C13" s="13">
        <v>9.8000000000000007</v>
      </c>
      <c r="D13" s="13">
        <v>4.5</v>
      </c>
      <c r="E13" s="13">
        <v>2.8</v>
      </c>
      <c r="F13" s="13">
        <v>0.2</v>
      </c>
      <c r="G13" s="13">
        <v>8.9</v>
      </c>
      <c r="H13" s="13">
        <v>7.8</v>
      </c>
      <c r="I13" s="13">
        <v>10.8</v>
      </c>
      <c r="J13" s="13">
        <v>14.7</v>
      </c>
      <c r="K13" s="13">
        <v>8.6</v>
      </c>
      <c r="L13" s="13">
        <v>7.2</v>
      </c>
      <c r="M13" s="13">
        <v>13.1</v>
      </c>
      <c r="N13" s="13">
        <v>13.5</v>
      </c>
      <c r="O13" s="13">
        <v>14.9</v>
      </c>
      <c r="P13" s="13">
        <v>9.6</v>
      </c>
      <c r="Q13" s="13">
        <v>12.7</v>
      </c>
      <c r="R13" s="13">
        <v>19.3</v>
      </c>
      <c r="S13" s="13">
        <v>22.7</v>
      </c>
      <c r="T13" s="13">
        <v>21.1</v>
      </c>
      <c r="U13" s="13">
        <v>22.7</v>
      </c>
      <c r="V13" s="13">
        <v>23.6</v>
      </c>
      <c r="W13" s="13">
        <v>16.899999999999999</v>
      </c>
      <c r="X13" s="13">
        <v>29.6</v>
      </c>
      <c r="Y13" s="13">
        <v>16.5</v>
      </c>
      <c r="Z13" s="13">
        <v>21.1</v>
      </c>
      <c r="AA13" s="13">
        <v>24.6</v>
      </c>
      <c r="AB13" s="13">
        <v>26.8</v>
      </c>
      <c r="AC13" s="13">
        <v>36.1</v>
      </c>
      <c r="AD13" s="13">
        <v>33.4</v>
      </c>
      <c r="AE13" s="13">
        <v>39.4</v>
      </c>
      <c r="AF13" s="13">
        <v>54.8</v>
      </c>
      <c r="AG13" s="13">
        <v>68.2</v>
      </c>
      <c r="AH13" s="13">
        <v>20.5</v>
      </c>
      <c r="AI13" s="13">
        <v>51.7</v>
      </c>
      <c r="AJ13" s="13">
        <v>45.5</v>
      </c>
      <c r="AK13" s="13">
        <v>51.2</v>
      </c>
      <c r="AL13" s="40">
        <v>45.3</v>
      </c>
      <c r="AM13" s="13">
        <v>56.460349189936153</v>
      </c>
      <c r="AN13" s="13">
        <v>50.584066351960402</v>
      </c>
      <c r="AO13" s="13">
        <v>73.505778728986868</v>
      </c>
      <c r="AP13" s="13">
        <v>50.526447093358222</v>
      </c>
      <c r="AQ13" s="13">
        <v>67.28</v>
      </c>
      <c r="AR13" s="13">
        <v>50.586870364978942</v>
      </c>
      <c r="AS13" s="13">
        <v>40.183999999999997</v>
      </c>
      <c r="AT13" s="13">
        <v>48.024000000000001</v>
      </c>
    </row>
    <row r="14" spans="1:46" s="4" customFormat="1" x14ac:dyDescent="0.25">
      <c r="A14" s="4" t="s">
        <v>63</v>
      </c>
      <c r="B14" s="14">
        <v>-7.9</v>
      </c>
      <c r="C14" s="14">
        <v>-6.5</v>
      </c>
      <c r="D14" s="14">
        <v>-11.3</v>
      </c>
      <c r="E14" s="14">
        <v>-54.1</v>
      </c>
      <c r="F14" s="14">
        <v>-25.6</v>
      </c>
      <c r="G14" s="14">
        <v>-14.9</v>
      </c>
      <c r="H14" s="14">
        <v>-8.6</v>
      </c>
      <c r="I14" s="14">
        <v>-4.0999999999999996</v>
      </c>
      <c r="J14" s="14">
        <v>-13.8</v>
      </c>
      <c r="K14" s="14">
        <v>-9</v>
      </c>
      <c r="L14" s="14">
        <v>-8.9</v>
      </c>
      <c r="M14" s="14">
        <v>-12.7</v>
      </c>
      <c r="N14" s="14">
        <v>-12.3</v>
      </c>
      <c r="O14" s="14">
        <v>-5.7</v>
      </c>
      <c r="P14" s="14">
        <v>-21.9</v>
      </c>
      <c r="Q14" s="14">
        <v>-13.8</v>
      </c>
      <c r="R14" s="14">
        <v>-23.7</v>
      </c>
      <c r="S14" s="14">
        <v>-28.7</v>
      </c>
      <c r="T14" s="14">
        <v>-32.799999999999997</v>
      </c>
      <c r="U14" s="14">
        <v>-25.6</v>
      </c>
      <c r="V14" s="14">
        <v>-16.899999999999999</v>
      </c>
      <c r="W14" s="14">
        <v>-31.3</v>
      </c>
      <c r="X14" s="14">
        <v>-18.600000000000001</v>
      </c>
      <c r="Y14" s="14">
        <v>-26</v>
      </c>
      <c r="Z14" s="14">
        <v>-25.5</v>
      </c>
      <c r="AA14" s="14">
        <v>-14.9</v>
      </c>
      <c r="AB14" s="14">
        <v>-16.8</v>
      </c>
      <c r="AC14" s="14">
        <v>-43.6</v>
      </c>
      <c r="AD14" s="14">
        <v>-43.3</v>
      </c>
      <c r="AE14" s="14">
        <v>-36.4</v>
      </c>
      <c r="AF14" s="14">
        <v>-90.4</v>
      </c>
      <c r="AG14" s="14">
        <v>-48.6</v>
      </c>
      <c r="AH14" s="14">
        <v>-48.9</v>
      </c>
      <c r="AI14" s="14">
        <v>-54.1</v>
      </c>
      <c r="AJ14" s="14">
        <v>-50.2</v>
      </c>
      <c r="AK14" s="14">
        <v>-55.3</v>
      </c>
      <c r="AL14" s="14">
        <v>-57.948</v>
      </c>
      <c r="AM14" s="14">
        <v>-56.613999999999997</v>
      </c>
      <c r="AN14" s="14">
        <v>-54.866</v>
      </c>
      <c r="AO14" s="14">
        <v>-50.795213860000004</v>
      </c>
      <c r="AP14" s="14">
        <v>-22.463000000000001</v>
      </c>
      <c r="AQ14" s="14">
        <v>-33.128</v>
      </c>
      <c r="AR14" s="14">
        <v>-33.128999999999998</v>
      </c>
      <c r="AS14" s="14">
        <v>-29.491</v>
      </c>
      <c r="AT14" s="14">
        <v>-29.876999999999999</v>
      </c>
    </row>
    <row r="15" spans="1:46" s="4" customFormat="1" x14ac:dyDescent="0.25">
      <c r="A15" s="4" t="s">
        <v>64</v>
      </c>
      <c r="B15" s="14">
        <v>78.900000000000006</v>
      </c>
      <c r="C15" s="14">
        <v>89.7</v>
      </c>
      <c r="D15" s="14">
        <v>93.2</v>
      </c>
      <c r="E15" s="14">
        <v>49</v>
      </c>
      <c r="F15" s="14">
        <v>63.3</v>
      </c>
      <c r="G15" s="14">
        <v>79.7</v>
      </c>
      <c r="H15" s="14">
        <v>85.2</v>
      </c>
      <c r="I15" s="14">
        <v>94.6</v>
      </c>
      <c r="J15" s="14">
        <v>94.7</v>
      </c>
      <c r="K15" s="14">
        <v>104.3</v>
      </c>
      <c r="L15" s="14">
        <v>108</v>
      </c>
      <c r="M15" s="14">
        <v>113.7</v>
      </c>
      <c r="N15" s="14">
        <v>123</v>
      </c>
      <c r="O15" s="14">
        <v>127.8</v>
      </c>
      <c r="P15" s="14">
        <v>124.9</v>
      </c>
      <c r="Q15" s="14">
        <v>130</v>
      </c>
      <c r="R15" s="14">
        <v>117.2</v>
      </c>
      <c r="S15" s="14">
        <v>115.7</v>
      </c>
      <c r="T15" s="14">
        <v>114.7</v>
      </c>
      <c r="U15" s="14">
        <v>122.5</v>
      </c>
      <c r="V15" s="14">
        <v>130.30000000000001</v>
      </c>
      <c r="W15" s="14">
        <v>113.9</v>
      </c>
      <c r="X15" s="14">
        <v>141.80000000000001</v>
      </c>
      <c r="Y15" s="14">
        <v>163.30000000000001</v>
      </c>
      <c r="Z15" s="14">
        <v>143</v>
      </c>
      <c r="AA15" s="14">
        <v>162.80000000000001</v>
      </c>
      <c r="AB15" s="14">
        <v>171.9</v>
      </c>
      <c r="AC15" s="14">
        <v>169.7</v>
      </c>
      <c r="AD15" s="14">
        <v>177.1</v>
      </c>
      <c r="AE15" s="14">
        <v>189.4</v>
      </c>
      <c r="AF15" s="14">
        <v>168.9</v>
      </c>
      <c r="AG15" s="14">
        <v>224.4</v>
      </c>
      <c r="AH15" s="14">
        <v>177.2</v>
      </c>
      <c r="AI15" s="14">
        <v>196.7</v>
      </c>
      <c r="AJ15" s="14">
        <v>206.1</v>
      </c>
      <c r="AK15" s="14">
        <v>227.9</v>
      </c>
      <c r="AL15" s="14">
        <v>207.9</v>
      </c>
      <c r="AM15" s="14">
        <v>219.20999999999995</v>
      </c>
      <c r="AN15" s="14">
        <v>205.28400000000005</v>
      </c>
      <c r="AO15" s="14">
        <v>225.76231131000003</v>
      </c>
      <c r="AP15" s="14">
        <v>211.05644919024439</v>
      </c>
      <c r="AQ15" s="14">
        <v>224.00300000000004</v>
      </c>
      <c r="AR15" s="14">
        <v>206.12700000000001</v>
      </c>
      <c r="AS15" s="14">
        <v>216.15499999999997</v>
      </c>
      <c r="AT15" s="14">
        <v>210.84999999999997</v>
      </c>
    </row>
    <row r="16" spans="1:46" s="4" customFormat="1" x14ac:dyDescent="0.25">
      <c r="A16" s="4" t="s">
        <v>65</v>
      </c>
      <c r="B16" s="14">
        <v>9.1</v>
      </c>
      <c r="C16" s="14">
        <v>10.8</v>
      </c>
      <c r="D16" s="14">
        <v>12.1</v>
      </c>
      <c r="E16" s="14">
        <v>11.2</v>
      </c>
      <c r="F16" s="14">
        <v>10.3</v>
      </c>
      <c r="G16" s="14">
        <v>13.4</v>
      </c>
      <c r="H16" s="14">
        <v>16.100000000000001</v>
      </c>
      <c r="I16" s="14">
        <v>19.8</v>
      </c>
      <c r="J16" s="14">
        <v>24.4</v>
      </c>
      <c r="K16" s="14">
        <v>26.2</v>
      </c>
      <c r="L16" s="14">
        <v>22.8</v>
      </c>
      <c r="M16" s="14">
        <v>34.700000000000003</v>
      </c>
      <c r="N16" s="14">
        <v>29.6</v>
      </c>
      <c r="O16" s="14">
        <v>30.9</v>
      </c>
      <c r="P16" s="14">
        <v>30</v>
      </c>
      <c r="Q16" s="14">
        <v>34.799999999999997</v>
      </c>
      <c r="R16" s="14">
        <v>29.3</v>
      </c>
      <c r="S16" s="14">
        <v>32.1</v>
      </c>
      <c r="T16" s="14">
        <v>35.200000000000003</v>
      </c>
      <c r="U16" s="14">
        <v>40.799999999999997</v>
      </c>
      <c r="V16" s="14">
        <v>33</v>
      </c>
      <c r="W16" s="14">
        <v>44.5</v>
      </c>
      <c r="X16" s="14">
        <v>37.200000000000003</v>
      </c>
      <c r="Y16" s="14">
        <v>42.3</v>
      </c>
      <c r="Z16" s="14">
        <v>41</v>
      </c>
      <c r="AA16" s="14">
        <v>41.9</v>
      </c>
      <c r="AB16" s="14">
        <v>44.7</v>
      </c>
      <c r="AC16" s="14">
        <v>44.7</v>
      </c>
      <c r="AD16" s="14">
        <v>45.3</v>
      </c>
      <c r="AE16" s="14">
        <v>50.5</v>
      </c>
      <c r="AF16" s="14">
        <v>45.1</v>
      </c>
      <c r="AG16" s="14">
        <v>58.2</v>
      </c>
      <c r="AH16" s="14">
        <v>56.1</v>
      </c>
      <c r="AI16" s="14">
        <v>64.900000000000006</v>
      </c>
      <c r="AJ16" s="14">
        <v>66</v>
      </c>
      <c r="AK16" s="14">
        <v>69.5</v>
      </c>
      <c r="AL16" s="14">
        <v>76.3</v>
      </c>
      <c r="AM16" s="14">
        <v>75.695000000000007</v>
      </c>
      <c r="AN16" s="14">
        <v>71.180999999999997</v>
      </c>
      <c r="AO16" s="14">
        <v>83.697000000000003</v>
      </c>
      <c r="AP16" s="14">
        <v>77.62</v>
      </c>
      <c r="AQ16" s="14">
        <v>91.466999999999985</v>
      </c>
      <c r="AR16" s="14">
        <v>95.998000000000005</v>
      </c>
      <c r="AS16" s="14">
        <v>94.370999999999995</v>
      </c>
      <c r="AT16" s="14">
        <v>77.721000000000004</v>
      </c>
    </row>
    <row r="17" spans="1:46" s="4" customFormat="1" x14ac:dyDescent="0.25">
      <c r="A17" s="4" t="s">
        <v>66</v>
      </c>
      <c r="B17" s="14">
        <v>-23.8</v>
      </c>
      <c r="C17" s="14">
        <v>-26.8</v>
      </c>
      <c r="D17" s="14">
        <v>-29.7</v>
      </c>
      <c r="E17" s="14">
        <v>-34.6</v>
      </c>
      <c r="F17" s="14">
        <v>-32.9</v>
      </c>
      <c r="G17" s="14">
        <v>-30.5</v>
      </c>
      <c r="H17" s="14">
        <v>-33.200000000000003</v>
      </c>
      <c r="I17" s="14">
        <v>-35.799999999999997</v>
      </c>
      <c r="J17" s="14">
        <v>-34.799999999999997</v>
      </c>
      <c r="K17" s="14">
        <v>-35.1</v>
      </c>
      <c r="L17" s="14">
        <v>-36.799999999999997</v>
      </c>
      <c r="M17" s="14">
        <v>-50.7</v>
      </c>
      <c r="N17" s="14">
        <v>-51.5</v>
      </c>
      <c r="O17" s="14">
        <v>-44.3</v>
      </c>
      <c r="P17" s="14">
        <v>-44.8</v>
      </c>
      <c r="Q17" s="14">
        <v>-48.3</v>
      </c>
      <c r="R17" s="14">
        <v>-46.8</v>
      </c>
      <c r="S17" s="14">
        <v>-51.8</v>
      </c>
      <c r="T17" s="14">
        <v>-48.7</v>
      </c>
      <c r="U17" s="14">
        <v>-54.7</v>
      </c>
      <c r="V17" s="14">
        <v>-50.3</v>
      </c>
      <c r="W17" s="14">
        <v>-53.1</v>
      </c>
      <c r="X17" s="14">
        <v>-53.4</v>
      </c>
      <c r="Y17" s="14">
        <v>-62.5</v>
      </c>
      <c r="Z17" s="14">
        <v>-56.4</v>
      </c>
      <c r="AA17" s="14">
        <v>-57</v>
      </c>
      <c r="AB17" s="14">
        <v>-59.7</v>
      </c>
      <c r="AC17" s="14">
        <v>-65.599999999999994</v>
      </c>
      <c r="AD17" s="14">
        <v>-63.5</v>
      </c>
      <c r="AE17" s="14">
        <v>-65.099999999999994</v>
      </c>
      <c r="AF17" s="14">
        <v>-69.900000000000006</v>
      </c>
      <c r="AG17" s="14">
        <v>-70.099999999999994</v>
      </c>
      <c r="AH17" s="14">
        <v>-69.3</v>
      </c>
      <c r="AI17" s="14">
        <v>-69.599999999999994</v>
      </c>
      <c r="AJ17" s="14">
        <v>-71.3</v>
      </c>
      <c r="AK17" s="14">
        <v>-78.3</v>
      </c>
      <c r="AL17" s="14">
        <v>-74.3</v>
      </c>
      <c r="AM17" s="14">
        <v>-77.936999999999998</v>
      </c>
      <c r="AN17" s="14">
        <v>-74.510999999999996</v>
      </c>
      <c r="AO17" s="14">
        <v>-81.988</v>
      </c>
      <c r="AP17" s="14">
        <v>-73.820999999999998</v>
      </c>
      <c r="AQ17" s="14">
        <v>-76.926000000000002</v>
      </c>
      <c r="AR17" s="14">
        <v>-77.359099999999998</v>
      </c>
      <c r="AS17" s="14">
        <v>-80.137</v>
      </c>
      <c r="AT17" s="14">
        <v>-81.174999999999997</v>
      </c>
    </row>
    <row r="18" spans="1:46" s="5" customFormat="1" x14ac:dyDescent="0.25">
      <c r="A18" s="5" t="s">
        <v>67</v>
      </c>
      <c r="B18" s="13">
        <v>-23.9</v>
      </c>
      <c r="C18" s="13">
        <v>-26.9</v>
      </c>
      <c r="D18" s="13">
        <v>-29.9</v>
      </c>
      <c r="E18" s="13">
        <v>-47.2</v>
      </c>
      <c r="F18" s="13">
        <v>-33</v>
      </c>
      <c r="G18" s="13">
        <v>-30.7</v>
      </c>
      <c r="H18" s="13">
        <v>-33.6</v>
      </c>
      <c r="I18" s="13">
        <v>-35.9</v>
      </c>
      <c r="J18" s="13">
        <v>-35.299999999999997</v>
      </c>
      <c r="K18" s="13">
        <v>-35.9</v>
      </c>
      <c r="L18" s="13">
        <v>-36.799999999999997</v>
      </c>
      <c r="M18" s="13">
        <v>-50.7</v>
      </c>
      <c r="N18" s="13">
        <v>-51.5</v>
      </c>
      <c r="O18" s="13">
        <v>-44.3</v>
      </c>
      <c r="P18" s="13">
        <v>-44.8</v>
      </c>
      <c r="Q18" s="13">
        <v>-48.3</v>
      </c>
      <c r="R18" s="13">
        <v>-46.8</v>
      </c>
      <c r="S18" s="13">
        <v>-51.8</v>
      </c>
      <c r="T18" s="13">
        <v>-48.7</v>
      </c>
      <c r="U18" s="13">
        <v>-54.7</v>
      </c>
      <c r="V18" s="13">
        <v>-50.3</v>
      </c>
      <c r="W18" s="13">
        <v>-53.1</v>
      </c>
      <c r="X18" s="13">
        <v>-53.4</v>
      </c>
      <c r="Y18" s="13">
        <v>-62.5</v>
      </c>
      <c r="Z18" s="13">
        <v>-56.4</v>
      </c>
      <c r="AA18" s="13">
        <v>-57</v>
      </c>
      <c r="AB18" s="13">
        <v>-59.7</v>
      </c>
      <c r="AC18" s="13">
        <v>-65.599999999999994</v>
      </c>
      <c r="AD18" s="13">
        <v>-63.5</v>
      </c>
      <c r="AE18" s="13">
        <v>-65.099999999999994</v>
      </c>
      <c r="AF18" s="13">
        <v>-69.900000000000006</v>
      </c>
      <c r="AG18" s="13">
        <v>-70.099999999999994</v>
      </c>
      <c r="AH18" s="13">
        <v>-69.3</v>
      </c>
      <c r="AI18" s="13">
        <v>-69.599999999999994</v>
      </c>
      <c r="AJ18" s="13">
        <v>-71.3</v>
      </c>
      <c r="AK18" s="13">
        <v>-78.3</v>
      </c>
      <c r="AL18" s="13">
        <f>AL17</f>
        <v>-74.3</v>
      </c>
      <c r="AM18" s="13">
        <v>-77.936999999999998</v>
      </c>
      <c r="AN18" s="13">
        <v>-74.510999999999996</v>
      </c>
      <c r="AO18" s="13">
        <f>AO17</f>
        <v>-81.988</v>
      </c>
      <c r="AP18" s="13">
        <f>AP17</f>
        <v>-73.820999999999998</v>
      </c>
      <c r="AQ18" s="13">
        <v>-76.926000000000002</v>
      </c>
      <c r="AR18" s="13">
        <v>-77.359099999999998</v>
      </c>
      <c r="AS18" s="13">
        <v>-80.137</v>
      </c>
      <c r="AT18" s="13">
        <v>-81.174999999999997</v>
      </c>
    </row>
    <row r="19" spans="1:46" s="5" customFormat="1" x14ac:dyDescent="0.25">
      <c r="A19" s="5" t="s">
        <v>68</v>
      </c>
      <c r="B19" s="13" t="s">
        <v>14</v>
      </c>
      <c r="C19" s="13" t="s">
        <v>14</v>
      </c>
      <c r="D19" s="13" t="s">
        <v>14</v>
      </c>
      <c r="E19" s="13">
        <v>11.9</v>
      </c>
      <c r="F19" s="13" t="s">
        <v>14</v>
      </c>
      <c r="G19" s="13" t="s">
        <v>14</v>
      </c>
      <c r="H19" s="13" t="s">
        <v>14</v>
      </c>
      <c r="I19" s="13" t="s">
        <v>14</v>
      </c>
      <c r="J19" s="13" t="s">
        <v>14</v>
      </c>
      <c r="K19" s="13" t="s">
        <v>14</v>
      </c>
      <c r="L19" s="13" t="s">
        <v>14</v>
      </c>
      <c r="M19" s="13" t="s">
        <v>14</v>
      </c>
      <c r="N19" s="13" t="s">
        <v>14</v>
      </c>
      <c r="O19" s="13" t="s">
        <v>14</v>
      </c>
      <c r="P19" s="13" t="s">
        <v>14</v>
      </c>
      <c r="Q19" s="13" t="s">
        <v>14</v>
      </c>
      <c r="R19" s="13" t="s">
        <v>14</v>
      </c>
      <c r="S19" s="13" t="s">
        <v>14</v>
      </c>
      <c r="T19" s="13" t="s">
        <v>14</v>
      </c>
      <c r="U19" s="13" t="s">
        <v>14</v>
      </c>
      <c r="V19" s="13" t="s">
        <v>14</v>
      </c>
      <c r="W19" s="13" t="s">
        <v>14</v>
      </c>
      <c r="X19" s="13" t="s">
        <v>14</v>
      </c>
      <c r="Y19" s="13" t="s">
        <v>14</v>
      </c>
      <c r="Z19" s="13" t="s">
        <v>14</v>
      </c>
      <c r="AA19" s="13" t="s">
        <v>14</v>
      </c>
      <c r="AB19" s="13" t="s">
        <v>14</v>
      </c>
      <c r="AC19" s="13" t="s">
        <v>14</v>
      </c>
      <c r="AD19" s="13" t="s">
        <v>14</v>
      </c>
      <c r="AE19" s="13" t="s">
        <v>14</v>
      </c>
      <c r="AF19" s="13" t="s">
        <v>14</v>
      </c>
      <c r="AG19" s="13" t="s">
        <v>14</v>
      </c>
      <c r="AH19" s="13" t="s">
        <v>14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23" t="s">
        <v>14</v>
      </c>
      <c r="AT19" s="23" t="s">
        <v>14</v>
      </c>
    </row>
    <row r="20" spans="1:46" s="5" customFormat="1" x14ac:dyDescent="0.25">
      <c r="A20" s="5" t="s">
        <v>69</v>
      </c>
      <c r="B20" s="13">
        <v>0</v>
      </c>
      <c r="C20" s="13">
        <v>0.1</v>
      </c>
      <c r="D20" s="13">
        <v>0.2</v>
      </c>
      <c r="E20" s="13">
        <v>0.7</v>
      </c>
      <c r="F20" s="13">
        <v>0</v>
      </c>
      <c r="G20" s="13">
        <v>0.1</v>
      </c>
      <c r="H20" s="13">
        <v>0.4</v>
      </c>
      <c r="I20" s="13">
        <v>0.1</v>
      </c>
      <c r="J20" s="13">
        <v>0.5</v>
      </c>
      <c r="K20" s="13">
        <v>0.8</v>
      </c>
      <c r="L20" s="13" t="s">
        <v>14</v>
      </c>
      <c r="M20" s="13" t="s">
        <v>14</v>
      </c>
      <c r="N20" s="13" t="s">
        <v>14</v>
      </c>
      <c r="O20" s="13" t="s">
        <v>14</v>
      </c>
      <c r="P20" s="13" t="s">
        <v>14</v>
      </c>
      <c r="Q20" s="13" t="s">
        <v>14</v>
      </c>
      <c r="R20" s="13" t="s">
        <v>14</v>
      </c>
      <c r="S20" s="13" t="s">
        <v>14</v>
      </c>
      <c r="T20" s="13" t="s">
        <v>14</v>
      </c>
      <c r="U20" s="13" t="s">
        <v>14</v>
      </c>
      <c r="V20" s="13" t="s">
        <v>14</v>
      </c>
      <c r="W20" s="13" t="s">
        <v>14</v>
      </c>
      <c r="X20" s="13" t="s">
        <v>14</v>
      </c>
      <c r="Y20" s="13" t="s">
        <v>14</v>
      </c>
      <c r="Z20" s="13" t="s">
        <v>14</v>
      </c>
      <c r="AA20" s="13" t="s">
        <v>14</v>
      </c>
      <c r="AB20" s="13" t="s">
        <v>14</v>
      </c>
      <c r="AC20" s="13" t="s">
        <v>14</v>
      </c>
      <c r="AD20" s="13" t="s">
        <v>14</v>
      </c>
      <c r="AE20" s="13" t="s">
        <v>14</v>
      </c>
      <c r="AF20" s="13" t="s">
        <v>14</v>
      </c>
      <c r="AG20" s="13" t="s">
        <v>14</v>
      </c>
      <c r="AH20" s="13" t="s">
        <v>14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23" t="s">
        <v>14</v>
      </c>
      <c r="AT20" s="23" t="s">
        <v>14</v>
      </c>
    </row>
    <row r="21" spans="1:46" s="4" customFormat="1" x14ac:dyDescent="0.25">
      <c r="A21" s="4" t="s">
        <v>70</v>
      </c>
      <c r="B21" s="14">
        <v>-0.8</v>
      </c>
      <c r="C21" s="14">
        <v>-0.7</v>
      </c>
      <c r="D21" s="14">
        <v>-0.8</v>
      </c>
      <c r="E21" s="14">
        <v>-0.6</v>
      </c>
      <c r="F21" s="14">
        <v>-0.5</v>
      </c>
      <c r="G21" s="14">
        <v>-0.5</v>
      </c>
      <c r="H21" s="14">
        <v>-0.6</v>
      </c>
      <c r="I21" s="14">
        <v>-3.5</v>
      </c>
      <c r="J21" s="14">
        <v>-8.3000000000000007</v>
      </c>
      <c r="K21" s="14">
        <v>-8.3000000000000007</v>
      </c>
      <c r="L21" s="14">
        <v>-8.6999999999999993</v>
      </c>
      <c r="M21" s="14">
        <v>-8.9</v>
      </c>
      <c r="N21" s="14">
        <v>-10</v>
      </c>
      <c r="O21" s="14">
        <v>-10.5</v>
      </c>
      <c r="P21" s="14">
        <v>-8.9</v>
      </c>
      <c r="Q21" s="14">
        <v>-1.1000000000000001</v>
      </c>
      <c r="R21" s="14">
        <v>-10.1</v>
      </c>
      <c r="S21" s="14">
        <v>-8.3000000000000007</v>
      </c>
      <c r="T21" s="14">
        <v>-10</v>
      </c>
      <c r="U21" s="14">
        <v>-10.1</v>
      </c>
      <c r="V21" s="14">
        <v>-10.1</v>
      </c>
      <c r="W21" s="14">
        <v>-8.5</v>
      </c>
      <c r="X21" s="14">
        <v>-10.5</v>
      </c>
      <c r="Y21" s="14">
        <v>-12.3</v>
      </c>
      <c r="Z21" s="14">
        <v>-11.3</v>
      </c>
      <c r="AA21" s="14">
        <v>-11.1</v>
      </c>
      <c r="AB21" s="14">
        <v>-8.6</v>
      </c>
      <c r="AC21" s="14">
        <v>-9</v>
      </c>
      <c r="AD21" s="14">
        <v>-15.9</v>
      </c>
      <c r="AE21" s="14">
        <v>-11</v>
      </c>
      <c r="AF21" s="14">
        <v>-20.399999999999999</v>
      </c>
      <c r="AG21" s="14">
        <v>-10.199999999999999</v>
      </c>
      <c r="AH21" s="14">
        <v>2.1</v>
      </c>
      <c r="AI21" s="14">
        <v>-4.2</v>
      </c>
      <c r="AJ21" s="14">
        <v>-13</v>
      </c>
      <c r="AK21" s="14">
        <v>-22.2</v>
      </c>
      <c r="AL21" s="14">
        <v>-15.2</v>
      </c>
      <c r="AM21" s="14">
        <v>-17.45641929386403</v>
      </c>
      <c r="AN21" s="14">
        <v>-16.679869474990419</v>
      </c>
      <c r="AO21" s="14">
        <v>-20.17771881813389</v>
      </c>
      <c r="AP21" s="14">
        <v>-13.88992040886297</v>
      </c>
      <c r="AQ21" s="14">
        <v>-28.904000000000003</v>
      </c>
      <c r="AR21" s="14">
        <v>-20.13</v>
      </c>
      <c r="AS21" s="14">
        <v>-15.444999999999999</v>
      </c>
      <c r="AT21" s="14">
        <v>-11.472999999999999</v>
      </c>
    </row>
    <row r="22" spans="1:46" s="4" customFormat="1" x14ac:dyDescent="0.25">
      <c r="A22" s="4" t="s">
        <v>71</v>
      </c>
      <c r="B22" s="14">
        <v>-5</v>
      </c>
      <c r="C22" s="14">
        <v>-5.3</v>
      </c>
      <c r="D22" s="14">
        <v>-5.6</v>
      </c>
      <c r="E22" s="14">
        <v>-6.6</v>
      </c>
      <c r="F22" s="14">
        <v>-3.9</v>
      </c>
      <c r="G22" s="14">
        <v>-6.8</v>
      </c>
      <c r="H22" s="14">
        <v>-5.3</v>
      </c>
      <c r="I22" s="14">
        <v>-24</v>
      </c>
      <c r="J22" s="14">
        <v>-3.6</v>
      </c>
      <c r="K22" s="14">
        <v>-7.5</v>
      </c>
      <c r="L22" s="14">
        <v>-6.3</v>
      </c>
      <c r="M22" s="14">
        <v>-0.8</v>
      </c>
      <c r="N22" s="14">
        <v>-2.2000000000000002</v>
      </c>
      <c r="O22" s="14">
        <v>0.4</v>
      </c>
      <c r="P22" s="14">
        <v>-2</v>
      </c>
      <c r="Q22" s="14">
        <v>3.5</v>
      </c>
      <c r="R22" s="14">
        <v>2.5</v>
      </c>
      <c r="S22" s="14">
        <v>4</v>
      </c>
      <c r="T22" s="14">
        <v>0.1</v>
      </c>
      <c r="U22" s="14">
        <v>-0.6</v>
      </c>
      <c r="V22" s="14">
        <v>-1.7</v>
      </c>
      <c r="W22" s="14">
        <v>12.6</v>
      </c>
      <c r="X22" s="14">
        <v>-1.3</v>
      </c>
      <c r="Y22" s="14">
        <v>-10.3</v>
      </c>
      <c r="Z22" s="14">
        <v>4.4000000000000004</v>
      </c>
      <c r="AA22" s="14">
        <v>1.7</v>
      </c>
      <c r="AB22" s="14">
        <v>-10.1</v>
      </c>
      <c r="AC22" s="14">
        <v>-6.7</v>
      </c>
      <c r="AD22" s="14">
        <v>-4.4000000000000004</v>
      </c>
      <c r="AE22" s="14">
        <v>-6.2</v>
      </c>
      <c r="AF22" s="14">
        <v>-1.8</v>
      </c>
      <c r="AG22" s="14">
        <v>-16.5</v>
      </c>
      <c r="AH22" s="14">
        <v>7.3</v>
      </c>
      <c r="AI22" s="14">
        <v>-6.5</v>
      </c>
      <c r="AJ22" s="14">
        <v>-9.6999999999999993</v>
      </c>
      <c r="AK22" s="14">
        <v>-5.6</v>
      </c>
      <c r="AL22" s="14">
        <v>5.6</v>
      </c>
      <c r="AM22" s="14">
        <v>-1.8530000000000015</v>
      </c>
      <c r="AN22" s="14">
        <v>2.9239999999999995</v>
      </c>
      <c r="AO22" s="14">
        <v>-3.9489999999999998</v>
      </c>
      <c r="AP22" s="14">
        <v>-0.56699999999999995</v>
      </c>
      <c r="AQ22" s="14">
        <v>-0.77500000000000002</v>
      </c>
      <c r="AR22" s="14">
        <v>-0.51489999999999991</v>
      </c>
      <c r="AS22" s="14">
        <v>2.4239999999999999</v>
      </c>
      <c r="AT22" s="14">
        <v>4.713000000000001</v>
      </c>
    </row>
    <row r="23" spans="1:46" s="4" customFormat="1" x14ac:dyDescent="0.25">
      <c r="A23" s="4" t="s">
        <v>75</v>
      </c>
      <c r="B23" s="14" t="s">
        <v>14</v>
      </c>
      <c r="C23" s="14">
        <v>0</v>
      </c>
      <c r="D23" s="14">
        <v>1.2</v>
      </c>
      <c r="E23" s="14">
        <v>0</v>
      </c>
      <c r="F23" s="14">
        <v>-1.7</v>
      </c>
      <c r="G23" s="14">
        <v>-1</v>
      </c>
      <c r="H23" s="14">
        <v>-0.2</v>
      </c>
      <c r="I23" s="14">
        <v>-0.3</v>
      </c>
      <c r="J23" s="14">
        <v>-0.3</v>
      </c>
      <c r="K23" s="14">
        <v>-1.9</v>
      </c>
      <c r="L23" s="14">
        <v>0.3</v>
      </c>
      <c r="M23" s="14">
        <v>-0.5</v>
      </c>
      <c r="N23" s="14">
        <v>-0.4</v>
      </c>
      <c r="O23" s="14">
        <v>-4</v>
      </c>
      <c r="P23" s="14">
        <v>2.7</v>
      </c>
      <c r="Q23" s="14">
        <v>-4.2</v>
      </c>
      <c r="R23" s="14">
        <v>-0.9</v>
      </c>
      <c r="S23" s="14">
        <v>-3.8</v>
      </c>
      <c r="T23" s="14">
        <v>-1.4</v>
      </c>
      <c r="U23" s="14">
        <v>-0.4</v>
      </c>
      <c r="V23" s="14">
        <v>0.1</v>
      </c>
      <c r="W23" s="14">
        <v>-0.6</v>
      </c>
      <c r="X23" s="14">
        <v>-1.1000000000000001</v>
      </c>
      <c r="Y23" s="14">
        <v>-0.1</v>
      </c>
      <c r="Z23" s="14">
        <v>-0.3</v>
      </c>
      <c r="AA23" s="14">
        <v>-2</v>
      </c>
      <c r="AB23" s="14">
        <v>0.5</v>
      </c>
      <c r="AC23" s="14">
        <v>-0.5</v>
      </c>
      <c r="AD23" s="14">
        <v>-0.8</v>
      </c>
      <c r="AE23" s="14">
        <v>-2.8</v>
      </c>
      <c r="AF23" s="14">
        <v>-2.9</v>
      </c>
      <c r="AG23" s="14">
        <v>0.2</v>
      </c>
      <c r="AH23" s="14">
        <v>-7.9</v>
      </c>
      <c r="AI23" s="14">
        <v>-0.3</v>
      </c>
      <c r="AJ23" s="14">
        <v>-1.5</v>
      </c>
      <c r="AK23" s="14">
        <v>-2.5</v>
      </c>
      <c r="AL23" s="14">
        <v>-7.694</v>
      </c>
      <c r="AM23" s="14">
        <v>-10.493</v>
      </c>
      <c r="AN23" s="14">
        <v>-10.582000000000001</v>
      </c>
      <c r="AO23" s="14">
        <v>-8.1270000000000007</v>
      </c>
      <c r="AP23" s="14">
        <v>-9.9350000000000005</v>
      </c>
      <c r="AQ23" s="14">
        <v>-10.349</v>
      </c>
      <c r="AR23" s="14">
        <v>-5.7000000000000002E-2</v>
      </c>
      <c r="AS23" s="14">
        <v>-1.07</v>
      </c>
      <c r="AT23" s="14">
        <v>-0.71499999999999997</v>
      </c>
    </row>
    <row r="24" spans="1:46" s="4" customFormat="1" x14ac:dyDescent="0.25">
      <c r="A24" s="4" t="s">
        <v>76</v>
      </c>
      <c r="B24" s="14">
        <v>59.3</v>
      </c>
      <c r="C24" s="14">
        <v>68.400000000000006</v>
      </c>
      <c r="D24" s="14">
        <v>71.2</v>
      </c>
      <c r="E24" s="14">
        <v>19</v>
      </c>
      <c r="F24" s="14">
        <v>35</v>
      </c>
      <c r="G24" s="14">
        <v>54.7</v>
      </c>
      <c r="H24" s="14">
        <v>62.6</v>
      </c>
      <c r="I24" s="14">
        <v>54.4</v>
      </c>
      <c r="J24" s="14">
        <v>80.400000000000006</v>
      </c>
      <c r="K24" s="14">
        <v>86.1</v>
      </c>
      <c r="L24" s="14">
        <v>87.9</v>
      </c>
      <c r="M24" s="14">
        <v>96.3</v>
      </c>
      <c r="N24" s="14">
        <v>98.5</v>
      </c>
      <c r="O24" s="14">
        <v>104.3</v>
      </c>
      <c r="P24" s="14">
        <v>99.3</v>
      </c>
      <c r="Q24" s="14">
        <v>104.9</v>
      </c>
      <c r="R24" s="14">
        <v>91.2</v>
      </c>
      <c r="S24" s="14">
        <v>87.9</v>
      </c>
      <c r="T24" s="14">
        <v>89.9</v>
      </c>
      <c r="U24" s="14">
        <v>97.5</v>
      </c>
      <c r="V24" s="14">
        <v>101.3</v>
      </c>
      <c r="W24" s="14">
        <v>108.8</v>
      </c>
      <c r="X24" s="14">
        <v>112.5</v>
      </c>
      <c r="Y24" s="14">
        <v>120.5</v>
      </c>
      <c r="Z24" s="14">
        <v>120.4</v>
      </c>
      <c r="AA24" s="14">
        <v>136.19999999999999</v>
      </c>
      <c r="AB24" s="14">
        <v>138.6</v>
      </c>
      <c r="AC24" s="14">
        <v>137.5</v>
      </c>
      <c r="AD24" s="14">
        <v>137.80000000000001</v>
      </c>
      <c r="AE24" s="14">
        <v>154.69999999999999</v>
      </c>
      <c r="AF24" s="14">
        <v>119</v>
      </c>
      <c r="AG24" s="14">
        <v>186</v>
      </c>
      <c r="AH24" s="14">
        <v>165.4</v>
      </c>
      <c r="AI24" s="14">
        <v>181.1</v>
      </c>
      <c r="AJ24" s="14">
        <v>176.6</v>
      </c>
      <c r="AK24" s="14">
        <v>188.8</v>
      </c>
      <c r="AL24" s="14">
        <v>192.6</v>
      </c>
      <c r="AM24" s="14">
        <v>187.16558070613593</v>
      </c>
      <c r="AN24" s="14">
        <v>177.61613052500962</v>
      </c>
      <c r="AO24" s="14">
        <v>195.21759249186613</v>
      </c>
      <c r="AP24" s="14">
        <v>190.46352878138143</v>
      </c>
      <c r="AQ24" s="14">
        <v>198.51600000000005</v>
      </c>
      <c r="AR24" s="14">
        <v>204.06399999999999</v>
      </c>
      <c r="AS24" s="14">
        <v>216.29800000000003</v>
      </c>
      <c r="AT24" s="14">
        <v>199.92099999999994</v>
      </c>
    </row>
    <row r="25" spans="1:46" s="4" customFormat="1" x14ac:dyDescent="0.25">
      <c r="A25" s="4" t="s">
        <v>77</v>
      </c>
      <c r="B25" s="14">
        <v>-10</v>
      </c>
      <c r="C25" s="14">
        <v>-13.6</v>
      </c>
      <c r="D25" s="14">
        <v>-6</v>
      </c>
      <c r="E25" s="14">
        <v>16.2</v>
      </c>
      <c r="F25" s="14">
        <v>-2.4</v>
      </c>
      <c r="G25" s="14">
        <v>-17.899999999999999</v>
      </c>
      <c r="H25" s="14">
        <v>-15.7</v>
      </c>
      <c r="I25" s="14">
        <v>14.8</v>
      </c>
      <c r="J25" s="14">
        <v>-16</v>
      </c>
      <c r="K25" s="14">
        <v>-18.3</v>
      </c>
      <c r="L25" s="14">
        <v>-21.5</v>
      </c>
      <c r="M25" s="14">
        <v>-22.9</v>
      </c>
      <c r="N25" s="14">
        <v>-25.8</v>
      </c>
      <c r="O25" s="14">
        <v>-27.3</v>
      </c>
      <c r="P25" s="14">
        <v>-23.8</v>
      </c>
      <c r="Q25" s="14">
        <v>-26.3</v>
      </c>
      <c r="R25" s="14">
        <v>-24.3</v>
      </c>
      <c r="S25" s="14">
        <v>-19.7</v>
      </c>
      <c r="T25" s="14">
        <v>-20.7</v>
      </c>
      <c r="U25" s="14">
        <v>-22.6</v>
      </c>
      <c r="V25" s="14">
        <v>-23.8</v>
      </c>
      <c r="W25" s="14">
        <v>-24.6</v>
      </c>
      <c r="X25" s="14">
        <v>-26.9</v>
      </c>
      <c r="Y25" s="14">
        <v>-22.3</v>
      </c>
      <c r="Z25" s="14">
        <v>-30.1</v>
      </c>
      <c r="AA25" s="14">
        <v>-32.700000000000003</v>
      </c>
      <c r="AB25" s="14">
        <v>-37.5</v>
      </c>
      <c r="AC25" s="14">
        <v>-30.8</v>
      </c>
      <c r="AD25" s="14">
        <v>-34.6</v>
      </c>
      <c r="AE25" s="14">
        <v>-39</v>
      </c>
      <c r="AF25" s="14">
        <v>-0.4</v>
      </c>
      <c r="AG25" s="14">
        <v>-51.5</v>
      </c>
      <c r="AH25" s="14">
        <v>-44.4</v>
      </c>
      <c r="AI25" s="14">
        <v>-50.3</v>
      </c>
      <c r="AJ25" s="14">
        <v>-48.8</v>
      </c>
      <c r="AK25" s="14">
        <v>-50</v>
      </c>
      <c r="AL25" s="14">
        <v>-51.4</v>
      </c>
      <c r="AM25" s="14">
        <v>-50.552580706135956</v>
      </c>
      <c r="AN25" s="14">
        <v>-41.012130525009603</v>
      </c>
      <c r="AO25" s="14">
        <v>-51.768000000000001</v>
      </c>
      <c r="AP25" s="14">
        <v>-41.823528781381427</v>
      </c>
      <c r="AQ25" s="14">
        <v>-47.64200000000001</v>
      </c>
      <c r="AR25" s="14">
        <v>-48.719000000000001</v>
      </c>
      <c r="AS25" s="14">
        <v>-54.792999999999985</v>
      </c>
      <c r="AT25" s="14">
        <v>-39.554000000000002</v>
      </c>
    </row>
    <row r="26" spans="1:46" s="4" customFormat="1" x14ac:dyDescent="0.25">
      <c r="A26" s="4" t="s">
        <v>81</v>
      </c>
      <c r="B26" s="14">
        <v>-14.5</v>
      </c>
      <c r="C26" s="14">
        <v>-11.9</v>
      </c>
      <c r="D26" s="14">
        <v>-14</v>
      </c>
      <c r="E26" s="14">
        <v>-4.8</v>
      </c>
      <c r="F26" s="14">
        <v>-7.5</v>
      </c>
      <c r="G26" s="14">
        <v>-9.1999999999999993</v>
      </c>
      <c r="H26" s="14">
        <v>-11.8</v>
      </c>
      <c r="I26" s="14">
        <v>-13.5</v>
      </c>
      <c r="J26" s="14">
        <v>-15.4</v>
      </c>
      <c r="K26" s="14">
        <v>-15.4</v>
      </c>
      <c r="L26" s="14">
        <v>-15</v>
      </c>
      <c r="M26" s="14">
        <v>-19.2</v>
      </c>
      <c r="N26" s="14">
        <v>-17.600000000000001</v>
      </c>
      <c r="O26" s="14">
        <v>-16.8</v>
      </c>
      <c r="P26" s="14">
        <v>-17</v>
      </c>
      <c r="Q26" s="14">
        <v>-18</v>
      </c>
      <c r="R26" s="14">
        <v>-10</v>
      </c>
      <c r="S26" s="14">
        <v>-13.1</v>
      </c>
      <c r="T26" s="14">
        <v>-14</v>
      </c>
      <c r="U26" s="14">
        <v>-15.3</v>
      </c>
      <c r="V26" s="14">
        <v>-18.600000000000001</v>
      </c>
      <c r="W26" s="14">
        <v>-20.6</v>
      </c>
      <c r="X26" s="14">
        <v>-19.5</v>
      </c>
      <c r="Y26" s="14">
        <v>-23.3</v>
      </c>
      <c r="Z26" s="14">
        <v>-19.600000000000001</v>
      </c>
      <c r="AA26" s="14">
        <v>-23.8</v>
      </c>
      <c r="AB26" s="14">
        <v>-23.1</v>
      </c>
      <c r="AC26" s="14">
        <v>-24.5</v>
      </c>
      <c r="AD26" s="14">
        <v>-23</v>
      </c>
      <c r="AE26" s="14">
        <v>-25.6</v>
      </c>
      <c r="AF26" s="14">
        <v>-23.6</v>
      </c>
      <c r="AG26" s="14">
        <v>-29</v>
      </c>
      <c r="AH26" s="14">
        <v>-25.5</v>
      </c>
      <c r="AI26" s="14">
        <v>-26.7</v>
      </c>
      <c r="AJ26" s="14">
        <v>-25</v>
      </c>
      <c r="AK26" s="14">
        <v>-30.3</v>
      </c>
      <c r="AL26" s="14">
        <v>-30.1</v>
      </c>
      <c r="AM26" s="14">
        <v>-29.474</v>
      </c>
      <c r="AN26" s="14">
        <v>-32.47</v>
      </c>
      <c r="AO26" s="14">
        <v>-32.844999999999999</v>
      </c>
      <c r="AP26" s="14">
        <v>-40.092000000000006</v>
      </c>
      <c r="AQ26" s="14">
        <v>-39.220999999999997</v>
      </c>
      <c r="AR26" s="14">
        <v>-39.232999999999997</v>
      </c>
      <c r="AS26" s="14">
        <v>-40.061</v>
      </c>
      <c r="AT26" s="14">
        <v>-39.192</v>
      </c>
    </row>
    <row r="27" spans="1:46" s="5" customFormat="1" x14ac:dyDescent="0.25">
      <c r="A27" s="27" t="s">
        <v>110</v>
      </c>
      <c r="B27" s="28">
        <v>34.700000000000003</v>
      </c>
      <c r="C27" s="28">
        <v>42.8</v>
      </c>
      <c r="D27" s="28">
        <v>44.4</v>
      </c>
      <c r="E27" s="28">
        <v>15.9</v>
      </c>
      <c r="F27" s="28">
        <v>24</v>
      </c>
      <c r="G27" s="28">
        <v>35.4</v>
      </c>
      <c r="H27" s="28">
        <v>38.1</v>
      </c>
      <c r="I27" s="28">
        <v>53.7</v>
      </c>
      <c r="J27" s="28">
        <v>46.9</v>
      </c>
      <c r="K27" s="28">
        <v>50.2</v>
      </c>
      <c r="L27" s="28">
        <v>51.1</v>
      </c>
      <c r="M27" s="28">
        <v>54</v>
      </c>
      <c r="N27" s="28">
        <v>56.7</v>
      </c>
      <c r="O27" s="28">
        <v>60.2</v>
      </c>
      <c r="P27" s="28">
        <v>58.5</v>
      </c>
      <c r="Q27" s="28">
        <v>60.6</v>
      </c>
      <c r="R27" s="28">
        <v>56.9</v>
      </c>
      <c r="S27" s="28">
        <v>55</v>
      </c>
      <c r="T27" s="28">
        <v>55.1</v>
      </c>
      <c r="U27" s="28">
        <v>59.6</v>
      </c>
      <c r="V27" s="28">
        <v>58.9</v>
      </c>
      <c r="W27" s="28">
        <v>63.5</v>
      </c>
      <c r="X27" s="28">
        <v>66.099999999999994</v>
      </c>
      <c r="Y27" s="28">
        <v>74.900000000000006</v>
      </c>
      <c r="Z27" s="28">
        <v>70.7</v>
      </c>
      <c r="AA27" s="28">
        <v>79.8</v>
      </c>
      <c r="AB27" s="28">
        <v>77.900000000000006</v>
      </c>
      <c r="AC27" s="28">
        <v>82.2</v>
      </c>
      <c r="AD27" s="28">
        <v>80.3</v>
      </c>
      <c r="AE27" s="28">
        <v>90.1</v>
      </c>
      <c r="AF27" s="28">
        <v>95</v>
      </c>
      <c r="AG27" s="28">
        <v>105.5</v>
      </c>
      <c r="AH27" s="28">
        <v>95.5</v>
      </c>
      <c r="AI27" s="28">
        <v>104.1</v>
      </c>
      <c r="AJ27" s="28">
        <v>102.8</v>
      </c>
      <c r="AK27" s="28">
        <v>108.5</v>
      </c>
      <c r="AL27" s="28">
        <v>111.166</v>
      </c>
      <c r="AM27" s="28">
        <v>107.13899999999997</v>
      </c>
      <c r="AN27" s="28">
        <v>104.13400000000004</v>
      </c>
      <c r="AO27" s="28">
        <v>110.60500000000002</v>
      </c>
      <c r="AP27" s="28">
        <v>108.54799999999997</v>
      </c>
      <c r="AQ27" s="28">
        <v>111.65300000000002</v>
      </c>
      <c r="AR27" s="28">
        <v>116.11199999999999</v>
      </c>
      <c r="AS27" s="28">
        <v>121.44400000000005</v>
      </c>
      <c r="AT27" s="28">
        <v>121.17499999999993</v>
      </c>
    </row>
    <row r="28" spans="1:46" s="5" customFormat="1" x14ac:dyDescent="0.25">
      <c r="A28" s="5" t="s">
        <v>82</v>
      </c>
      <c r="B28" s="13">
        <v>-9.1999999999999993</v>
      </c>
      <c r="C28" s="13">
        <v>-9.1999999999999993</v>
      </c>
      <c r="D28" s="13" t="s">
        <v>14</v>
      </c>
      <c r="E28" s="13" t="s">
        <v>14</v>
      </c>
      <c r="F28" s="13" t="s">
        <v>14</v>
      </c>
      <c r="G28" s="13" t="s">
        <v>14</v>
      </c>
      <c r="H28" s="13" t="s">
        <v>14</v>
      </c>
      <c r="I28" s="13" t="s">
        <v>14</v>
      </c>
      <c r="J28" s="13" t="s">
        <v>14</v>
      </c>
      <c r="K28" s="13" t="s">
        <v>14</v>
      </c>
      <c r="L28" s="13" t="s">
        <v>14</v>
      </c>
      <c r="M28" s="13" t="s">
        <v>14</v>
      </c>
      <c r="N28" s="13" t="s">
        <v>14</v>
      </c>
      <c r="O28" s="13" t="s">
        <v>14</v>
      </c>
      <c r="P28" s="13" t="s">
        <v>14</v>
      </c>
      <c r="Q28" s="13" t="s">
        <v>14</v>
      </c>
      <c r="R28" s="13" t="s">
        <v>14</v>
      </c>
      <c r="S28" s="13" t="s">
        <v>14</v>
      </c>
      <c r="T28" s="13" t="s">
        <v>14</v>
      </c>
      <c r="U28" s="13" t="s">
        <v>14</v>
      </c>
      <c r="V28" s="13" t="s">
        <v>14</v>
      </c>
      <c r="W28" s="13" t="s">
        <v>14</v>
      </c>
      <c r="X28" s="13" t="s">
        <v>14</v>
      </c>
      <c r="Y28" s="13" t="s">
        <v>14</v>
      </c>
      <c r="Z28" s="13" t="s">
        <v>14</v>
      </c>
      <c r="AA28" s="13" t="s">
        <v>14</v>
      </c>
      <c r="AB28" s="13" t="s">
        <v>14</v>
      </c>
      <c r="AC28" s="13" t="s">
        <v>14</v>
      </c>
      <c r="AD28" s="13" t="s">
        <v>14</v>
      </c>
      <c r="AE28" s="13" t="s">
        <v>14</v>
      </c>
      <c r="AF28" s="13" t="s">
        <v>14</v>
      </c>
      <c r="AG28" s="13" t="s">
        <v>14</v>
      </c>
      <c r="AH28" s="13" t="s">
        <v>14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/>
      <c r="AS28" s="13">
        <v>0</v>
      </c>
      <c r="AT28" s="13">
        <v>0</v>
      </c>
    </row>
    <row r="29" spans="1:46" s="5" customFormat="1" x14ac:dyDescent="0.25">
      <c r="A29" s="5" t="s">
        <v>83</v>
      </c>
      <c r="B29" s="13">
        <v>-5.0999999999999996</v>
      </c>
      <c r="C29" s="13">
        <v>-5.0999999999999996</v>
      </c>
      <c r="D29" s="13" t="s">
        <v>14</v>
      </c>
      <c r="E29" s="13" t="s">
        <v>14</v>
      </c>
      <c r="F29" s="13" t="s">
        <v>14</v>
      </c>
      <c r="G29" s="13" t="s">
        <v>14</v>
      </c>
      <c r="H29" s="13" t="s">
        <v>14</v>
      </c>
      <c r="I29" s="13" t="s">
        <v>14</v>
      </c>
      <c r="J29" s="13" t="s">
        <v>14</v>
      </c>
      <c r="K29" s="13" t="s">
        <v>14</v>
      </c>
      <c r="L29" s="13" t="s">
        <v>14</v>
      </c>
      <c r="M29" s="13" t="s">
        <v>14</v>
      </c>
      <c r="N29" s="13" t="s">
        <v>14</v>
      </c>
      <c r="O29" s="13" t="s">
        <v>14</v>
      </c>
      <c r="P29" s="13" t="s">
        <v>14</v>
      </c>
      <c r="Q29" s="13" t="s">
        <v>14</v>
      </c>
      <c r="R29" s="13" t="s">
        <v>14</v>
      </c>
      <c r="S29" s="13" t="s">
        <v>14</v>
      </c>
      <c r="T29" s="13" t="s">
        <v>14</v>
      </c>
      <c r="U29" s="13" t="s">
        <v>14</v>
      </c>
      <c r="V29" s="13" t="s">
        <v>14</v>
      </c>
      <c r="W29" s="13" t="s">
        <v>14</v>
      </c>
      <c r="X29" s="13" t="s">
        <v>14</v>
      </c>
      <c r="Y29" s="13" t="s">
        <v>14</v>
      </c>
      <c r="Z29" s="13" t="s">
        <v>14</v>
      </c>
      <c r="AA29" s="13" t="s">
        <v>14</v>
      </c>
      <c r="AB29" s="13" t="s">
        <v>14</v>
      </c>
      <c r="AC29" s="13" t="s">
        <v>14</v>
      </c>
      <c r="AD29" s="13" t="s">
        <v>14</v>
      </c>
      <c r="AE29" s="13" t="s">
        <v>14</v>
      </c>
      <c r="AF29" s="13" t="s">
        <v>14</v>
      </c>
      <c r="AG29" s="13" t="s">
        <v>14</v>
      </c>
      <c r="AH29" s="13" t="s">
        <v>14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/>
      <c r="AS29" s="13">
        <v>0</v>
      </c>
      <c r="AT29" s="13">
        <v>0</v>
      </c>
    </row>
    <row r="30" spans="1:46" s="5" customFormat="1" x14ac:dyDescent="0.25">
      <c r="A30" s="5" t="s">
        <v>84</v>
      </c>
      <c r="B30" s="13">
        <v>-4.0999999999999996</v>
      </c>
      <c r="C30" s="13">
        <v>-4.0999999999999996</v>
      </c>
      <c r="D30" s="13" t="s">
        <v>14</v>
      </c>
      <c r="E30" s="13" t="s">
        <v>14</v>
      </c>
      <c r="F30" s="13" t="s">
        <v>14</v>
      </c>
      <c r="G30" s="13" t="s">
        <v>14</v>
      </c>
      <c r="H30" s="13" t="s">
        <v>14</v>
      </c>
      <c r="I30" s="13" t="s">
        <v>14</v>
      </c>
      <c r="J30" s="13" t="s">
        <v>14</v>
      </c>
      <c r="K30" s="13" t="s">
        <v>14</v>
      </c>
      <c r="L30" s="13" t="s">
        <v>14</v>
      </c>
      <c r="M30" s="13" t="s">
        <v>14</v>
      </c>
      <c r="N30" s="13" t="s">
        <v>14</v>
      </c>
      <c r="O30" s="13" t="s">
        <v>14</v>
      </c>
      <c r="P30" s="13" t="s">
        <v>14</v>
      </c>
      <c r="Q30" s="13" t="s">
        <v>14</v>
      </c>
      <c r="R30" s="13" t="s">
        <v>14</v>
      </c>
      <c r="S30" s="13" t="s">
        <v>14</v>
      </c>
      <c r="T30" s="13" t="s">
        <v>14</v>
      </c>
      <c r="U30" s="13" t="s">
        <v>14</v>
      </c>
      <c r="V30" s="13" t="s">
        <v>14</v>
      </c>
      <c r="W30" s="13" t="s">
        <v>14</v>
      </c>
      <c r="X30" s="13" t="s">
        <v>14</v>
      </c>
      <c r="Y30" s="13" t="s">
        <v>14</v>
      </c>
      <c r="Z30" s="13" t="s">
        <v>14</v>
      </c>
      <c r="AA30" s="13" t="s">
        <v>14</v>
      </c>
      <c r="AB30" s="13" t="s">
        <v>14</v>
      </c>
      <c r="AC30" s="13" t="s">
        <v>14</v>
      </c>
      <c r="AD30" s="13" t="s">
        <v>14</v>
      </c>
      <c r="AE30" s="13" t="s">
        <v>14</v>
      </c>
      <c r="AF30" s="13" t="s">
        <v>14</v>
      </c>
      <c r="AG30" s="13" t="s">
        <v>14</v>
      </c>
      <c r="AH30" s="13" t="s">
        <v>14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/>
      <c r="AS30" s="13">
        <v>0</v>
      </c>
      <c r="AT30" s="13">
        <v>0</v>
      </c>
    </row>
    <row r="31" spans="1:46" s="5" customFormat="1" x14ac:dyDescent="0.25">
      <c r="A31" s="5" t="s">
        <v>85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23">
        <v>0</v>
      </c>
      <c r="AG31" s="23">
        <v>0</v>
      </c>
      <c r="AH31" s="23" t="s">
        <v>104</v>
      </c>
      <c r="AI31" s="23">
        <v>0</v>
      </c>
      <c r="AJ31" s="23">
        <v>0</v>
      </c>
      <c r="AK31" s="23">
        <v>0</v>
      </c>
      <c r="AL31" s="23">
        <v>-14.3</v>
      </c>
      <c r="AM31" s="23">
        <v>0</v>
      </c>
      <c r="AN31" s="23">
        <v>0</v>
      </c>
      <c r="AO31" s="23">
        <v>0</v>
      </c>
      <c r="AP31" s="23">
        <v>0</v>
      </c>
      <c r="AQ31" s="23">
        <v>0</v>
      </c>
      <c r="AR31" s="23"/>
      <c r="AS31" s="23">
        <v>-39.670999999999999</v>
      </c>
      <c r="AT31" s="23">
        <v>-1.6209999999999987</v>
      </c>
    </row>
    <row r="32" spans="1:46" s="5" customFormat="1" ht="15.75" thickBot="1" x14ac:dyDescent="0.3">
      <c r="A32" s="33" t="s">
        <v>111</v>
      </c>
      <c r="B32" s="34">
        <v>34.700000000000003</v>
      </c>
      <c r="C32" s="34">
        <v>42.8</v>
      </c>
      <c r="D32" s="34">
        <v>44.4</v>
      </c>
      <c r="E32" s="34">
        <v>15.9</v>
      </c>
      <c r="F32" s="34">
        <v>24</v>
      </c>
      <c r="G32" s="34">
        <v>35.4</v>
      </c>
      <c r="H32" s="34">
        <v>38.1</v>
      </c>
      <c r="I32" s="34">
        <v>44.5</v>
      </c>
      <c r="J32" s="34">
        <v>46.9</v>
      </c>
      <c r="K32" s="34">
        <v>50.2</v>
      </c>
      <c r="L32" s="34">
        <v>51.1</v>
      </c>
      <c r="M32" s="34">
        <v>54</v>
      </c>
      <c r="N32" s="34">
        <v>56.7</v>
      </c>
      <c r="O32" s="34">
        <v>60.2</v>
      </c>
      <c r="P32" s="34">
        <v>58.5</v>
      </c>
      <c r="Q32" s="34">
        <v>60.6</v>
      </c>
      <c r="R32" s="34">
        <v>56.9</v>
      </c>
      <c r="S32" s="34">
        <v>55</v>
      </c>
      <c r="T32" s="34">
        <v>55</v>
      </c>
      <c r="U32" s="34">
        <v>59.6</v>
      </c>
      <c r="V32" s="34">
        <v>58.9</v>
      </c>
      <c r="W32" s="34">
        <v>63.5</v>
      </c>
      <c r="X32" s="34">
        <v>66.099999999999994</v>
      </c>
      <c r="Y32" s="34">
        <v>74.900000000000006</v>
      </c>
      <c r="Z32" s="34">
        <v>70.7</v>
      </c>
      <c r="AA32" s="34">
        <v>79.8</v>
      </c>
      <c r="AB32" s="34">
        <v>84.1</v>
      </c>
      <c r="AC32" s="34">
        <v>82.2</v>
      </c>
      <c r="AD32" s="34">
        <v>80.3</v>
      </c>
      <c r="AE32" s="34">
        <v>90.1</v>
      </c>
      <c r="AF32" s="34">
        <v>95.9</v>
      </c>
      <c r="AG32" s="34">
        <v>105.5</v>
      </c>
      <c r="AH32" s="34">
        <v>91149</v>
      </c>
      <c r="AI32" s="34">
        <v>104.1</v>
      </c>
      <c r="AJ32" s="34">
        <v>102.8</v>
      </c>
      <c r="AK32" s="34">
        <v>108.5</v>
      </c>
      <c r="AL32" s="34">
        <v>96.866</v>
      </c>
      <c r="AM32" s="34">
        <v>107.13899999999997</v>
      </c>
      <c r="AN32" s="34">
        <v>104.13400000000004</v>
      </c>
      <c r="AO32" s="34">
        <v>110.60500000000002</v>
      </c>
      <c r="AP32" s="34">
        <v>108.54799999999997</v>
      </c>
      <c r="AQ32" s="34">
        <v>111.65300000000002</v>
      </c>
      <c r="AR32" s="34">
        <v>116.11199999999999</v>
      </c>
      <c r="AS32" s="34">
        <v>81.773000000000053</v>
      </c>
      <c r="AT32" s="34">
        <v>119.55399999999993</v>
      </c>
    </row>
    <row r="33" spans="1:46" s="5" customFormat="1" ht="15.75" thickTop="1" x14ac:dyDescent="0.25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</row>
    <row r="34" spans="1:46" s="5" customFormat="1" x14ac:dyDescent="0.25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6" s="5" customFormat="1" x14ac:dyDescent="0.25">
      <c r="A35" s="3" t="s">
        <v>100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</row>
    <row r="36" spans="1:46" s="5" customFormat="1" x14ac:dyDescent="0.25">
      <c r="A36" s="5" t="s">
        <v>86</v>
      </c>
      <c r="B36" s="26">
        <v>4.4000000000000004</v>
      </c>
      <c r="C36" s="13">
        <v>5.3</v>
      </c>
      <c r="D36" s="13">
        <v>5.7</v>
      </c>
      <c r="E36" s="13">
        <v>6.6</v>
      </c>
      <c r="F36" s="13">
        <v>7.4</v>
      </c>
      <c r="G36" s="13">
        <v>9.9</v>
      </c>
      <c r="H36" s="13">
        <v>12.4</v>
      </c>
      <c r="I36" s="13">
        <v>14.1</v>
      </c>
      <c r="J36" s="13">
        <v>14.9</v>
      </c>
      <c r="K36" s="13">
        <v>16.5</v>
      </c>
      <c r="L36" s="13">
        <v>17.399999999999999</v>
      </c>
      <c r="M36" s="13">
        <v>19.600000000000001</v>
      </c>
      <c r="N36" s="13">
        <v>20.8</v>
      </c>
      <c r="O36" s="13">
        <v>22.6</v>
      </c>
      <c r="P36" s="13">
        <v>23.5</v>
      </c>
      <c r="Q36" s="13">
        <v>24.2</v>
      </c>
      <c r="R36" s="13">
        <v>24.2</v>
      </c>
      <c r="S36" s="13">
        <v>26</v>
      </c>
      <c r="T36" s="13">
        <v>27.4</v>
      </c>
      <c r="U36" s="13">
        <v>26.6</v>
      </c>
      <c r="V36" s="13">
        <v>27.2</v>
      </c>
      <c r="W36" s="13">
        <v>30.2</v>
      </c>
      <c r="X36" s="13">
        <v>31.2</v>
      </c>
      <c r="Y36" s="13">
        <v>29.9</v>
      </c>
      <c r="Z36" s="13">
        <v>29.9</v>
      </c>
      <c r="AA36" s="13">
        <v>32.799999999999997</v>
      </c>
      <c r="AB36" s="13">
        <v>33.9</v>
      </c>
      <c r="AC36" s="13">
        <v>34.299999999999997</v>
      </c>
      <c r="AD36" s="13">
        <v>35.200000000000003</v>
      </c>
      <c r="AE36" s="13">
        <v>37.200000000000003</v>
      </c>
      <c r="AF36" s="23">
        <v>36.6</v>
      </c>
      <c r="AG36" s="23">
        <v>58.2</v>
      </c>
      <c r="AH36" s="23">
        <v>45.3</v>
      </c>
      <c r="AI36" s="23">
        <v>48.5</v>
      </c>
      <c r="AJ36" s="23">
        <v>52.2</v>
      </c>
      <c r="AK36" s="23">
        <v>53</v>
      </c>
      <c r="AL36" s="23">
        <v>54</v>
      </c>
      <c r="AM36" s="23">
        <v>54.085000000000001</v>
      </c>
      <c r="AN36" s="23">
        <v>51.790999999999997</v>
      </c>
      <c r="AO36" s="23">
        <v>52.515000000000001</v>
      </c>
      <c r="AP36" s="23">
        <v>54.776000000000003</v>
      </c>
      <c r="AQ36" s="23">
        <v>56.430999999999997</v>
      </c>
      <c r="AR36" s="23">
        <v>57.091000000000001</v>
      </c>
      <c r="AS36" s="23">
        <v>55.018999999999998</v>
      </c>
      <c r="AT36" s="23">
        <v>50.298999999999999</v>
      </c>
    </row>
    <row r="37" spans="1:46" s="5" customFormat="1" x14ac:dyDescent="0.25">
      <c r="A37" s="5" t="s">
        <v>87</v>
      </c>
      <c r="B37" s="13" t="s">
        <v>14</v>
      </c>
      <c r="C37" s="13">
        <v>1.3</v>
      </c>
      <c r="D37" s="13">
        <v>2.2999999999999998</v>
      </c>
      <c r="E37" s="13">
        <v>0.8</v>
      </c>
      <c r="F37" s="13">
        <v>0.3</v>
      </c>
      <c r="G37" s="13">
        <v>0.5</v>
      </c>
      <c r="H37" s="13">
        <v>0</v>
      </c>
      <c r="I37" s="13">
        <v>0.6</v>
      </c>
      <c r="J37" s="13">
        <v>2.4</v>
      </c>
      <c r="K37" s="13">
        <v>1.6</v>
      </c>
      <c r="L37" s="13">
        <v>0.5</v>
      </c>
      <c r="M37" s="13">
        <v>8.1999999999999993</v>
      </c>
      <c r="N37" s="13">
        <v>2</v>
      </c>
      <c r="O37" s="13">
        <v>2.8</v>
      </c>
      <c r="P37" s="13">
        <v>2.4</v>
      </c>
      <c r="Q37" s="13">
        <v>1.9</v>
      </c>
      <c r="R37" s="13">
        <v>1.9</v>
      </c>
      <c r="S37" s="13">
        <v>2</v>
      </c>
      <c r="T37" s="13">
        <v>3.1</v>
      </c>
      <c r="U37" s="13">
        <v>7.9</v>
      </c>
      <c r="V37" s="13">
        <v>1</v>
      </c>
      <c r="W37" s="13">
        <v>6.4</v>
      </c>
      <c r="X37" s="13">
        <v>0.8</v>
      </c>
      <c r="Y37" s="13">
        <v>6.3</v>
      </c>
      <c r="Z37" s="13">
        <v>4.9000000000000004</v>
      </c>
      <c r="AA37" s="13">
        <v>3.3</v>
      </c>
      <c r="AB37" s="13">
        <v>4.8</v>
      </c>
      <c r="AC37" s="13">
        <v>7.2</v>
      </c>
      <c r="AD37" s="13">
        <v>4.5</v>
      </c>
      <c r="AE37" s="13">
        <v>7.1</v>
      </c>
      <c r="AF37" s="23">
        <v>1.2</v>
      </c>
      <c r="AG37" s="23">
        <v>8.5</v>
      </c>
      <c r="AH37" s="23">
        <v>2.4</v>
      </c>
      <c r="AI37" s="23">
        <v>6.7</v>
      </c>
      <c r="AJ37" s="23">
        <v>5.9</v>
      </c>
      <c r="AK37" s="23">
        <v>7</v>
      </c>
      <c r="AL37" s="23">
        <v>15.7</v>
      </c>
      <c r="AM37" s="23">
        <v>11.425000000000001</v>
      </c>
      <c r="AN37" s="23">
        <v>8.9920000000000009</v>
      </c>
      <c r="AO37" s="23">
        <v>20.744</v>
      </c>
      <c r="AP37" s="23">
        <v>13.467000000000001</v>
      </c>
      <c r="AQ37" s="23">
        <v>21.353000000000002</v>
      </c>
      <c r="AR37" s="23">
        <v>27.504999999999999</v>
      </c>
      <c r="AS37" s="23">
        <v>27.827999999999999</v>
      </c>
      <c r="AT37" s="23">
        <v>15.999000000000001</v>
      </c>
    </row>
    <row r="38" spans="1:46" s="5" customFormat="1" x14ac:dyDescent="0.25">
      <c r="A38" s="5" t="s">
        <v>88</v>
      </c>
      <c r="B38" s="26">
        <v>4.7</v>
      </c>
      <c r="C38" s="13">
        <v>4.2</v>
      </c>
      <c r="D38" s="13">
        <v>4.0999999999999996</v>
      </c>
      <c r="E38" s="13">
        <v>3.8</v>
      </c>
      <c r="F38" s="13">
        <v>2.6</v>
      </c>
      <c r="G38" s="13">
        <v>3.1</v>
      </c>
      <c r="H38" s="13">
        <v>3.7</v>
      </c>
      <c r="I38" s="13">
        <v>5.0999999999999996</v>
      </c>
      <c r="J38" s="13">
        <v>7.1</v>
      </c>
      <c r="K38" s="13">
        <v>8.1</v>
      </c>
      <c r="L38" s="13">
        <v>4.8</v>
      </c>
      <c r="M38" s="13">
        <v>6.9</v>
      </c>
      <c r="N38" s="13">
        <v>6.8</v>
      </c>
      <c r="O38" s="13">
        <v>5.4</v>
      </c>
      <c r="P38" s="13">
        <v>4.2</v>
      </c>
      <c r="Q38" s="13">
        <v>3.3</v>
      </c>
      <c r="R38" s="13">
        <v>3.3</v>
      </c>
      <c r="S38" s="13">
        <v>4.0999999999999996</v>
      </c>
      <c r="T38" s="13">
        <v>4.5999999999999996</v>
      </c>
      <c r="U38" s="13">
        <v>6.3</v>
      </c>
      <c r="V38" s="13">
        <v>4.8</v>
      </c>
      <c r="W38" s="13">
        <v>7.9</v>
      </c>
      <c r="X38" s="13">
        <v>5.2</v>
      </c>
      <c r="Y38" s="13">
        <v>6.2</v>
      </c>
      <c r="Z38" s="13">
        <v>6.1</v>
      </c>
      <c r="AA38" s="13">
        <v>5.8</v>
      </c>
      <c r="AB38" s="13">
        <v>5.9</v>
      </c>
      <c r="AC38" s="13">
        <v>8</v>
      </c>
      <c r="AD38" s="13">
        <v>5.7</v>
      </c>
      <c r="AE38" s="13">
        <v>6.2</v>
      </c>
      <c r="AF38" s="23">
        <v>7.3</v>
      </c>
      <c r="AG38" s="23">
        <v>8.1</v>
      </c>
      <c r="AH38" s="23">
        <v>8.4</v>
      </c>
      <c r="AI38" s="23">
        <v>9.6</v>
      </c>
      <c r="AJ38" s="23">
        <v>7.9</v>
      </c>
      <c r="AK38" s="23">
        <v>9.5</v>
      </c>
      <c r="AL38" s="23">
        <v>6.7</v>
      </c>
      <c r="AM38" s="23">
        <v>10.185</v>
      </c>
      <c r="AN38" s="23">
        <v>10.398</v>
      </c>
      <c r="AO38" s="23">
        <v>10.438000000000001</v>
      </c>
      <c r="AP38" s="23">
        <v>9.3770000000000007</v>
      </c>
      <c r="AQ38" s="23">
        <v>13.683</v>
      </c>
      <c r="AR38" s="23">
        <v>11.401999999999999</v>
      </c>
      <c r="AS38" s="23">
        <v>11.523999999999999</v>
      </c>
      <c r="AT38" s="23">
        <v>11.423</v>
      </c>
    </row>
    <row r="39" spans="1:46" s="4" customFormat="1" ht="15.75" thickBot="1" x14ac:dyDescent="0.3">
      <c r="A39" s="33" t="s">
        <v>91</v>
      </c>
      <c r="B39" s="35">
        <v>9.1</v>
      </c>
      <c r="C39" s="34">
        <v>10.8</v>
      </c>
      <c r="D39" s="34">
        <v>12.1</v>
      </c>
      <c r="E39" s="34">
        <v>11.2</v>
      </c>
      <c r="F39" s="34">
        <v>10.3</v>
      </c>
      <c r="G39" s="34">
        <v>13.4</v>
      </c>
      <c r="H39" s="34">
        <v>16.100000000000001</v>
      </c>
      <c r="I39" s="34">
        <v>19.8</v>
      </c>
      <c r="J39" s="34">
        <v>24.4</v>
      </c>
      <c r="K39" s="34">
        <v>26.2</v>
      </c>
      <c r="L39" s="34">
        <v>22.7</v>
      </c>
      <c r="M39" s="34">
        <v>34.700000000000003</v>
      </c>
      <c r="N39" s="34">
        <v>29.6</v>
      </c>
      <c r="O39" s="34">
        <v>30.9</v>
      </c>
      <c r="P39" s="34">
        <v>30</v>
      </c>
      <c r="Q39" s="34">
        <v>29.3</v>
      </c>
      <c r="R39" s="34">
        <v>29.3</v>
      </c>
      <c r="S39" s="34">
        <v>32.1</v>
      </c>
      <c r="T39" s="34">
        <v>35.200000000000003</v>
      </c>
      <c r="U39" s="34">
        <v>35.200000000000003</v>
      </c>
      <c r="V39" s="34">
        <v>33</v>
      </c>
      <c r="W39" s="34">
        <v>44.5</v>
      </c>
      <c r="X39" s="34">
        <v>37.200000000000003</v>
      </c>
      <c r="Y39" s="34">
        <v>42.3</v>
      </c>
      <c r="Z39" s="34">
        <v>41</v>
      </c>
      <c r="AA39" s="34">
        <v>41.9</v>
      </c>
      <c r="AB39" s="34">
        <v>44.7</v>
      </c>
      <c r="AC39" s="34">
        <v>49.6</v>
      </c>
      <c r="AD39" s="34">
        <v>45.3</v>
      </c>
      <c r="AE39" s="34">
        <v>50.5</v>
      </c>
      <c r="AF39" s="34">
        <v>45.1</v>
      </c>
      <c r="AG39" s="34">
        <v>41.6</v>
      </c>
      <c r="AH39" s="34">
        <v>56.1</v>
      </c>
      <c r="AI39" s="34">
        <v>64.900000000000006</v>
      </c>
      <c r="AJ39" s="34">
        <v>66</v>
      </c>
      <c r="AK39" s="34">
        <v>69.5</v>
      </c>
      <c r="AL39" s="34">
        <v>76.3</v>
      </c>
      <c r="AM39" s="34">
        <v>75.695000000000007</v>
      </c>
      <c r="AN39" s="34">
        <v>71.180999999999997</v>
      </c>
      <c r="AO39" s="34">
        <v>83.697000000000003</v>
      </c>
      <c r="AP39" s="34">
        <v>77.62</v>
      </c>
      <c r="AQ39" s="34">
        <v>91.466999999999985</v>
      </c>
      <c r="AR39" s="34">
        <v>95.998000000000005</v>
      </c>
      <c r="AS39" s="34">
        <v>94.370999999999995</v>
      </c>
      <c r="AT39" s="34">
        <v>77.721000000000004</v>
      </c>
    </row>
    <row r="40" spans="1:46" s="4" customFormat="1" ht="15.75" thickTop="1" x14ac:dyDescent="0.25">
      <c r="A40" s="31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</row>
    <row r="41" spans="1:46" s="5" customFormat="1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</row>
    <row r="42" spans="1:46" s="5" customFormat="1" x14ac:dyDescent="0.25">
      <c r="A42" s="3" t="s">
        <v>101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</row>
    <row r="43" spans="1:46" s="5" customFormat="1" x14ac:dyDescent="0.25">
      <c r="A43" s="5" t="s">
        <v>89</v>
      </c>
      <c r="B43" s="26">
        <v>-14.2</v>
      </c>
      <c r="C43" s="13">
        <v>-16</v>
      </c>
      <c r="D43" s="13">
        <v>-17.600000000000001</v>
      </c>
      <c r="E43" s="13">
        <v>-20.7</v>
      </c>
      <c r="F43" s="13">
        <v>-20.6</v>
      </c>
      <c r="G43" s="13">
        <v>-17.5</v>
      </c>
      <c r="H43" s="13">
        <v>-19.5</v>
      </c>
      <c r="I43" s="13">
        <v>-20.3</v>
      </c>
      <c r="J43" s="13">
        <v>-20.9</v>
      </c>
      <c r="K43" s="13">
        <v>-22.4</v>
      </c>
      <c r="L43" s="13">
        <v>-23.1</v>
      </c>
      <c r="M43" s="13">
        <v>-25.7</v>
      </c>
      <c r="N43" s="13">
        <v>-26.2</v>
      </c>
      <c r="O43" s="13">
        <v>-27.4</v>
      </c>
      <c r="P43" s="13">
        <v>-28.2</v>
      </c>
      <c r="Q43" s="13">
        <v>-28.2</v>
      </c>
      <c r="R43" s="13">
        <v>-31.1</v>
      </c>
      <c r="S43" s="13">
        <v>-32.200000000000003</v>
      </c>
      <c r="T43" s="13">
        <v>-31</v>
      </c>
      <c r="U43" s="13">
        <v>-36.299999999999997</v>
      </c>
      <c r="V43" s="13">
        <v>-32.700000000000003</v>
      </c>
      <c r="W43" s="13">
        <v>-34.700000000000003</v>
      </c>
      <c r="X43" s="13">
        <v>-34.700000000000003</v>
      </c>
      <c r="Y43" s="13">
        <v>-38.9</v>
      </c>
      <c r="Z43" s="13">
        <v>-35.799999999999997</v>
      </c>
      <c r="AA43" s="13">
        <v>-37.4</v>
      </c>
      <c r="AB43" s="13">
        <v>-37.4</v>
      </c>
      <c r="AC43" s="13">
        <v>-41.4</v>
      </c>
      <c r="AD43" s="13">
        <v>-40.299999999999997</v>
      </c>
      <c r="AE43" s="13">
        <v>-42.4</v>
      </c>
      <c r="AF43" s="23">
        <v>-46.7</v>
      </c>
      <c r="AG43" s="23">
        <v>-45.5</v>
      </c>
      <c r="AH43" s="23">
        <v>-42.94</v>
      </c>
      <c r="AI43" s="23">
        <v>-42.49</v>
      </c>
      <c r="AJ43" s="23">
        <v>-42.76</v>
      </c>
      <c r="AK43" s="23">
        <v>-45.470000000000006</v>
      </c>
      <c r="AL43" s="23">
        <v>-43.076000000000001</v>
      </c>
      <c r="AM43" s="23">
        <v>-47.42</v>
      </c>
      <c r="AN43" s="23">
        <v>-44.94</v>
      </c>
      <c r="AO43" s="23">
        <v>-49.44</v>
      </c>
      <c r="AP43" s="23">
        <v>-47.756</v>
      </c>
      <c r="AQ43" s="23">
        <v>-47.741</v>
      </c>
      <c r="AR43" s="23">
        <v>-48.606000000000002</v>
      </c>
      <c r="AS43" s="23">
        <v>-51.231999999999999</v>
      </c>
      <c r="AT43" s="23">
        <v>-49.174999999999997</v>
      </c>
    </row>
    <row r="44" spans="1:46" x14ac:dyDescent="0.25">
      <c r="A44" t="s">
        <v>90</v>
      </c>
      <c r="B44" s="29">
        <v>-9.6999999999999993</v>
      </c>
      <c r="C44" s="22">
        <v>-10.9</v>
      </c>
      <c r="D44" s="22">
        <v>-12.3</v>
      </c>
      <c r="E44" s="22">
        <v>-14.5</v>
      </c>
      <c r="F44" s="22">
        <v>-12.3</v>
      </c>
      <c r="G44" s="22">
        <v>-13.2</v>
      </c>
      <c r="H44" s="22">
        <v>-14.1</v>
      </c>
      <c r="I44" s="22">
        <v>-15.7</v>
      </c>
      <c r="J44" s="22">
        <v>-14.3</v>
      </c>
      <c r="K44" s="22">
        <v>-12.7</v>
      </c>
      <c r="L44" s="22">
        <v>-13.7</v>
      </c>
      <c r="M44" s="22">
        <v>-16.100000000000001</v>
      </c>
      <c r="N44" s="22">
        <v>-15.4</v>
      </c>
      <c r="O44" s="22">
        <v>-16.899999999999999</v>
      </c>
      <c r="P44" s="22">
        <v>-16.600000000000001</v>
      </c>
      <c r="Q44" s="22">
        <v>-16.600000000000001</v>
      </c>
      <c r="R44" s="22">
        <v>-15.7</v>
      </c>
      <c r="S44" s="22">
        <v>-19.600000000000001</v>
      </c>
      <c r="T44" s="22">
        <v>-17.7</v>
      </c>
      <c r="U44" s="22">
        <v>-18.5</v>
      </c>
      <c r="V44" s="22">
        <v>-17.600000000000001</v>
      </c>
      <c r="W44" s="22">
        <v>-18.5</v>
      </c>
      <c r="X44" s="22">
        <v>-18.7</v>
      </c>
      <c r="Y44" s="22">
        <v>-23.6</v>
      </c>
      <c r="Z44" s="22">
        <v>-20.6</v>
      </c>
      <c r="AA44" s="22">
        <v>-19.600000000000001</v>
      </c>
      <c r="AB44" s="22">
        <v>-22.2</v>
      </c>
      <c r="AC44" s="22">
        <v>-24.2</v>
      </c>
      <c r="AD44" s="22">
        <v>-23.2</v>
      </c>
      <c r="AE44" s="22">
        <v>-22.6</v>
      </c>
      <c r="AF44" s="22">
        <v>-23.2</v>
      </c>
      <c r="AG44" s="22">
        <v>-24.6</v>
      </c>
      <c r="AH44" s="22">
        <v>-23.8</v>
      </c>
      <c r="AI44" s="22">
        <v>-25.4</v>
      </c>
      <c r="AJ44" s="22">
        <v>-25.9</v>
      </c>
      <c r="AK44" s="22">
        <v>-28.672000000000001</v>
      </c>
      <c r="AL44" s="22">
        <v>-25.876999999999999</v>
      </c>
      <c r="AM44" s="22">
        <v>-26.452000000000002</v>
      </c>
      <c r="AN44" s="22">
        <v>-25.690999999999999</v>
      </c>
      <c r="AO44" s="22">
        <v>-27.404000000000003</v>
      </c>
      <c r="AP44" s="22">
        <v>-26.065000000000001</v>
      </c>
      <c r="AQ44" s="22">
        <v>-29.185000000000002</v>
      </c>
      <c r="AR44" s="23">
        <v>-28.7531</v>
      </c>
      <c r="AS44" s="23">
        <v>-28.904999999999998</v>
      </c>
      <c r="AT44" s="23">
        <v>-31.999999999999996</v>
      </c>
    </row>
    <row r="45" spans="1:46" x14ac:dyDescent="0.25">
      <c r="A45" t="s">
        <v>81</v>
      </c>
      <c r="B45" s="29">
        <v>-14.5</v>
      </c>
      <c r="C45" s="22">
        <v>-11.9</v>
      </c>
      <c r="D45" s="22">
        <v>-14</v>
      </c>
      <c r="E45" s="22">
        <v>-4.8</v>
      </c>
      <c r="F45" s="22">
        <v>-7.5</v>
      </c>
      <c r="G45" s="22">
        <v>-9.1999999999999993</v>
      </c>
      <c r="H45" s="22">
        <v>-11.8</v>
      </c>
      <c r="I45" s="22">
        <v>-13.5</v>
      </c>
      <c r="J45" s="22">
        <v>-15.4</v>
      </c>
      <c r="K45" s="22">
        <v>-15.4</v>
      </c>
      <c r="L45" s="22">
        <v>-15</v>
      </c>
      <c r="M45" s="22">
        <v>-19.2</v>
      </c>
      <c r="N45" s="22">
        <v>-17.600000000000001</v>
      </c>
      <c r="O45" s="22">
        <v>-16.8</v>
      </c>
      <c r="P45" s="22">
        <v>-17</v>
      </c>
      <c r="Q45" s="22">
        <v>-17</v>
      </c>
      <c r="R45" s="22">
        <v>-10</v>
      </c>
      <c r="S45" s="22">
        <v>-13.1</v>
      </c>
      <c r="T45" s="22">
        <v>-14</v>
      </c>
      <c r="U45" s="22">
        <v>-15.3</v>
      </c>
      <c r="V45" s="22">
        <v>-18.600000000000001</v>
      </c>
      <c r="W45" s="22">
        <v>-20.6</v>
      </c>
      <c r="X45" s="22">
        <v>-19.5</v>
      </c>
      <c r="Y45" s="22">
        <v>-23.3</v>
      </c>
      <c r="Z45" s="22">
        <v>-19.600000000000001</v>
      </c>
      <c r="AA45" s="22">
        <v>-23.8</v>
      </c>
      <c r="AB45" s="22">
        <v>-23.1</v>
      </c>
      <c r="AC45" s="22">
        <v>-24.5</v>
      </c>
      <c r="AD45" s="22">
        <v>-23</v>
      </c>
      <c r="AE45" s="22">
        <v>-25.6</v>
      </c>
      <c r="AF45" s="22">
        <v>-23.6</v>
      </c>
      <c r="AG45" s="22">
        <v>-29</v>
      </c>
      <c r="AH45" s="22">
        <v>-27.86</v>
      </c>
      <c r="AI45" s="22">
        <v>-28.31</v>
      </c>
      <c r="AJ45" s="22">
        <v>-27.54</v>
      </c>
      <c r="AK45" s="22">
        <v>-34.03</v>
      </c>
      <c r="AL45" s="22">
        <v>-35.411000000000001</v>
      </c>
      <c r="AM45" s="22">
        <v>-33.264000000000003</v>
      </c>
      <c r="AN45" s="22">
        <v>-36.35</v>
      </c>
      <c r="AO45" s="22">
        <v>-36.893000000000001</v>
      </c>
      <c r="AP45" s="22">
        <v>-40.092000000000006</v>
      </c>
      <c r="AQ45" s="22">
        <v>-39.220999999999997</v>
      </c>
      <c r="AR45" s="23">
        <v>-39.232999999999997</v>
      </c>
      <c r="AS45" s="23">
        <v>-40.061</v>
      </c>
      <c r="AT45" s="23">
        <v>-39.192</v>
      </c>
    </row>
    <row r="46" spans="1:46" x14ac:dyDescent="0.25">
      <c r="A46" t="s">
        <v>70</v>
      </c>
      <c r="B46" s="29">
        <v>-0.8</v>
      </c>
      <c r="C46" s="22">
        <v>-0.7</v>
      </c>
      <c r="D46" s="22">
        <v>-0.8</v>
      </c>
      <c r="E46" s="22">
        <v>-0.6</v>
      </c>
      <c r="F46" s="22">
        <v>-0.5</v>
      </c>
      <c r="G46" s="22">
        <v>-0.5</v>
      </c>
      <c r="H46" s="22">
        <v>-0.6</v>
      </c>
      <c r="I46" s="22">
        <v>-3.5</v>
      </c>
      <c r="J46" s="22">
        <v>-8.3000000000000007</v>
      </c>
      <c r="K46" s="22">
        <v>-8.3000000000000007</v>
      </c>
      <c r="L46" s="22">
        <v>-8.6999999999999993</v>
      </c>
      <c r="M46" s="22">
        <v>-8.9</v>
      </c>
      <c r="N46" s="22">
        <v>-10</v>
      </c>
      <c r="O46" s="22">
        <v>-10.5</v>
      </c>
      <c r="P46" s="22">
        <v>-8.9</v>
      </c>
      <c r="Q46" s="22">
        <v>-1.1000000000000001</v>
      </c>
      <c r="R46" s="22">
        <v>-10.1</v>
      </c>
      <c r="S46" s="22">
        <v>-8.3000000000000007</v>
      </c>
      <c r="T46" s="22">
        <v>-10</v>
      </c>
      <c r="U46" s="22">
        <v>-10.1</v>
      </c>
      <c r="V46" s="22">
        <v>-10.1</v>
      </c>
      <c r="W46" s="22">
        <v>-8.5</v>
      </c>
      <c r="X46" s="22">
        <v>-10.5</v>
      </c>
      <c r="Y46" s="22">
        <v>-12.3</v>
      </c>
      <c r="Z46" s="22">
        <v>-11.3</v>
      </c>
      <c r="AA46" s="22">
        <v>-11.1</v>
      </c>
      <c r="AB46" s="22">
        <v>-8.6</v>
      </c>
      <c r="AC46" s="22">
        <v>-9</v>
      </c>
      <c r="AD46" s="22">
        <v>-15.9</v>
      </c>
      <c r="AE46" s="22">
        <v>-11</v>
      </c>
      <c r="AF46" s="22">
        <v>-20.399999999999999</v>
      </c>
      <c r="AG46" s="22">
        <v>-10.199999999999999</v>
      </c>
      <c r="AH46" s="22">
        <v>1.8</v>
      </c>
      <c r="AI46" s="22">
        <v>-4.2750000000000004</v>
      </c>
      <c r="AJ46" s="22">
        <v>-13</v>
      </c>
      <c r="AK46" s="22">
        <v>-22.628</v>
      </c>
      <c r="AL46" s="22">
        <v>-15.2</v>
      </c>
      <c r="AM46" s="22">
        <v>-17.731419293863997</v>
      </c>
      <c r="AN46" s="22">
        <v>-16.679869474990419</v>
      </c>
      <c r="AO46" s="22">
        <v>-20.725718818133899</v>
      </c>
      <c r="AP46" s="22">
        <v>-13.88992040886297</v>
      </c>
      <c r="AQ46" s="22">
        <v>-28.904000000000003</v>
      </c>
      <c r="AR46" s="23">
        <v>-20.13</v>
      </c>
      <c r="AS46" s="23">
        <v>-15.444999999999999</v>
      </c>
      <c r="AT46" s="23">
        <v>-11.472999999999999</v>
      </c>
    </row>
    <row r="47" spans="1:46" s="2" customFormat="1" ht="15.75" thickBot="1" x14ac:dyDescent="0.3">
      <c r="A47" s="33" t="s">
        <v>91</v>
      </c>
      <c r="B47" s="35">
        <v>-39.200000000000003</v>
      </c>
      <c r="C47" s="34">
        <v>-39.5</v>
      </c>
      <c r="D47" s="34">
        <v>-44.7</v>
      </c>
      <c r="E47" s="34">
        <v>-40.700000000000003</v>
      </c>
      <c r="F47" s="34">
        <v>-41</v>
      </c>
      <c r="G47" s="34">
        <v>-40.4</v>
      </c>
      <c r="H47" s="34">
        <v>-46</v>
      </c>
      <c r="I47" s="34">
        <v>-53</v>
      </c>
      <c r="J47" s="34">
        <v>-59</v>
      </c>
      <c r="K47" s="34">
        <v>-58.8</v>
      </c>
      <c r="L47" s="34">
        <v>-60.5</v>
      </c>
      <c r="M47" s="34">
        <v>-69.900000000000006</v>
      </c>
      <c r="N47" s="34">
        <v>-69.099999999999994</v>
      </c>
      <c r="O47" s="34">
        <v>-71.599999999999994</v>
      </c>
      <c r="P47" s="34">
        <v>-70.7</v>
      </c>
      <c r="Q47" s="34">
        <v>-62.9</v>
      </c>
      <c r="R47" s="34">
        <v>-66.900000000000006</v>
      </c>
      <c r="S47" s="34">
        <v>-73.3</v>
      </c>
      <c r="T47" s="34">
        <v>-72.7</v>
      </c>
      <c r="U47" s="34">
        <v>-80.099999999999994</v>
      </c>
      <c r="V47" s="34">
        <v>-78.900000000000006</v>
      </c>
      <c r="W47" s="34">
        <v>-82.3</v>
      </c>
      <c r="X47" s="34">
        <v>-83.5</v>
      </c>
      <c r="Y47" s="34">
        <v>-98</v>
      </c>
      <c r="Z47" s="34">
        <v>-87.3</v>
      </c>
      <c r="AA47" s="34">
        <v>-91.9</v>
      </c>
      <c r="AB47" s="34">
        <v>-91.4</v>
      </c>
      <c r="AC47" s="34">
        <v>-99.1</v>
      </c>
      <c r="AD47" s="34">
        <v>-102.4</v>
      </c>
      <c r="AE47" s="34">
        <v>-101.7</v>
      </c>
      <c r="AF47" s="34">
        <v>-113.9</v>
      </c>
      <c r="AG47" s="34">
        <v>-109.3</v>
      </c>
      <c r="AH47" s="34">
        <v>-92.8</v>
      </c>
      <c r="AI47" s="34">
        <v>-100.47500000000001</v>
      </c>
      <c r="AJ47" s="34">
        <v>-109.19999999999999</v>
      </c>
      <c r="AK47" s="34">
        <v>-130.80000000000001</v>
      </c>
      <c r="AL47" s="34">
        <v>-119.56400000000001</v>
      </c>
      <c r="AM47" s="34">
        <v>-124.86741929386399</v>
      </c>
      <c r="AN47" s="34">
        <v>-123.66086947499042</v>
      </c>
      <c r="AO47" s="34">
        <v>-134.46271881813391</v>
      </c>
      <c r="AP47" s="34">
        <v>-127.80292040886297</v>
      </c>
      <c r="AQ47" s="34">
        <v>-145.05099999999999</v>
      </c>
      <c r="AR47" s="49">
        <f>SUM(AR43:AR46)</f>
        <v>-136.72209999999998</v>
      </c>
      <c r="AS47" s="49">
        <f>SUM(AS43:AS46)</f>
        <v>-135.643</v>
      </c>
      <c r="AT47" s="49">
        <f>SUM(AT43:AT46)</f>
        <v>-131.83999999999997</v>
      </c>
    </row>
    <row r="48" spans="1:46" s="4" customFormat="1" ht="15.75" thickTop="1" x14ac:dyDescent="0.25">
      <c r="A48" s="31"/>
      <c r="B48" s="37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</row>
    <row r="49" spans="1:46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</row>
    <row r="50" spans="1:46" x14ac:dyDescent="0.25">
      <c r="A50" s="3" t="s">
        <v>102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</row>
    <row r="51" spans="1:46" x14ac:dyDescent="0.25">
      <c r="A51" t="s">
        <v>92</v>
      </c>
      <c r="B51" s="29">
        <v>86.9</v>
      </c>
      <c r="C51" s="22">
        <v>96.2</v>
      </c>
      <c r="D51" s="22">
        <v>104.5</v>
      </c>
      <c r="E51" s="22">
        <v>103</v>
      </c>
      <c r="F51" s="22">
        <v>88.9</v>
      </c>
      <c r="G51" s="22">
        <v>94.5</v>
      </c>
      <c r="H51" s="22">
        <v>93.8</v>
      </c>
      <c r="I51" s="22">
        <v>98.7</v>
      </c>
      <c r="J51" s="22">
        <v>108.5</v>
      </c>
      <c r="K51" s="22">
        <v>113.3</v>
      </c>
      <c r="L51" s="22">
        <v>116.9</v>
      </c>
      <c r="M51" s="22">
        <v>126.4</v>
      </c>
      <c r="N51" s="22">
        <v>135.4</v>
      </c>
      <c r="O51" s="22">
        <v>133.5</v>
      </c>
      <c r="P51" s="22">
        <v>146.80000000000001</v>
      </c>
      <c r="Q51" s="22">
        <v>143.80000000000001</v>
      </c>
      <c r="R51" s="22">
        <v>140.9</v>
      </c>
      <c r="S51" s="22">
        <v>144.4</v>
      </c>
      <c r="T51" s="22">
        <v>147.6</v>
      </c>
      <c r="U51" s="22">
        <v>148.1</v>
      </c>
      <c r="V51" s="22">
        <v>147.1</v>
      </c>
      <c r="W51" s="22">
        <v>145.30000000000001</v>
      </c>
      <c r="X51" s="22">
        <v>160.4</v>
      </c>
      <c r="Y51" s="22">
        <v>189.3</v>
      </c>
      <c r="Z51" s="22">
        <v>168.5</v>
      </c>
      <c r="AA51" s="22">
        <v>177.7</v>
      </c>
      <c r="AB51" s="22">
        <v>188.7</v>
      </c>
      <c r="AC51" s="22">
        <v>213.3</v>
      </c>
      <c r="AD51" s="22">
        <v>218.9</v>
      </c>
      <c r="AE51" s="22">
        <v>225.8</v>
      </c>
      <c r="AF51" s="22">
        <v>259.39999999999998</v>
      </c>
      <c r="AG51" s="22">
        <v>273</v>
      </c>
      <c r="AH51" s="22">
        <v>226.1</v>
      </c>
      <c r="AI51" s="22">
        <v>250.8</v>
      </c>
      <c r="AJ51" s="22">
        <v>256.3</v>
      </c>
      <c r="AK51" s="22">
        <v>283.3</v>
      </c>
      <c r="AL51" s="22">
        <v>265.8</v>
      </c>
      <c r="AM51" s="22">
        <v>275.82399999999996</v>
      </c>
      <c r="AN51" s="22">
        <v>260.15000000000003</v>
      </c>
      <c r="AO51" s="22">
        <v>276.55752517000002</v>
      </c>
      <c r="AP51" s="22">
        <v>233.51944919024439</v>
      </c>
      <c r="AQ51" s="22">
        <v>257.13100000000003</v>
      </c>
      <c r="AR51" s="22">
        <v>239.256</v>
      </c>
      <c r="AS51" s="22">
        <v>245.64599999999999</v>
      </c>
      <c r="AT51" s="22">
        <v>240.72699999999998</v>
      </c>
    </row>
    <row r="52" spans="1:46" x14ac:dyDescent="0.25">
      <c r="A52" t="s">
        <v>63</v>
      </c>
      <c r="B52" s="29">
        <v>-7.9</v>
      </c>
      <c r="C52" s="22">
        <v>-6.5</v>
      </c>
      <c r="D52" s="22">
        <v>-11.3</v>
      </c>
      <c r="E52" s="22">
        <v>-54.1</v>
      </c>
      <c r="F52" s="22">
        <v>-25.6</v>
      </c>
      <c r="G52" s="22">
        <v>-14.9</v>
      </c>
      <c r="H52" s="22">
        <v>-8.6</v>
      </c>
      <c r="I52" s="22">
        <v>-4.0999999999999996</v>
      </c>
      <c r="J52" s="22">
        <v>-13.8</v>
      </c>
      <c r="K52" s="22">
        <v>-9</v>
      </c>
      <c r="L52" s="22">
        <v>-8.9</v>
      </c>
      <c r="M52" s="22">
        <v>-12.7</v>
      </c>
      <c r="N52" s="22">
        <v>-12.3</v>
      </c>
      <c r="O52" s="22">
        <v>-5.7</v>
      </c>
      <c r="P52" s="22">
        <v>-21.9</v>
      </c>
      <c r="Q52" s="22">
        <v>-13.8</v>
      </c>
      <c r="R52" s="22">
        <v>-23.7</v>
      </c>
      <c r="S52" s="22">
        <v>-28.7</v>
      </c>
      <c r="T52" s="22">
        <v>-32.799999999999997</v>
      </c>
      <c r="U52" s="22">
        <v>-25.6</v>
      </c>
      <c r="V52" s="22">
        <v>-16.899999999999999</v>
      </c>
      <c r="W52" s="22">
        <v>-31.3</v>
      </c>
      <c r="X52" s="22">
        <v>-18.600000000000001</v>
      </c>
      <c r="Y52" s="22">
        <v>-26</v>
      </c>
      <c r="Z52" s="22">
        <v>-25.5</v>
      </c>
      <c r="AA52" s="22">
        <v>-14.9</v>
      </c>
      <c r="AB52" s="22">
        <v>-16.8</v>
      </c>
      <c r="AC52" s="22">
        <v>-43.6</v>
      </c>
      <c r="AD52" s="22">
        <v>-43.3</v>
      </c>
      <c r="AE52" s="22">
        <v>-36.4</v>
      </c>
      <c r="AF52" s="22">
        <v>-90.4</v>
      </c>
      <c r="AG52" s="22">
        <v>-48.6</v>
      </c>
      <c r="AH52" s="22">
        <v>-48.9</v>
      </c>
      <c r="AI52" s="22">
        <v>-54.1</v>
      </c>
      <c r="AJ52" s="22">
        <v>-50.2</v>
      </c>
      <c r="AK52" s="22">
        <v>-55.3</v>
      </c>
      <c r="AL52" s="22">
        <v>-57.9</v>
      </c>
      <c r="AM52" s="22">
        <v>-56.613999999999997</v>
      </c>
      <c r="AN52" s="22">
        <v>-54.866</v>
      </c>
      <c r="AO52" s="22">
        <v>-50.795213860000004</v>
      </c>
      <c r="AP52" s="22">
        <v>-22.463000000000001</v>
      </c>
      <c r="AQ52" s="22">
        <v>-33.128</v>
      </c>
      <c r="AR52" s="22">
        <v>-33.128999999999998</v>
      </c>
      <c r="AS52" s="22">
        <v>-29.491</v>
      </c>
      <c r="AT52" s="22">
        <v>-29.491</v>
      </c>
    </row>
    <row r="53" spans="1:46" x14ac:dyDescent="0.25">
      <c r="A53" t="s">
        <v>93</v>
      </c>
      <c r="B53" s="29">
        <v>78.900000000000006</v>
      </c>
      <c r="C53" s="22">
        <v>89.7</v>
      </c>
      <c r="D53" s="22">
        <v>93.2</v>
      </c>
      <c r="E53" s="22">
        <v>49</v>
      </c>
      <c r="F53" s="22">
        <v>63.3</v>
      </c>
      <c r="G53" s="22">
        <v>79.7</v>
      </c>
      <c r="H53" s="22">
        <v>85.2</v>
      </c>
      <c r="I53" s="22">
        <v>94.6</v>
      </c>
      <c r="J53" s="22">
        <v>94.7</v>
      </c>
      <c r="K53" s="22">
        <v>104.3</v>
      </c>
      <c r="L53" s="22">
        <v>108</v>
      </c>
      <c r="M53" s="22">
        <v>113.7</v>
      </c>
      <c r="N53" s="22">
        <v>123</v>
      </c>
      <c r="O53" s="22">
        <v>127.8</v>
      </c>
      <c r="P53" s="22">
        <v>124.9</v>
      </c>
      <c r="Q53" s="22">
        <v>130</v>
      </c>
      <c r="R53" s="22">
        <v>117.2</v>
      </c>
      <c r="S53" s="22">
        <v>115.7</v>
      </c>
      <c r="T53" s="22">
        <v>114.7</v>
      </c>
      <c r="U53" s="22">
        <v>122.5</v>
      </c>
      <c r="V53" s="22">
        <v>130.30000000000001</v>
      </c>
      <c r="W53" s="22">
        <v>113.9</v>
      </c>
      <c r="X53" s="22">
        <v>141.80000000000001</v>
      </c>
      <c r="Y53" s="22">
        <v>163.30000000000001</v>
      </c>
      <c r="Z53" s="22">
        <v>143</v>
      </c>
      <c r="AA53" s="22">
        <v>162.80000000000001</v>
      </c>
      <c r="AB53" s="22">
        <v>171.9</v>
      </c>
      <c r="AC53" s="22">
        <v>169.7</v>
      </c>
      <c r="AD53" s="22">
        <v>175.6</v>
      </c>
      <c r="AE53" s="22">
        <v>189.4</v>
      </c>
      <c r="AF53" s="22">
        <v>168.9</v>
      </c>
      <c r="AG53" s="22">
        <v>224.4</v>
      </c>
      <c r="AH53" s="22">
        <v>177.2</v>
      </c>
      <c r="AI53" s="22">
        <v>196.7</v>
      </c>
      <c r="AJ53" s="22">
        <v>206.1</v>
      </c>
      <c r="AK53" s="22">
        <v>227.9</v>
      </c>
      <c r="AL53" s="22">
        <v>207.9</v>
      </c>
      <c r="AM53" s="22">
        <v>219.20999999999995</v>
      </c>
      <c r="AN53" s="22">
        <v>205.28400000000005</v>
      </c>
      <c r="AO53" s="22">
        <v>225.76231131000003</v>
      </c>
      <c r="AP53" s="22">
        <v>211.05644919024439</v>
      </c>
      <c r="AQ53" s="22">
        <v>224.00300000000004</v>
      </c>
      <c r="AR53" s="22">
        <v>206.12700000000001</v>
      </c>
      <c r="AS53" s="22">
        <v>216.15499999999997</v>
      </c>
      <c r="AT53" s="22">
        <v>216.15499999999997</v>
      </c>
    </row>
    <row r="54" spans="1:46" x14ac:dyDescent="0.25">
      <c r="A54" t="s">
        <v>65</v>
      </c>
      <c r="B54" s="29">
        <v>9.1</v>
      </c>
      <c r="C54" s="22">
        <v>10.8</v>
      </c>
      <c r="D54" s="22">
        <v>12.1</v>
      </c>
      <c r="E54" s="22">
        <v>11.2</v>
      </c>
      <c r="F54" s="22">
        <v>10.3</v>
      </c>
      <c r="G54" s="22">
        <v>13.4</v>
      </c>
      <c r="H54" s="22">
        <v>16.100000000000001</v>
      </c>
      <c r="I54" s="22">
        <v>19.8</v>
      </c>
      <c r="J54" s="22">
        <v>24.4</v>
      </c>
      <c r="K54" s="22">
        <v>26.2</v>
      </c>
      <c r="L54" s="22">
        <v>22.8</v>
      </c>
      <c r="M54" s="22">
        <v>34.700000000000003</v>
      </c>
      <c r="N54" s="22">
        <v>29.6</v>
      </c>
      <c r="O54" s="22">
        <v>30.9</v>
      </c>
      <c r="P54" s="22">
        <v>30</v>
      </c>
      <c r="Q54" s="22">
        <v>34.799999999999997</v>
      </c>
      <c r="R54" s="22">
        <v>29.3</v>
      </c>
      <c r="S54" s="22">
        <v>32.1</v>
      </c>
      <c r="T54" s="22">
        <v>35.200000000000003</v>
      </c>
      <c r="U54" s="22">
        <v>40.799999999999997</v>
      </c>
      <c r="V54" s="22">
        <v>33</v>
      </c>
      <c r="W54" s="22">
        <v>44.5</v>
      </c>
      <c r="X54" s="22">
        <v>37.200000000000003</v>
      </c>
      <c r="Y54" s="22">
        <v>42.3</v>
      </c>
      <c r="Z54" s="22">
        <v>41</v>
      </c>
      <c r="AA54" s="22">
        <v>41.9</v>
      </c>
      <c r="AB54" s="22">
        <v>44.7</v>
      </c>
      <c r="AC54" s="22">
        <v>49.6</v>
      </c>
      <c r="AD54" s="22">
        <v>41</v>
      </c>
      <c r="AE54" s="22">
        <v>50.5</v>
      </c>
      <c r="AF54" s="22">
        <v>45.1</v>
      </c>
      <c r="AG54" s="22">
        <v>58.2</v>
      </c>
      <c r="AH54" s="22">
        <v>56.1</v>
      </c>
      <c r="AI54" s="22">
        <v>64.900000000000006</v>
      </c>
      <c r="AJ54" s="22">
        <v>66</v>
      </c>
      <c r="AK54" s="22">
        <v>69.5</v>
      </c>
      <c r="AL54" s="22">
        <v>76.3</v>
      </c>
      <c r="AM54" s="22">
        <v>75.695000000000007</v>
      </c>
      <c r="AN54" s="22">
        <v>71.180999999999997</v>
      </c>
      <c r="AO54" s="22">
        <v>83.697000000000003</v>
      </c>
      <c r="AP54" s="22">
        <v>77.62</v>
      </c>
      <c r="AQ54" s="22">
        <v>91.466999999999985</v>
      </c>
      <c r="AR54" s="22">
        <v>95.998000000000005</v>
      </c>
      <c r="AS54" s="22">
        <v>94.370999999999995</v>
      </c>
      <c r="AT54" s="22">
        <v>77.721000000000004</v>
      </c>
    </row>
    <row r="55" spans="1:46" x14ac:dyDescent="0.25">
      <c r="A55" t="s">
        <v>94</v>
      </c>
      <c r="B55" s="29">
        <v>-23.8</v>
      </c>
      <c r="C55" s="22">
        <v>-26.8</v>
      </c>
      <c r="D55" s="22">
        <v>-29.7</v>
      </c>
      <c r="E55" s="22">
        <v>-34.6</v>
      </c>
      <c r="F55" s="22">
        <v>-32.9</v>
      </c>
      <c r="G55" s="22">
        <v>-30.5</v>
      </c>
      <c r="H55" s="22">
        <v>-33.200000000000003</v>
      </c>
      <c r="I55" s="22">
        <v>-35.799999999999997</v>
      </c>
      <c r="J55" s="22">
        <v>-34.799999999999997</v>
      </c>
      <c r="K55" s="22">
        <v>-35.1</v>
      </c>
      <c r="L55" s="22">
        <v>-36.799999999999997</v>
      </c>
      <c r="M55" s="22">
        <v>-50.7</v>
      </c>
      <c r="N55" s="22">
        <v>-51.5</v>
      </c>
      <c r="O55" s="22">
        <v>-44.3</v>
      </c>
      <c r="P55" s="22">
        <v>-44.8</v>
      </c>
      <c r="Q55" s="22">
        <v>-48.3</v>
      </c>
      <c r="R55" s="22">
        <v>-46.8</v>
      </c>
      <c r="S55" s="22">
        <v>-51.8</v>
      </c>
      <c r="T55" s="22">
        <v>-48.7</v>
      </c>
      <c r="U55" s="22">
        <v>-54.7</v>
      </c>
      <c r="V55" s="22">
        <v>-50.3</v>
      </c>
      <c r="W55" s="22">
        <v>-53.1</v>
      </c>
      <c r="X55" s="22">
        <v>-53.4</v>
      </c>
      <c r="Y55" s="22">
        <v>-62.5</v>
      </c>
      <c r="Z55" s="22">
        <v>-56.4</v>
      </c>
      <c r="AA55" s="22">
        <v>-57</v>
      </c>
      <c r="AB55" s="22">
        <v>-59.7</v>
      </c>
      <c r="AC55" s="22">
        <v>-65.599999999999994</v>
      </c>
      <c r="AD55" s="22">
        <v>-63.5</v>
      </c>
      <c r="AE55" s="22">
        <v>-65.099999999999994</v>
      </c>
      <c r="AF55" s="22">
        <v>-69.900000000000006</v>
      </c>
      <c r="AG55" s="22">
        <v>-70.099999999999994</v>
      </c>
      <c r="AH55" s="22">
        <v>-66.739999999999995</v>
      </c>
      <c r="AI55" s="22">
        <v>-67.89</v>
      </c>
      <c r="AJ55" s="22">
        <v>-68.66</v>
      </c>
      <c r="AK55" s="22">
        <v>-74.14200000000001</v>
      </c>
      <c r="AL55" s="22">
        <v>-68.953000000000003</v>
      </c>
      <c r="AM55" s="22">
        <v>-73.872</v>
      </c>
      <c r="AN55" s="22">
        <v>-70.631</v>
      </c>
      <c r="AO55" s="22">
        <v>-76.843999999999994</v>
      </c>
      <c r="AP55" s="22">
        <v>-73.820999999999998</v>
      </c>
      <c r="AQ55" s="22">
        <v>-76.926000000000002</v>
      </c>
      <c r="AR55" s="22">
        <v>-77.359099999999998</v>
      </c>
      <c r="AS55" s="22">
        <v>-80.137</v>
      </c>
      <c r="AT55" s="22">
        <v>-81.174999999999997</v>
      </c>
    </row>
    <row r="56" spans="1:46" x14ac:dyDescent="0.25">
      <c r="A56" t="s">
        <v>70</v>
      </c>
      <c r="B56" s="29">
        <v>-0.8</v>
      </c>
      <c r="C56" s="22">
        <v>-0.7</v>
      </c>
      <c r="D56" s="22">
        <v>-0.8</v>
      </c>
      <c r="E56" s="22">
        <v>-0.6</v>
      </c>
      <c r="F56" s="22">
        <v>-0.5</v>
      </c>
      <c r="G56" s="22">
        <v>-0.5</v>
      </c>
      <c r="H56" s="22">
        <v>-0.6</v>
      </c>
      <c r="I56" s="22">
        <v>-3.5</v>
      </c>
      <c r="J56" s="22">
        <v>-8.3000000000000007</v>
      </c>
      <c r="K56" s="22">
        <v>-8.3000000000000007</v>
      </c>
      <c r="L56" s="22">
        <v>-8.6999999999999993</v>
      </c>
      <c r="M56" s="22">
        <v>-8.9</v>
      </c>
      <c r="N56" s="22">
        <v>-10</v>
      </c>
      <c r="O56" s="22">
        <v>-10.5</v>
      </c>
      <c r="P56" s="22">
        <v>-8.9</v>
      </c>
      <c r="Q56" s="22">
        <v>-1.1000000000000001</v>
      </c>
      <c r="R56" s="22">
        <v>-10.1</v>
      </c>
      <c r="S56" s="22">
        <v>-8.3000000000000007</v>
      </c>
      <c r="T56" s="22">
        <v>-10</v>
      </c>
      <c r="U56" s="22">
        <v>-10.1</v>
      </c>
      <c r="V56" s="22">
        <v>-10.1</v>
      </c>
      <c r="W56" s="22">
        <v>-8.5</v>
      </c>
      <c r="X56" s="22">
        <v>-10.5</v>
      </c>
      <c r="Y56" s="22">
        <v>-12.3</v>
      </c>
      <c r="Z56" s="22">
        <v>-11.3</v>
      </c>
      <c r="AA56" s="22">
        <v>-11.1</v>
      </c>
      <c r="AB56" s="22">
        <v>-8.5</v>
      </c>
      <c r="AC56" s="22">
        <v>-9</v>
      </c>
      <c r="AD56" s="22">
        <v>-15.9</v>
      </c>
      <c r="AE56" s="22">
        <v>-17.2</v>
      </c>
      <c r="AF56" s="22">
        <v>-22.2</v>
      </c>
      <c r="AG56" s="22">
        <v>-10.199999999999999</v>
      </c>
      <c r="AH56" s="22">
        <v>1.8</v>
      </c>
      <c r="AI56" s="22">
        <v>-4.2750000000000004</v>
      </c>
      <c r="AJ56" s="22">
        <v>-13</v>
      </c>
      <c r="AK56" s="22">
        <v>-22.628</v>
      </c>
      <c r="AL56" s="22">
        <v>-15.2</v>
      </c>
      <c r="AM56" s="22">
        <v>-17.731419293863997</v>
      </c>
      <c r="AN56" s="22">
        <v>-16.679869474990419</v>
      </c>
      <c r="AO56" s="22">
        <v>-20.725718818133899</v>
      </c>
      <c r="AP56" s="22">
        <v>-13.88992040886297</v>
      </c>
      <c r="AQ56" s="22">
        <v>-29.679000000000002</v>
      </c>
      <c r="AR56" s="22">
        <v>-20.6449</v>
      </c>
      <c r="AS56" s="22">
        <v>-15.444999999999999</v>
      </c>
      <c r="AT56" s="22">
        <v>-11.472999999999999</v>
      </c>
    </row>
    <row r="57" spans="1:46" x14ac:dyDescent="0.25">
      <c r="A57" t="s">
        <v>71</v>
      </c>
      <c r="B57" s="29">
        <v>-5</v>
      </c>
      <c r="C57" s="22">
        <v>-5.3</v>
      </c>
      <c r="D57" s="22">
        <v>-5.6</v>
      </c>
      <c r="E57" s="22">
        <v>-6.6</v>
      </c>
      <c r="F57" s="22">
        <v>-3.9</v>
      </c>
      <c r="G57" s="22">
        <v>-6.8</v>
      </c>
      <c r="H57" s="22">
        <v>-5.3</v>
      </c>
      <c r="I57" s="22">
        <v>-24</v>
      </c>
      <c r="J57" s="22">
        <v>-3.6</v>
      </c>
      <c r="K57" s="22">
        <v>-7.5</v>
      </c>
      <c r="L57" s="22">
        <v>-6.3</v>
      </c>
      <c r="M57" s="22">
        <v>-0.8</v>
      </c>
      <c r="N57" s="22">
        <v>-2.2000000000000002</v>
      </c>
      <c r="O57" s="22">
        <v>0.4</v>
      </c>
      <c r="P57" s="22">
        <v>-2</v>
      </c>
      <c r="Q57" s="22">
        <v>3.5</v>
      </c>
      <c r="R57" s="22">
        <v>2.5</v>
      </c>
      <c r="S57" s="22">
        <v>4</v>
      </c>
      <c r="T57" s="22">
        <v>0.1</v>
      </c>
      <c r="U57" s="22">
        <v>-0.6</v>
      </c>
      <c r="V57" s="22">
        <v>-1.7</v>
      </c>
      <c r="W57" s="22">
        <v>12.6</v>
      </c>
      <c r="X57" s="22">
        <v>-1.3</v>
      </c>
      <c r="Y57" s="22">
        <v>-10.3</v>
      </c>
      <c r="Z57" s="22">
        <v>4.4000000000000004</v>
      </c>
      <c r="AA57" s="22">
        <v>1.7</v>
      </c>
      <c r="AB57" s="22">
        <v>-10.1</v>
      </c>
      <c r="AC57" s="22">
        <v>-6.7</v>
      </c>
      <c r="AD57" s="22">
        <v>-2.9</v>
      </c>
      <c r="AE57" s="22">
        <v>-6.2</v>
      </c>
      <c r="AF57" s="22">
        <v>-6.2</v>
      </c>
      <c r="AG57" s="22">
        <v>-16.5</v>
      </c>
      <c r="AH57" s="22">
        <v>7.3</v>
      </c>
      <c r="AI57" s="22">
        <v>-6.5</v>
      </c>
      <c r="AJ57" s="22">
        <v>-9.6999999999999993</v>
      </c>
      <c r="AK57" s="22">
        <v>-5.6</v>
      </c>
      <c r="AL57" s="22">
        <v>5.6289999999999978</v>
      </c>
      <c r="AM57" s="22">
        <v>-1.8530000000000015</v>
      </c>
      <c r="AN57" s="22">
        <v>2.9239999999999995</v>
      </c>
      <c r="AO57" s="22">
        <v>-3.9489999999999998</v>
      </c>
      <c r="AP57" s="22">
        <v>-0.56699999999999995</v>
      </c>
      <c r="AQ57" s="22">
        <v>-0.77500000000000002</v>
      </c>
      <c r="AR57" s="22">
        <v>-0.51489999999999991</v>
      </c>
      <c r="AS57" s="22">
        <v>2.4239999999999999</v>
      </c>
      <c r="AT57" s="22">
        <v>4.713000000000001</v>
      </c>
    </row>
    <row r="58" spans="1:46" x14ac:dyDescent="0.25">
      <c r="A58" t="s">
        <v>75</v>
      </c>
      <c r="B58" s="22" t="s">
        <v>14</v>
      </c>
      <c r="C58" s="22">
        <v>0</v>
      </c>
      <c r="D58" s="22">
        <v>1.2</v>
      </c>
      <c r="E58" s="22">
        <v>0</v>
      </c>
      <c r="F58" s="22">
        <v>-1.7</v>
      </c>
      <c r="G58" s="22">
        <v>-1</v>
      </c>
      <c r="H58" s="22">
        <v>-0.2</v>
      </c>
      <c r="I58" s="22">
        <v>-0.3</v>
      </c>
      <c r="J58" s="22">
        <v>-0.3</v>
      </c>
      <c r="K58" s="22">
        <v>-1.9</v>
      </c>
      <c r="L58" s="22">
        <v>0.3</v>
      </c>
      <c r="M58" s="22">
        <v>-0.5</v>
      </c>
      <c r="N58" s="22">
        <v>-0.4</v>
      </c>
      <c r="O58" s="22">
        <v>-4</v>
      </c>
      <c r="P58" s="22">
        <v>2.7</v>
      </c>
      <c r="Q58" s="22">
        <v>-4.2</v>
      </c>
      <c r="R58" s="22">
        <v>-0.9</v>
      </c>
      <c r="S58" s="22">
        <v>-3.8</v>
      </c>
      <c r="T58" s="22">
        <v>-1.4</v>
      </c>
      <c r="U58" s="22">
        <v>-0.4</v>
      </c>
      <c r="V58" s="22">
        <v>0.1</v>
      </c>
      <c r="W58" s="22">
        <v>-0.6</v>
      </c>
      <c r="X58" s="22">
        <v>-1.1000000000000001</v>
      </c>
      <c r="Y58" s="22">
        <v>-0.1</v>
      </c>
      <c r="Z58" s="22">
        <v>-0.3</v>
      </c>
      <c r="AA58" s="22">
        <v>-2</v>
      </c>
      <c r="AB58" s="22">
        <v>0.5</v>
      </c>
      <c r="AC58" s="22">
        <v>-0.5</v>
      </c>
      <c r="AD58" s="22">
        <v>-0.8</v>
      </c>
      <c r="AE58" s="22">
        <v>-2.8</v>
      </c>
      <c r="AF58" s="22">
        <v>-2.9</v>
      </c>
      <c r="AG58" s="22">
        <v>0.2</v>
      </c>
      <c r="AH58" s="22">
        <v>-7.9</v>
      </c>
      <c r="AI58" s="22">
        <v>-0.3</v>
      </c>
      <c r="AJ58" s="22">
        <v>-1.5</v>
      </c>
      <c r="AK58" s="22">
        <v>-2.5</v>
      </c>
      <c r="AL58" s="22">
        <v>-7.694</v>
      </c>
      <c r="AM58" s="22">
        <v>-10.493</v>
      </c>
      <c r="AN58" s="22">
        <v>-10.582000000000001</v>
      </c>
      <c r="AO58" s="22">
        <v>-8.1270000000000007</v>
      </c>
      <c r="AP58" s="22">
        <v>-9.9350000000000005</v>
      </c>
      <c r="AQ58" s="22">
        <v>-10.349</v>
      </c>
      <c r="AR58" s="22">
        <v>-5.7000000000000002E-2</v>
      </c>
      <c r="AS58" s="22">
        <v>-1.07</v>
      </c>
      <c r="AT58" s="22">
        <v>-0.71499999999999997</v>
      </c>
    </row>
    <row r="59" spans="1:46" s="2" customFormat="1" ht="15.75" thickBot="1" x14ac:dyDescent="0.3">
      <c r="A59" s="33" t="s">
        <v>96</v>
      </c>
      <c r="B59" s="36">
        <f t="shared" ref="B59:AS59" si="0">SUM(B51,B52,B54,B55,B56,B57,B58)</f>
        <v>58.5</v>
      </c>
      <c r="C59" s="36">
        <f t="shared" si="0"/>
        <v>67.7</v>
      </c>
      <c r="D59" s="36">
        <f t="shared" si="0"/>
        <v>70.400000000000006</v>
      </c>
      <c r="E59" s="36">
        <f t="shared" si="0"/>
        <v>18.29999999999999</v>
      </c>
      <c r="F59" s="36">
        <f t="shared" si="0"/>
        <v>34.600000000000009</v>
      </c>
      <c r="G59" s="36">
        <f t="shared" si="0"/>
        <v>54.2</v>
      </c>
      <c r="H59" s="36">
        <f t="shared" si="0"/>
        <v>62.000000000000014</v>
      </c>
      <c r="I59" s="36">
        <f t="shared" si="0"/>
        <v>50.800000000000011</v>
      </c>
      <c r="J59" s="36">
        <f t="shared" si="0"/>
        <v>72.100000000000009</v>
      </c>
      <c r="K59" s="36">
        <f t="shared" si="0"/>
        <v>77.7</v>
      </c>
      <c r="L59" s="36">
        <f t="shared" si="0"/>
        <v>79.300000000000011</v>
      </c>
      <c r="M59" s="36">
        <f t="shared" si="0"/>
        <v>87.5</v>
      </c>
      <c r="N59" s="36">
        <f t="shared" si="0"/>
        <v>88.600000000000009</v>
      </c>
      <c r="O59" s="36">
        <f t="shared" si="0"/>
        <v>100.3</v>
      </c>
      <c r="P59" s="36">
        <f t="shared" si="0"/>
        <v>101.9</v>
      </c>
      <c r="Q59" s="36">
        <f t="shared" si="0"/>
        <v>114.70000000000002</v>
      </c>
      <c r="R59" s="36">
        <f t="shared" si="0"/>
        <v>91.2</v>
      </c>
      <c r="S59" s="36">
        <f t="shared" si="0"/>
        <v>87.90000000000002</v>
      </c>
      <c r="T59" s="36">
        <f t="shared" si="0"/>
        <v>89.999999999999986</v>
      </c>
      <c r="U59" s="36">
        <f t="shared" si="0"/>
        <v>97.500000000000014</v>
      </c>
      <c r="V59" s="36">
        <f t="shared" si="0"/>
        <v>101.19999999999999</v>
      </c>
      <c r="W59" s="36">
        <f t="shared" si="0"/>
        <v>108.9</v>
      </c>
      <c r="X59" s="36">
        <f t="shared" si="0"/>
        <v>112.7</v>
      </c>
      <c r="Y59" s="36">
        <f t="shared" si="0"/>
        <v>120.40000000000002</v>
      </c>
      <c r="Z59" s="36">
        <f t="shared" si="0"/>
        <v>120.4</v>
      </c>
      <c r="AA59" s="36">
        <f t="shared" si="0"/>
        <v>136.29999999999998</v>
      </c>
      <c r="AB59" s="36">
        <f t="shared" si="0"/>
        <v>138.79999999999998</v>
      </c>
      <c r="AC59" s="36">
        <f t="shared" si="0"/>
        <v>137.50000000000003</v>
      </c>
      <c r="AD59" s="36">
        <f t="shared" si="0"/>
        <v>133.5</v>
      </c>
      <c r="AE59" s="36">
        <f t="shared" si="0"/>
        <v>148.60000000000002</v>
      </c>
      <c r="AF59" s="36">
        <f t="shared" si="0"/>
        <v>112.89999999999995</v>
      </c>
      <c r="AG59" s="36">
        <f t="shared" si="0"/>
        <v>186.00000000000003</v>
      </c>
      <c r="AH59" s="36">
        <f t="shared" si="0"/>
        <v>167.76000000000002</v>
      </c>
      <c r="AI59" s="36">
        <f t="shared" si="0"/>
        <v>182.63500000000002</v>
      </c>
      <c r="AJ59" s="36">
        <f t="shared" si="0"/>
        <v>179.24000000000004</v>
      </c>
      <c r="AK59" s="36">
        <f t="shared" si="0"/>
        <v>192.63000000000002</v>
      </c>
      <c r="AL59" s="36">
        <f t="shared" si="0"/>
        <v>197.982</v>
      </c>
      <c r="AM59" s="36">
        <f t="shared" si="0"/>
        <v>190.95558070613595</v>
      </c>
      <c r="AN59" s="36">
        <f t="shared" si="0"/>
        <v>181.49613052500962</v>
      </c>
      <c r="AO59" s="36">
        <f t="shared" si="0"/>
        <v>199.81359249186613</v>
      </c>
      <c r="AP59" s="36">
        <f t="shared" si="0"/>
        <v>190.46352878138143</v>
      </c>
      <c r="AQ59" s="36">
        <f t="shared" si="0"/>
        <v>197.74100000000004</v>
      </c>
      <c r="AR59" s="36">
        <f t="shared" si="0"/>
        <v>203.54909999999998</v>
      </c>
      <c r="AS59" s="36">
        <f t="shared" si="0"/>
        <v>216.29799999999997</v>
      </c>
      <c r="AT59" s="36">
        <f>SUM(AT51,AT52,AT54,AT55,AT56,AT57,AT58)</f>
        <v>200.30699999999996</v>
      </c>
    </row>
    <row r="60" spans="1:46" ht="15.75" thickTop="1" x14ac:dyDescent="0.2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6" x14ac:dyDescent="0.25">
      <c r="A61" s="184" t="s">
        <v>113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6" ht="21" customHeight="1" x14ac:dyDescent="0.25">
      <c r="A62" s="184"/>
    </row>
    <row r="63" spans="1:46" x14ac:dyDescent="0.25">
      <c r="A63" s="184"/>
    </row>
    <row r="64" spans="1:46" x14ac:dyDescent="0.25">
      <c r="A64" s="184"/>
    </row>
    <row r="65" spans="1:1" x14ac:dyDescent="0.25">
      <c r="A65" s="184"/>
    </row>
    <row r="66" spans="1:1" x14ac:dyDescent="0.25">
      <c r="A66" s="184"/>
    </row>
    <row r="67" spans="1:1" x14ac:dyDescent="0.25">
      <c r="A67" s="184"/>
    </row>
  </sheetData>
  <mergeCells count="1">
    <mergeCell ref="A61:A67"/>
  </mergeCells>
  <hyperlinks>
    <hyperlink ref="B6" location="Índice!A1" display="Índice"/>
    <hyperlink ref="AT6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M71"/>
  <sheetViews>
    <sheetView showGridLines="0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L9" sqref="L9"/>
    </sheetView>
  </sheetViews>
  <sheetFormatPr defaultRowHeight="15" x14ac:dyDescent="0.25"/>
  <cols>
    <col min="1" max="1" width="61.85546875" bestFit="1" customWidth="1"/>
    <col min="2" max="10" width="12" customWidth="1"/>
    <col min="11" max="12" width="11.140625" customWidth="1"/>
  </cols>
  <sheetData>
    <row r="1" spans="1:13" x14ac:dyDescent="0.25">
      <c r="K1" s="52"/>
    </row>
    <row r="2" spans="1:13" ht="21" x14ac:dyDescent="0.35">
      <c r="A2" s="8" t="s">
        <v>11</v>
      </c>
    </row>
    <row r="3" spans="1:13" ht="6.75" customHeight="1" x14ac:dyDescent="0.25">
      <c r="A3" s="7"/>
    </row>
    <row r="4" spans="1:13" x14ac:dyDescent="0.25">
      <c r="A4" s="6" t="s">
        <v>12</v>
      </c>
    </row>
    <row r="5" spans="1:13" ht="6.75" customHeight="1" x14ac:dyDescent="0.25"/>
    <row r="6" spans="1:13" x14ac:dyDescent="0.25">
      <c r="A6" s="9"/>
      <c r="B6" s="11" t="s">
        <v>13</v>
      </c>
      <c r="L6" s="11" t="s">
        <v>13</v>
      </c>
    </row>
    <row r="7" spans="1:13" ht="17.25" customHeight="1" x14ac:dyDescent="0.25">
      <c r="A7" s="10" t="s">
        <v>5</v>
      </c>
    </row>
    <row r="8" spans="1:13" x14ac:dyDescent="0.25">
      <c r="A8" s="1" t="s">
        <v>99</v>
      </c>
    </row>
    <row r="9" spans="1:13" s="7" customFormat="1" x14ac:dyDescent="0.25">
      <c r="A9" s="12"/>
      <c r="B9" s="42" t="s">
        <v>21</v>
      </c>
      <c r="C9" s="42" t="s">
        <v>26</v>
      </c>
      <c r="D9" s="42" t="s">
        <v>31</v>
      </c>
      <c r="E9" s="42">
        <v>2011</v>
      </c>
      <c r="F9" s="42">
        <v>2012</v>
      </c>
      <c r="G9" s="42">
        <v>2013</v>
      </c>
      <c r="H9" s="42">
        <v>2014</v>
      </c>
      <c r="I9" s="42">
        <v>2015</v>
      </c>
      <c r="J9" s="42">
        <v>2016</v>
      </c>
      <c r="K9" s="42">
        <v>2017</v>
      </c>
      <c r="L9" s="42">
        <v>2018</v>
      </c>
    </row>
    <row r="10" spans="1:13" s="17" customFormat="1" x14ac:dyDescent="0.25">
      <c r="A10" s="16" t="s">
        <v>97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3" s="4" customFormat="1" ht="18" customHeight="1" x14ac:dyDescent="0.25">
      <c r="A11" s="16" t="s">
        <v>57</v>
      </c>
      <c r="B11" s="32">
        <v>351.8</v>
      </c>
      <c r="C11" s="32">
        <v>410.3</v>
      </c>
      <c r="D11" s="32">
        <v>466.8</v>
      </c>
      <c r="E11" s="32">
        <v>533.20000000000005</v>
      </c>
      <c r="F11" s="32">
        <v>516.6</v>
      </c>
      <c r="G11" s="32">
        <v>519.1</v>
      </c>
      <c r="H11" s="32">
        <v>564.79999999999995</v>
      </c>
      <c r="I11" s="32">
        <v>307.39999999999998</v>
      </c>
      <c r="J11" s="32">
        <v>1237.9000000000001</v>
      </c>
      <c r="K11" s="50" t="s">
        <v>14</v>
      </c>
      <c r="L11" s="50" t="s">
        <v>14</v>
      </c>
    </row>
    <row r="12" spans="1:13" s="5" customFormat="1" x14ac:dyDescent="0.25">
      <c r="A12" s="5" t="s">
        <v>58</v>
      </c>
      <c r="B12" s="30">
        <v>30.3</v>
      </c>
      <c r="C12" s="30">
        <v>-26</v>
      </c>
      <c r="D12" s="30">
        <v>-5.0999999999999996</v>
      </c>
      <c r="E12" s="30">
        <v>18.7</v>
      </c>
      <c r="F12" s="30">
        <v>38.200000000000003</v>
      </c>
      <c r="G12" s="30">
        <v>66.8</v>
      </c>
      <c r="H12" s="30">
        <v>82.2</v>
      </c>
      <c r="I12" s="30">
        <v>326.89999999999998</v>
      </c>
      <c r="J12" s="30">
        <v>-189.3</v>
      </c>
      <c r="K12" s="51" t="s">
        <v>14</v>
      </c>
      <c r="L12" s="51" t="s">
        <v>14</v>
      </c>
    </row>
    <row r="13" spans="1:13" s="5" customFormat="1" x14ac:dyDescent="0.25">
      <c r="A13" s="5" t="s">
        <v>59</v>
      </c>
      <c r="B13" s="30">
        <v>20.5</v>
      </c>
      <c r="C13" s="30">
        <v>-8.4</v>
      </c>
      <c r="D13" s="30">
        <v>3.4</v>
      </c>
      <c r="E13" s="30">
        <v>7.6</v>
      </c>
      <c r="F13" s="30">
        <v>25.2</v>
      </c>
      <c r="G13" s="30">
        <v>56.3</v>
      </c>
      <c r="H13" s="30">
        <v>101.2</v>
      </c>
      <c r="I13" s="30">
        <v>344.1</v>
      </c>
      <c r="J13" s="30">
        <v>-31.9</v>
      </c>
      <c r="K13" s="51" t="s">
        <v>14</v>
      </c>
      <c r="L13" s="51" t="s">
        <v>14</v>
      </c>
    </row>
    <row r="14" spans="1:13" s="4" customFormat="1" x14ac:dyDescent="0.25">
      <c r="A14" s="4" t="s">
        <v>60</v>
      </c>
      <c r="B14" s="32">
        <v>390.6</v>
      </c>
      <c r="C14" s="32">
        <v>376</v>
      </c>
      <c r="D14" s="32">
        <v>465.1</v>
      </c>
      <c r="E14" s="32">
        <v>559.5</v>
      </c>
      <c r="F14" s="32">
        <v>580.1</v>
      </c>
      <c r="G14" s="32">
        <v>642.1</v>
      </c>
      <c r="H14" s="32">
        <v>748.2</v>
      </c>
      <c r="I14" s="32">
        <v>978.5</v>
      </c>
      <c r="J14" s="32">
        <v>1016.6</v>
      </c>
      <c r="K14" s="32">
        <v>1069.2065251700001</v>
      </c>
      <c r="L14" s="32">
        <v>977.86099999999999</v>
      </c>
      <c r="M14" s="41"/>
    </row>
    <row r="15" spans="1:13" s="5" customFormat="1" x14ac:dyDescent="0.25">
      <c r="A15" s="38" t="s">
        <v>61</v>
      </c>
      <c r="B15" s="30">
        <v>356.9</v>
      </c>
      <c r="C15" s="30">
        <v>348.3</v>
      </c>
      <c r="D15" s="30">
        <v>421.5</v>
      </c>
      <c r="E15" s="30">
        <v>508.8</v>
      </c>
      <c r="F15" s="30">
        <v>494.2</v>
      </c>
      <c r="G15" s="30">
        <v>555.6</v>
      </c>
      <c r="H15" s="30">
        <v>639.70000000000005</v>
      </c>
      <c r="I15" s="30">
        <v>782.7</v>
      </c>
      <c r="J15" s="30">
        <v>847.6</v>
      </c>
      <c r="K15" s="30">
        <v>843.43967193564617</v>
      </c>
      <c r="L15" s="30">
        <v>768.67700000000002</v>
      </c>
      <c r="M15" s="41"/>
    </row>
    <row r="16" spans="1:13" s="5" customFormat="1" x14ac:dyDescent="0.25">
      <c r="A16" s="38" t="s">
        <v>62</v>
      </c>
      <c r="B16" s="30">
        <v>29</v>
      </c>
      <c r="C16" s="30">
        <v>27.7</v>
      </c>
      <c r="D16" s="30">
        <v>43.6</v>
      </c>
      <c r="E16" s="30">
        <v>50.7</v>
      </c>
      <c r="F16" s="30">
        <v>85.9</v>
      </c>
      <c r="G16" s="30">
        <v>86.6</v>
      </c>
      <c r="H16" s="30">
        <v>108.5</v>
      </c>
      <c r="I16" s="30">
        <v>195.8</v>
      </c>
      <c r="J16" s="30">
        <v>169.1</v>
      </c>
      <c r="K16" s="30">
        <v>225.76685323435396</v>
      </c>
      <c r="L16" s="30">
        <v>209.184</v>
      </c>
    </row>
    <row r="17" spans="1:12" s="4" customFormat="1" x14ac:dyDescent="0.25">
      <c r="A17" s="4" t="s">
        <v>63</v>
      </c>
      <c r="B17" s="32">
        <v>-79.8</v>
      </c>
      <c r="C17" s="32">
        <v>-53.1</v>
      </c>
      <c r="D17" s="32">
        <v>-44.4</v>
      </c>
      <c r="E17" s="32">
        <v>-53.8</v>
      </c>
      <c r="F17" s="32">
        <v>-110.8</v>
      </c>
      <c r="G17" s="32">
        <v>-92.8</v>
      </c>
      <c r="H17" s="32">
        <v>-100.8</v>
      </c>
      <c r="I17" s="32">
        <v>-218.7</v>
      </c>
      <c r="J17" s="32">
        <v>-208.6</v>
      </c>
      <c r="K17" s="32">
        <v>-220.22321385999999</v>
      </c>
      <c r="L17" s="32">
        <v>-118.211</v>
      </c>
    </row>
    <row r="18" spans="1:12" s="4" customFormat="1" x14ac:dyDescent="0.25">
      <c r="A18" s="4" t="s">
        <v>64</v>
      </c>
      <c r="B18" s="32">
        <v>310.8</v>
      </c>
      <c r="C18" s="32">
        <v>322.8</v>
      </c>
      <c r="D18" s="32">
        <v>420.6</v>
      </c>
      <c r="E18" s="32">
        <v>505.7</v>
      </c>
      <c r="F18" s="32">
        <v>469.2</v>
      </c>
      <c r="G18" s="32">
        <v>549.29999999999995</v>
      </c>
      <c r="H18" s="32">
        <v>647.4</v>
      </c>
      <c r="I18" s="32">
        <v>759.8</v>
      </c>
      <c r="J18" s="32">
        <v>808</v>
      </c>
      <c r="K18" s="32">
        <v>848.98331131000009</v>
      </c>
      <c r="L18" s="32">
        <v>859.65</v>
      </c>
    </row>
    <row r="19" spans="1:12" s="4" customFormat="1" x14ac:dyDescent="0.25">
      <c r="A19" s="4" t="s">
        <v>65</v>
      </c>
      <c r="B19" s="32">
        <v>43.1</v>
      </c>
      <c r="C19" s="32">
        <v>59.7</v>
      </c>
      <c r="D19" s="32">
        <v>108.1</v>
      </c>
      <c r="E19" s="32">
        <v>125.4</v>
      </c>
      <c r="F19" s="32">
        <v>137.4</v>
      </c>
      <c r="G19" s="32">
        <v>156.9</v>
      </c>
      <c r="H19" s="32">
        <v>177</v>
      </c>
      <c r="I19" s="32">
        <v>199.1</v>
      </c>
      <c r="J19" s="32">
        <v>256.60000000000002</v>
      </c>
      <c r="K19" s="32">
        <v>306.87299999999999</v>
      </c>
      <c r="L19" s="32">
        <v>361.072</v>
      </c>
    </row>
    <row r="20" spans="1:12" s="4" customFormat="1" x14ac:dyDescent="0.25">
      <c r="A20" s="4" t="s">
        <v>66</v>
      </c>
      <c r="B20" s="32">
        <v>-114.9</v>
      </c>
      <c r="C20" s="32">
        <v>-132.5</v>
      </c>
      <c r="D20" s="32">
        <v>-183.9</v>
      </c>
      <c r="E20" s="32">
        <v>-188.9</v>
      </c>
      <c r="F20" s="32">
        <v>-202.1</v>
      </c>
      <c r="G20" s="32">
        <v>-219.3</v>
      </c>
      <c r="H20" s="32">
        <v>-238.7</v>
      </c>
      <c r="I20" s="32">
        <v>-268.5</v>
      </c>
      <c r="J20" s="32">
        <v>-288.46699999999998</v>
      </c>
      <c r="K20" s="32">
        <v>-308.73599999999999</v>
      </c>
      <c r="L20" s="32">
        <v>-308.24400000000003</v>
      </c>
    </row>
    <row r="21" spans="1:12" s="5" customFormat="1" x14ac:dyDescent="0.25">
      <c r="A21" s="5" t="s">
        <v>67</v>
      </c>
      <c r="B21" s="30">
        <v>-127.8</v>
      </c>
      <c r="C21" s="30">
        <v>-133.1</v>
      </c>
      <c r="D21" s="30">
        <v>-183.9</v>
      </c>
      <c r="E21" s="30">
        <v>-188.9</v>
      </c>
      <c r="F21" s="30">
        <v>-202.1</v>
      </c>
      <c r="G21" s="30">
        <v>-219.3</v>
      </c>
      <c r="H21" s="30">
        <v>-238.7</v>
      </c>
      <c r="I21" s="30">
        <v>-268.5</v>
      </c>
      <c r="J21" s="30">
        <v>-288.46699999999998</v>
      </c>
      <c r="K21" s="30">
        <v>-308.73599999999999</v>
      </c>
      <c r="L21" s="32">
        <v>-308.24400000000003</v>
      </c>
    </row>
    <row r="22" spans="1:12" s="5" customFormat="1" x14ac:dyDescent="0.25">
      <c r="A22" s="5" t="s">
        <v>68</v>
      </c>
      <c r="B22" s="30">
        <v>11.9</v>
      </c>
      <c r="C22" s="30" t="s">
        <v>14</v>
      </c>
      <c r="D22" s="30" t="s">
        <v>14</v>
      </c>
      <c r="E22" s="30" t="s">
        <v>14</v>
      </c>
      <c r="F22" s="30" t="s">
        <v>14</v>
      </c>
      <c r="G22" s="30" t="s">
        <v>14</v>
      </c>
      <c r="H22" s="30" t="s">
        <v>14</v>
      </c>
      <c r="I22" s="30" t="s">
        <v>14</v>
      </c>
      <c r="J22" s="30">
        <v>0</v>
      </c>
      <c r="K22" s="30">
        <v>0</v>
      </c>
      <c r="L22" s="30">
        <v>0</v>
      </c>
    </row>
    <row r="23" spans="1:12" s="5" customFormat="1" x14ac:dyDescent="0.25">
      <c r="A23" s="5" t="s">
        <v>69</v>
      </c>
      <c r="B23" s="30">
        <v>1.1000000000000001</v>
      </c>
      <c r="C23" s="30">
        <v>0.7</v>
      </c>
      <c r="D23" s="30" t="s">
        <v>14</v>
      </c>
      <c r="E23" s="30" t="s">
        <v>14</v>
      </c>
      <c r="F23" s="30" t="s">
        <v>14</v>
      </c>
      <c r="G23" s="30" t="s">
        <v>14</v>
      </c>
      <c r="H23" s="30" t="s">
        <v>14</v>
      </c>
      <c r="I23" s="30" t="s">
        <v>14</v>
      </c>
      <c r="J23" s="30">
        <v>0</v>
      </c>
      <c r="K23" s="30">
        <v>0</v>
      </c>
      <c r="L23" s="30">
        <v>0</v>
      </c>
    </row>
    <row r="24" spans="1:12" s="4" customFormat="1" x14ac:dyDescent="0.25">
      <c r="A24" s="4" t="s">
        <v>70</v>
      </c>
      <c r="B24" s="32">
        <v>-2.9</v>
      </c>
      <c r="C24" s="32">
        <v>-5.2</v>
      </c>
      <c r="D24" s="32">
        <v>-34.200000000000003</v>
      </c>
      <c r="E24" s="32">
        <v>-30.5</v>
      </c>
      <c r="F24" s="32">
        <v>-30.5</v>
      </c>
      <c r="G24" s="32">
        <v>-41.4</v>
      </c>
      <c r="H24" s="32">
        <v>-40.1</v>
      </c>
      <c r="I24" s="32">
        <v>-57.5</v>
      </c>
      <c r="J24" s="32">
        <v>-37.299999999999997</v>
      </c>
      <c r="K24" s="32">
        <v>-69.514007586988342</v>
      </c>
      <c r="L24" s="32">
        <v>-78.37</v>
      </c>
    </row>
    <row r="25" spans="1:12" s="4" customFormat="1" x14ac:dyDescent="0.25">
      <c r="A25" s="4" t="s">
        <v>71</v>
      </c>
      <c r="B25" s="32">
        <v>-22.5</v>
      </c>
      <c r="C25" s="32">
        <v>-40</v>
      </c>
      <c r="D25" s="32">
        <v>7</v>
      </c>
      <c r="E25" s="32">
        <v>-0.4</v>
      </c>
      <c r="F25" s="32">
        <v>6</v>
      </c>
      <c r="G25" s="32">
        <v>-0.7</v>
      </c>
      <c r="H25" s="32">
        <v>-10.7</v>
      </c>
      <c r="I25" s="32">
        <v>-29</v>
      </c>
      <c r="J25" s="32">
        <v>-14.5</v>
      </c>
      <c r="K25" s="32">
        <v>13.646999999999998</v>
      </c>
      <c r="L25" s="32">
        <v>-3.3580000000000001</v>
      </c>
    </row>
    <row r="26" spans="1:12" s="5" customFormat="1" x14ac:dyDescent="0.25">
      <c r="A26" s="5" t="s">
        <v>72</v>
      </c>
      <c r="B26" s="30">
        <v>7.8</v>
      </c>
      <c r="C26" s="30">
        <v>-46.6</v>
      </c>
      <c r="D26" s="30">
        <v>1.9</v>
      </c>
      <c r="E26" s="30">
        <v>18.3</v>
      </c>
      <c r="F26" s="30">
        <v>44.3</v>
      </c>
      <c r="G26" s="30">
        <v>66.099999999999994</v>
      </c>
      <c r="H26" s="30">
        <v>71.599999999999994</v>
      </c>
      <c r="I26" s="30">
        <v>297.89999999999998</v>
      </c>
      <c r="J26" s="30">
        <v>-203.8</v>
      </c>
      <c r="K26" s="30">
        <v>13.646999999999998</v>
      </c>
      <c r="L26" s="32">
        <v>-3.3580000000000001</v>
      </c>
    </row>
    <row r="27" spans="1:12" s="5" customFormat="1" x14ac:dyDescent="0.25">
      <c r="A27" s="5" t="s">
        <v>73</v>
      </c>
      <c r="B27" s="30">
        <v>-30.3</v>
      </c>
      <c r="C27" s="30">
        <v>26</v>
      </c>
      <c r="D27" s="30">
        <v>5.0999999999999996</v>
      </c>
      <c r="E27" s="30">
        <v>-18.7</v>
      </c>
      <c r="F27" s="30">
        <v>-38.200000000000003</v>
      </c>
      <c r="G27" s="30">
        <v>-66.8</v>
      </c>
      <c r="H27" s="30">
        <v>-82.2</v>
      </c>
      <c r="I27" s="30">
        <v>-326.89999999999998</v>
      </c>
      <c r="J27" s="30">
        <v>189.3</v>
      </c>
      <c r="K27" s="30">
        <v>0</v>
      </c>
      <c r="L27" s="30">
        <v>0</v>
      </c>
    </row>
    <row r="28" spans="1:12" s="5" customFormat="1" x14ac:dyDescent="0.25">
      <c r="A28" s="5" t="s">
        <v>74</v>
      </c>
      <c r="B28" s="30" t="s">
        <v>14</v>
      </c>
      <c r="C28" s="30" t="s">
        <v>14</v>
      </c>
      <c r="D28" s="30" t="s">
        <v>14</v>
      </c>
      <c r="E28" s="30"/>
      <c r="F28" s="30"/>
      <c r="G28" s="30"/>
      <c r="H28" s="30"/>
      <c r="I28" s="30"/>
      <c r="J28" s="30"/>
      <c r="K28" s="30">
        <v>0</v>
      </c>
      <c r="L28" s="30">
        <v>0</v>
      </c>
    </row>
    <row r="29" spans="1:12" s="4" customFormat="1" x14ac:dyDescent="0.25">
      <c r="A29" s="4" t="s">
        <v>75</v>
      </c>
      <c r="B29" s="32">
        <v>1.2</v>
      </c>
      <c r="C29" s="32">
        <v>-3.3</v>
      </c>
      <c r="D29" s="32">
        <v>-2.4</v>
      </c>
      <c r="E29" s="32">
        <v>-5.9</v>
      </c>
      <c r="F29" s="32">
        <v>-6.6</v>
      </c>
      <c r="G29" s="32">
        <v>-1.8</v>
      </c>
      <c r="H29" s="32">
        <v>-2.2999999999999998</v>
      </c>
      <c r="I29" s="32">
        <v>-6.2</v>
      </c>
      <c r="J29" s="32">
        <v>-12.2</v>
      </c>
      <c r="K29" s="32">
        <v>-36.896000000000001</v>
      </c>
      <c r="L29" s="32">
        <v>-21.411000000000001</v>
      </c>
    </row>
    <row r="30" spans="1:12" s="4" customFormat="1" x14ac:dyDescent="0.25">
      <c r="A30" s="4" t="s">
        <v>76</v>
      </c>
      <c r="B30" s="32">
        <v>217.8</v>
      </c>
      <c r="C30" s="32">
        <v>206.7</v>
      </c>
      <c r="D30" s="32">
        <v>349.4</v>
      </c>
      <c r="E30" s="32">
        <v>407</v>
      </c>
      <c r="F30" s="32">
        <v>365.5</v>
      </c>
      <c r="G30" s="32">
        <v>443.1</v>
      </c>
      <c r="H30" s="32">
        <v>532.70000000000005</v>
      </c>
      <c r="I30" s="32">
        <v>597.6</v>
      </c>
      <c r="J30" s="32">
        <v>712.10187156711174</v>
      </c>
      <c r="K30" s="32">
        <v>754.454303723012</v>
      </c>
      <c r="L30" s="32">
        <v>809.33899999999994</v>
      </c>
    </row>
    <row r="31" spans="1:12" s="4" customFormat="1" x14ac:dyDescent="0.25">
      <c r="A31" s="4" t="s">
        <v>77</v>
      </c>
      <c r="B31" s="32">
        <v>-13.4</v>
      </c>
      <c r="C31" s="32">
        <v>-21.2</v>
      </c>
      <c r="D31" s="32">
        <v>-78.7</v>
      </c>
      <c r="E31" s="32">
        <v>-103.1</v>
      </c>
      <c r="F31" s="32">
        <v>-86.4</v>
      </c>
      <c r="G31" s="32">
        <v>-97.6</v>
      </c>
      <c r="H31" s="32">
        <v>-131.1</v>
      </c>
      <c r="I31" s="32">
        <v>-125.5</v>
      </c>
      <c r="J31" s="32">
        <v>-193.71287156711188</v>
      </c>
      <c r="K31" s="32">
        <v>-196.51130372301168</v>
      </c>
      <c r="L31" s="32">
        <v>-192.97499999999999</v>
      </c>
    </row>
    <row r="32" spans="1:12" s="5" customFormat="1" x14ac:dyDescent="0.25">
      <c r="A32" s="5" t="s">
        <v>78</v>
      </c>
      <c r="B32" s="30">
        <v>-1.1000000000000001</v>
      </c>
      <c r="C32" s="30">
        <v>-0.7</v>
      </c>
      <c r="D32" s="30">
        <v>-3.4</v>
      </c>
      <c r="E32" s="30">
        <v>-26.3</v>
      </c>
      <c r="F32" s="30">
        <v>-27.5</v>
      </c>
      <c r="G32" s="30">
        <v>-41.3</v>
      </c>
      <c r="H32" s="30">
        <v>-29.9</v>
      </c>
      <c r="I32" s="30">
        <v>199.1</v>
      </c>
      <c r="J32" s="30">
        <v>-200</v>
      </c>
      <c r="K32" s="43">
        <v>-17.970000000000002</v>
      </c>
      <c r="L32" s="30">
        <v>0</v>
      </c>
    </row>
    <row r="33" spans="1:12" s="5" customFormat="1" x14ac:dyDescent="0.25">
      <c r="A33" s="5" t="s">
        <v>79</v>
      </c>
      <c r="B33" s="30">
        <v>-20.5</v>
      </c>
      <c r="C33" s="30">
        <v>8.4</v>
      </c>
      <c r="D33" s="30" t="s">
        <v>14</v>
      </c>
      <c r="E33" s="30">
        <v>-7.6</v>
      </c>
      <c r="F33" s="30">
        <v>-25.2</v>
      </c>
      <c r="G33" s="30">
        <v>-56.3</v>
      </c>
      <c r="H33" s="30">
        <v>-101.2</v>
      </c>
      <c r="I33" s="30">
        <v>-324.60000000000002</v>
      </c>
      <c r="J33" s="30">
        <v>6.5</v>
      </c>
      <c r="K33" s="30">
        <v>-176.69830372301166</v>
      </c>
      <c r="L33" s="30">
        <v>0</v>
      </c>
    </row>
    <row r="34" spans="1:12" s="5" customFormat="1" x14ac:dyDescent="0.25">
      <c r="A34" s="5" t="s">
        <v>80</v>
      </c>
      <c r="B34" s="30" t="s">
        <v>14</v>
      </c>
      <c r="C34" s="30">
        <v>-9.1999999999999993</v>
      </c>
      <c r="D34" s="30" t="s">
        <v>14</v>
      </c>
      <c r="E34" s="30" t="s">
        <v>14</v>
      </c>
      <c r="F34" s="30" t="s">
        <v>14</v>
      </c>
      <c r="G34" s="30" t="s">
        <v>14</v>
      </c>
      <c r="H34" s="30" t="s">
        <v>14</v>
      </c>
      <c r="I34" s="30" t="s">
        <v>14</v>
      </c>
      <c r="J34" s="30">
        <v>0</v>
      </c>
      <c r="K34" s="30">
        <v>0</v>
      </c>
      <c r="L34" s="30">
        <v>0</v>
      </c>
    </row>
    <row r="35" spans="1:12" s="4" customFormat="1" x14ac:dyDescent="0.25">
      <c r="A35" s="4" t="s">
        <v>81</v>
      </c>
      <c r="B35" s="32">
        <v>-45.1</v>
      </c>
      <c r="C35" s="32">
        <v>-42.1</v>
      </c>
      <c r="D35" s="32">
        <v>-65.099999999999994</v>
      </c>
      <c r="E35" s="32">
        <v>-69.400000000000006</v>
      </c>
      <c r="F35" s="32">
        <v>-52.5</v>
      </c>
      <c r="G35" s="32">
        <v>-82.1</v>
      </c>
      <c r="H35" s="32">
        <v>-91</v>
      </c>
      <c r="I35" s="32">
        <v>-101.2</v>
      </c>
      <c r="J35" s="32">
        <v>-107.4</v>
      </c>
      <c r="K35" s="32">
        <v>-124.889</v>
      </c>
      <c r="L35" s="32">
        <v>-158.607</v>
      </c>
    </row>
    <row r="36" spans="1:12" s="5" customFormat="1" x14ac:dyDescent="0.25">
      <c r="A36" s="27" t="s">
        <v>110</v>
      </c>
      <c r="B36" s="28">
        <v>137.80000000000001</v>
      </c>
      <c r="C36" s="28">
        <v>151.19999999999999</v>
      </c>
      <c r="D36" s="28">
        <v>202.2</v>
      </c>
      <c r="E36" s="28">
        <v>236</v>
      </c>
      <c r="F36" s="28">
        <v>226.6</v>
      </c>
      <c r="G36" s="28">
        <v>263.39999999999998</v>
      </c>
      <c r="H36" s="28">
        <v>310.60000000000002</v>
      </c>
      <c r="I36" s="28">
        <v>370.9</v>
      </c>
      <c r="J36" s="28">
        <v>411</v>
      </c>
      <c r="K36" s="28">
        <v>433.04399999999998</v>
      </c>
      <c r="L36" s="28">
        <v>457.75699999999995</v>
      </c>
    </row>
    <row r="37" spans="1:12" s="5" customFormat="1" x14ac:dyDescent="0.25">
      <c r="A37" s="5" t="s">
        <v>82</v>
      </c>
      <c r="B37" s="30" t="s">
        <v>14</v>
      </c>
      <c r="C37" s="30" t="s">
        <v>14</v>
      </c>
      <c r="D37" s="30" t="s">
        <v>14</v>
      </c>
      <c r="E37" s="30" t="s">
        <v>14</v>
      </c>
      <c r="F37" s="30" t="s">
        <v>14</v>
      </c>
      <c r="G37" s="30" t="s">
        <v>14</v>
      </c>
      <c r="H37" s="30" t="s">
        <v>14</v>
      </c>
      <c r="I37" s="30" t="s">
        <v>14</v>
      </c>
      <c r="J37" s="30">
        <v>0</v>
      </c>
      <c r="K37" s="30">
        <v>0</v>
      </c>
      <c r="L37" s="30"/>
    </row>
    <row r="38" spans="1:12" s="5" customFormat="1" x14ac:dyDescent="0.25">
      <c r="A38" s="5" t="s">
        <v>83</v>
      </c>
      <c r="B38" s="30" t="s">
        <v>14</v>
      </c>
      <c r="C38" s="30" t="s">
        <v>14</v>
      </c>
      <c r="D38" s="30" t="s">
        <v>14</v>
      </c>
      <c r="E38" s="30" t="s">
        <v>14</v>
      </c>
      <c r="F38" s="30" t="s">
        <v>14</v>
      </c>
      <c r="G38" s="30" t="s">
        <v>14</v>
      </c>
      <c r="H38" s="30" t="s">
        <v>14</v>
      </c>
      <c r="I38" s="30" t="s">
        <v>14</v>
      </c>
      <c r="J38" s="30">
        <v>0</v>
      </c>
      <c r="K38" s="30">
        <v>0</v>
      </c>
      <c r="L38" s="30"/>
    </row>
    <row r="39" spans="1:12" s="5" customFormat="1" x14ac:dyDescent="0.25">
      <c r="A39" s="5" t="s">
        <v>84</v>
      </c>
      <c r="B39" s="30" t="s">
        <v>14</v>
      </c>
      <c r="C39" s="30" t="s">
        <v>14</v>
      </c>
      <c r="D39" s="30" t="s">
        <v>14</v>
      </c>
      <c r="E39" s="30" t="s">
        <v>14</v>
      </c>
      <c r="F39" s="30" t="s">
        <v>14</v>
      </c>
      <c r="G39" s="30" t="s">
        <v>14</v>
      </c>
      <c r="H39" s="30" t="s">
        <v>14</v>
      </c>
      <c r="I39" s="30" t="s">
        <v>14</v>
      </c>
      <c r="J39" s="30">
        <v>0</v>
      </c>
      <c r="K39" s="30">
        <v>0</v>
      </c>
      <c r="L39" s="30"/>
    </row>
    <row r="40" spans="1:12" s="5" customFormat="1" x14ac:dyDescent="0.25">
      <c r="A40" s="5" t="s">
        <v>85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-4.4000000000000004</v>
      </c>
      <c r="K40" s="30">
        <v>-14.3</v>
      </c>
      <c r="L40" s="30">
        <v>-39.670999999999999</v>
      </c>
    </row>
    <row r="41" spans="1:12" s="5" customFormat="1" ht="15.75" thickBot="1" x14ac:dyDescent="0.3">
      <c r="A41" s="33" t="s">
        <v>111</v>
      </c>
      <c r="B41" s="34">
        <v>137.80000000000001</v>
      </c>
      <c r="C41" s="34">
        <v>142</v>
      </c>
      <c r="D41" s="34">
        <v>202.2</v>
      </c>
      <c r="E41" s="34">
        <v>236</v>
      </c>
      <c r="F41" s="34">
        <v>226.6</v>
      </c>
      <c r="G41" s="34">
        <v>263.39999999999998</v>
      </c>
      <c r="H41" s="34">
        <v>310.60000000000002</v>
      </c>
      <c r="I41" s="34">
        <v>371.8</v>
      </c>
      <c r="J41" s="34">
        <v>406.6</v>
      </c>
      <c r="K41" s="36">
        <v>418.74399999999997</v>
      </c>
      <c r="L41" s="36">
        <v>418.08599999999996</v>
      </c>
    </row>
    <row r="42" spans="1:12" s="5" customFormat="1" ht="15.75" thickTop="1" x14ac:dyDescent="0.25">
      <c r="A42" s="31"/>
      <c r="B42" s="32"/>
      <c r="C42" s="32"/>
      <c r="D42" s="32"/>
      <c r="E42" s="32"/>
      <c r="F42" s="32"/>
      <c r="G42" s="32"/>
      <c r="H42" s="32"/>
      <c r="I42" s="32"/>
      <c r="J42" s="32"/>
    </row>
    <row r="43" spans="1:12" s="5" customFormat="1" x14ac:dyDescent="0.25">
      <c r="B43" s="19"/>
      <c r="C43" s="19"/>
      <c r="D43" s="19"/>
      <c r="E43" s="19"/>
      <c r="F43" s="19"/>
      <c r="G43" s="19"/>
      <c r="H43" s="19"/>
      <c r="I43" s="19"/>
      <c r="J43" s="19"/>
    </row>
    <row r="44" spans="1:12" s="5" customFormat="1" x14ac:dyDescent="0.25">
      <c r="A44" s="3" t="s">
        <v>100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</row>
    <row r="45" spans="1:12" s="5" customFormat="1" x14ac:dyDescent="0.25">
      <c r="A45" s="5" t="s">
        <v>86</v>
      </c>
      <c r="B45" s="30">
        <v>22</v>
      </c>
      <c r="C45" s="30">
        <v>43.7</v>
      </c>
      <c r="D45" s="30">
        <v>69.8</v>
      </c>
      <c r="E45" s="30">
        <v>91</v>
      </c>
      <c r="F45" s="30">
        <v>104.2</v>
      </c>
      <c r="G45" s="30">
        <v>118.5</v>
      </c>
      <c r="H45" s="30">
        <v>130.9</v>
      </c>
      <c r="I45" s="30">
        <v>199.1</v>
      </c>
      <c r="J45" s="30">
        <v>199</v>
      </c>
      <c r="K45" s="30">
        <v>212.35400000000001</v>
      </c>
      <c r="L45" s="30">
        <v>224.93199999999999</v>
      </c>
    </row>
    <row r="46" spans="1:12" s="5" customFormat="1" x14ac:dyDescent="0.25">
      <c r="A46" s="5" t="s">
        <v>87</v>
      </c>
      <c r="B46" s="30">
        <v>4.4000000000000004</v>
      </c>
      <c r="C46" s="30">
        <v>1.5</v>
      </c>
      <c r="D46" s="30">
        <v>12.7</v>
      </c>
      <c r="E46" s="30">
        <v>9.1</v>
      </c>
      <c r="F46" s="30">
        <v>15</v>
      </c>
      <c r="G46" s="30">
        <v>14.5</v>
      </c>
      <c r="H46" s="30">
        <v>20.3</v>
      </c>
      <c r="I46" s="30">
        <v>21.3</v>
      </c>
      <c r="J46" s="30">
        <v>22.1</v>
      </c>
      <c r="K46" s="30">
        <v>56.82</v>
      </c>
      <c r="L46" s="30">
        <v>90.153000000000006</v>
      </c>
    </row>
    <row r="47" spans="1:12" s="5" customFormat="1" x14ac:dyDescent="0.25">
      <c r="A47" s="5" t="s">
        <v>88</v>
      </c>
      <c r="B47" s="30">
        <v>16.7</v>
      </c>
      <c r="C47" s="30">
        <v>14.5</v>
      </c>
      <c r="D47" s="30">
        <v>25.6</v>
      </c>
      <c r="E47" s="30">
        <v>19.8</v>
      </c>
      <c r="F47" s="30">
        <v>18.3</v>
      </c>
      <c r="G47" s="30">
        <v>24</v>
      </c>
      <c r="H47" s="30">
        <v>25.9</v>
      </c>
      <c r="I47" s="30">
        <v>27.3</v>
      </c>
      <c r="J47" s="30">
        <v>35.4</v>
      </c>
      <c r="K47" s="30">
        <v>37.731999999999999</v>
      </c>
      <c r="L47" s="30">
        <v>45.987000000000002</v>
      </c>
    </row>
    <row r="48" spans="1:12" s="4" customFormat="1" ht="15.75" thickBot="1" x14ac:dyDescent="0.3">
      <c r="A48" s="33" t="s">
        <v>91</v>
      </c>
      <c r="B48" s="34">
        <v>43.1</v>
      </c>
      <c r="C48" s="34">
        <v>59.7</v>
      </c>
      <c r="D48" s="34">
        <v>108.1</v>
      </c>
      <c r="E48" s="34">
        <v>119.9</v>
      </c>
      <c r="F48" s="34">
        <v>137.4</v>
      </c>
      <c r="G48" s="34">
        <v>156.9</v>
      </c>
      <c r="H48" s="34">
        <v>177</v>
      </c>
      <c r="I48" s="34">
        <v>150.5</v>
      </c>
      <c r="J48" s="34">
        <v>256.60000000000002</v>
      </c>
      <c r="K48" s="36">
        <v>306.90600000000006</v>
      </c>
      <c r="L48" s="36">
        <v>361.072</v>
      </c>
    </row>
    <row r="49" spans="1:12" s="4" customFormat="1" ht="15.75" thickTop="1" x14ac:dyDescent="0.25">
      <c r="A49" s="31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</row>
    <row r="50" spans="1:12" s="5" customFormat="1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</row>
    <row r="51" spans="1:12" s="5" customFormat="1" x14ac:dyDescent="0.25">
      <c r="A51" s="3" t="s">
        <v>101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</row>
    <row r="52" spans="1:12" s="5" customFormat="1" x14ac:dyDescent="0.25">
      <c r="A52" s="5" t="s">
        <v>89</v>
      </c>
      <c r="B52" s="30">
        <v>-68.5</v>
      </c>
      <c r="C52" s="30">
        <v>-77.900000000000006</v>
      </c>
      <c r="D52" s="30">
        <v>-92.1</v>
      </c>
      <c r="E52" s="30">
        <v>-109.9</v>
      </c>
      <c r="F52" s="30">
        <v>-130.6</v>
      </c>
      <c r="G52" s="30">
        <v>-140.9</v>
      </c>
      <c r="H52" s="30">
        <v>-152</v>
      </c>
      <c r="I52" s="30">
        <v>-174.8</v>
      </c>
      <c r="J52" s="30">
        <v>-191.9</v>
      </c>
      <c r="K52" s="30">
        <v>-201.86699999999999</v>
      </c>
      <c r="L52" s="30">
        <v>-195.33500000000001</v>
      </c>
    </row>
    <row r="53" spans="1:12" x14ac:dyDescent="0.25">
      <c r="A53" t="s">
        <v>90</v>
      </c>
      <c r="B53" s="46">
        <v>-47.4</v>
      </c>
      <c r="C53" s="46">
        <v>-55.2</v>
      </c>
      <c r="D53" s="46">
        <v>-57.7</v>
      </c>
      <c r="E53" s="46">
        <v>-65.5</v>
      </c>
      <c r="F53" s="46">
        <v>-71.5</v>
      </c>
      <c r="G53" s="46">
        <v>-78.400000000000006</v>
      </c>
      <c r="H53" s="46">
        <v>-86.7</v>
      </c>
      <c r="I53" s="46">
        <v>-93.7</v>
      </c>
      <c r="J53" s="46">
        <v>-104.6</v>
      </c>
      <c r="K53" s="46">
        <v>-106.76</v>
      </c>
      <c r="L53" s="30">
        <v>-112.90899999999999</v>
      </c>
    </row>
    <row r="54" spans="1:12" x14ac:dyDescent="0.25">
      <c r="A54" t="s">
        <v>81</v>
      </c>
      <c r="B54" s="46">
        <v>-45.1</v>
      </c>
      <c r="C54" s="46">
        <v>-42.1</v>
      </c>
      <c r="D54" s="46">
        <v>-65.099999999999994</v>
      </c>
      <c r="E54" s="46">
        <v>-68.3</v>
      </c>
      <c r="F54" s="46">
        <v>-52.5</v>
      </c>
      <c r="G54" s="46">
        <v>-82.1</v>
      </c>
      <c r="H54" s="46">
        <v>-91</v>
      </c>
      <c r="I54" s="46">
        <v>-101.2</v>
      </c>
      <c r="J54" s="46">
        <v>-107.4</v>
      </c>
      <c r="K54" s="46">
        <v>-124.899</v>
      </c>
      <c r="L54" s="30">
        <v>-158.607</v>
      </c>
    </row>
    <row r="55" spans="1:12" x14ac:dyDescent="0.25">
      <c r="A55" t="s">
        <v>70</v>
      </c>
      <c r="B55" s="46">
        <v>-2.9</v>
      </c>
      <c r="C55" s="46">
        <v>-5.2</v>
      </c>
      <c r="D55" s="46">
        <v>-34.200000000000003</v>
      </c>
      <c r="E55" s="46">
        <v>-30.5</v>
      </c>
      <c r="F55" s="46">
        <v>-38.5</v>
      </c>
      <c r="G55" s="46">
        <v>-41.4</v>
      </c>
      <c r="H55" s="46">
        <v>-40.1</v>
      </c>
      <c r="I55" s="46">
        <v>-57.5</v>
      </c>
      <c r="J55" s="46">
        <v>-37.299999999999997</v>
      </c>
      <c r="K55" s="46">
        <v>-69.559007586988344</v>
      </c>
      <c r="L55" s="30">
        <v>-78.37</v>
      </c>
    </row>
    <row r="56" spans="1:12" s="2" customFormat="1" ht="15.75" thickBot="1" x14ac:dyDescent="0.3">
      <c r="A56" s="33" t="s">
        <v>91</v>
      </c>
      <c r="B56" s="34">
        <v>-163.9</v>
      </c>
      <c r="C56" s="34">
        <v>-180.4</v>
      </c>
      <c r="D56" s="34">
        <v>-249.1</v>
      </c>
      <c r="E56" s="34">
        <v>-274.2</v>
      </c>
      <c r="F56" s="34">
        <v>-293</v>
      </c>
      <c r="G56" s="34">
        <v>-342.7</v>
      </c>
      <c r="H56" s="34">
        <v>-369.8</v>
      </c>
      <c r="I56" s="34">
        <v>-427.2</v>
      </c>
      <c r="J56" s="34">
        <v>-441.2</v>
      </c>
      <c r="K56" s="36">
        <v>-503.08500758698835</v>
      </c>
      <c r="L56" s="36">
        <f>SUM(L52:L55)</f>
        <v>-545.221</v>
      </c>
    </row>
    <row r="57" spans="1:12" s="4" customFormat="1" ht="15.75" thickTop="1" x14ac:dyDescent="0.25">
      <c r="A57" s="31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</row>
    <row r="58" spans="1:12" x14ac:dyDescent="0.25"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</row>
    <row r="59" spans="1:12" x14ac:dyDescent="0.25">
      <c r="A59" s="3" t="s">
        <v>102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</row>
    <row r="60" spans="1:12" x14ac:dyDescent="0.25">
      <c r="A60" t="s">
        <v>92</v>
      </c>
      <c r="B60" s="46">
        <v>390.6</v>
      </c>
      <c r="C60" s="46">
        <v>376</v>
      </c>
      <c r="D60" s="46">
        <v>465.1</v>
      </c>
      <c r="E60" s="46">
        <v>559.5</v>
      </c>
      <c r="F60" s="46">
        <v>580.1</v>
      </c>
      <c r="G60" s="46">
        <v>642.1</v>
      </c>
      <c r="H60" s="46">
        <v>748.2</v>
      </c>
      <c r="I60" s="46">
        <v>978.5</v>
      </c>
      <c r="J60" s="46">
        <v>1016.6</v>
      </c>
      <c r="K60" s="46">
        <v>1069.2065251700001</v>
      </c>
      <c r="L60" s="46">
        <v>977.86099999999999</v>
      </c>
    </row>
    <row r="61" spans="1:12" x14ac:dyDescent="0.25">
      <c r="A61" t="s">
        <v>63</v>
      </c>
      <c r="B61" s="46">
        <v>-79.8</v>
      </c>
      <c r="C61" s="46">
        <v>-53.1</v>
      </c>
      <c r="D61" s="46">
        <v>-44.4</v>
      </c>
      <c r="E61" s="46">
        <v>-53.8</v>
      </c>
      <c r="F61" s="46">
        <v>-110.8</v>
      </c>
      <c r="G61" s="46">
        <v>-92.8</v>
      </c>
      <c r="H61" s="46">
        <v>-100.8</v>
      </c>
      <c r="I61" s="46">
        <v>-218.7</v>
      </c>
      <c r="J61" s="46">
        <v>-208.6</v>
      </c>
      <c r="K61" s="46">
        <v>-220.22321385999999</v>
      </c>
      <c r="L61" s="46">
        <v>-118.211</v>
      </c>
    </row>
    <row r="62" spans="1:12" x14ac:dyDescent="0.25">
      <c r="A62" t="s">
        <v>93</v>
      </c>
      <c r="B62" s="46">
        <v>310.8</v>
      </c>
      <c r="C62" s="46">
        <v>322.8</v>
      </c>
      <c r="D62" s="46">
        <v>420.6</v>
      </c>
      <c r="E62" s="46">
        <v>505.7</v>
      </c>
      <c r="F62" s="46">
        <v>469.2</v>
      </c>
      <c r="G62" s="46">
        <v>549.29999999999995</v>
      </c>
      <c r="H62" s="46">
        <v>647.4</v>
      </c>
      <c r="I62" s="46">
        <v>759.8</v>
      </c>
      <c r="J62" s="46">
        <v>808</v>
      </c>
      <c r="K62" s="46">
        <v>848.98331131000009</v>
      </c>
      <c r="L62" s="46">
        <v>859.65</v>
      </c>
    </row>
    <row r="63" spans="1:12" x14ac:dyDescent="0.25">
      <c r="A63" t="s">
        <v>65</v>
      </c>
      <c r="B63" s="46">
        <v>43.1</v>
      </c>
      <c r="C63" s="46">
        <v>59.7</v>
      </c>
      <c r="D63" s="46">
        <v>108.1</v>
      </c>
      <c r="E63" s="46">
        <v>125.4</v>
      </c>
      <c r="F63" s="46">
        <v>137.4</v>
      </c>
      <c r="G63" s="46">
        <v>156.9</v>
      </c>
      <c r="H63" s="46">
        <v>177</v>
      </c>
      <c r="I63" s="46">
        <v>199.1</v>
      </c>
      <c r="J63" s="46">
        <v>256.60000000000002</v>
      </c>
      <c r="K63" s="46">
        <v>306.90600000000006</v>
      </c>
      <c r="L63" s="46">
        <v>361.072</v>
      </c>
    </row>
    <row r="64" spans="1:12" x14ac:dyDescent="0.25">
      <c r="A64" t="s">
        <v>94</v>
      </c>
      <c r="B64" s="46">
        <v>-114.9</v>
      </c>
      <c r="C64" s="46">
        <v>-132.5</v>
      </c>
      <c r="D64" s="46">
        <v>-183.9</v>
      </c>
      <c r="E64" s="46">
        <v>-188.9</v>
      </c>
      <c r="F64" s="46">
        <v>-202.1</v>
      </c>
      <c r="G64" s="46">
        <v>-219.3</v>
      </c>
      <c r="H64" s="46">
        <v>-238.7</v>
      </c>
      <c r="I64" s="46">
        <v>-268.5</v>
      </c>
      <c r="J64" s="46">
        <v>-296.5</v>
      </c>
      <c r="K64" s="46">
        <v>-308.62700000000001</v>
      </c>
      <c r="L64" s="46">
        <v>-308.24400000000003</v>
      </c>
    </row>
    <row r="65" spans="1:12" x14ac:dyDescent="0.25">
      <c r="A65" t="s">
        <v>95</v>
      </c>
      <c r="B65" s="46">
        <v>-2.9</v>
      </c>
      <c r="C65" s="46">
        <v>-5.2</v>
      </c>
      <c r="D65" s="46">
        <v>-34.200000000000003</v>
      </c>
      <c r="E65" s="46">
        <v>-30.5</v>
      </c>
      <c r="F65" s="46">
        <v>-30.5</v>
      </c>
      <c r="G65" s="46">
        <v>-41.4</v>
      </c>
      <c r="H65" s="46">
        <v>-40.1</v>
      </c>
      <c r="I65" s="46">
        <v>-57.5</v>
      </c>
      <c r="J65" s="46">
        <v>-37.299999999999997</v>
      </c>
      <c r="K65" s="46">
        <v>-69.559007586988344</v>
      </c>
      <c r="L65" s="46">
        <v>-78.37</v>
      </c>
    </row>
    <row r="66" spans="1:12" x14ac:dyDescent="0.25">
      <c r="A66" t="s">
        <v>71</v>
      </c>
      <c r="B66" s="46">
        <v>-22.5</v>
      </c>
      <c r="C66" s="46">
        <v>-40</v>
      </c>
      <c r="D66" s="46">
        <v>7</v>
      </c>
      <c r="E66" s="46">
        <v>-0.4</v>
      </c>
      <c r="F66" s="46">
        <v>6</v>
      </c>
      <c r="G66" s="46">
        <v>-0.7</v>
      </c>
      <c r="H66" s="46">
        <v>-10.7</v>
      </c>
      <c r="I66" s="46">
        <v>-29</v>
      </c>
      <c r="J66" s="46">
        <v>-14.5</v>
      </c>
      <c r="K66" s="46">
        <v>13.646999999999998</v>
      </c>
      <c r="L66" s="46">
        <v>-3.3580000000000001</v>
      </c>
    </row>
    <row r="67" spans="1:12" x14ac:dyDescent="0.25">
      <c r="A67" t="s">
        <v>75</v>
      </c>
      <c r="B67" s="46">
        <v>1.2</v>
      </c>
      <c r="C67" s="46">
        <v>-3.3</v>
      </c>
      <c r="D67" s="46">
        <v>-2.4</v>
      </c>
      <c r="E67" s="46">
        <v>-5.9</v>
      </c>
      <c r="F67" s="46">
        <v>-6.6</v>
      </c>
      <c r="G67" s="46">
        <v>-1.8</v>
      </c>
      <c r="H67" s="46">
        <v>-2.2999999999999998</v>
      </c>
      <c r="I67" s="46">
        <v>-6.2</v>
      </c>
      <c r="J67" s="46">
        <v>-12.2</v>
      </c>
      <c r="K67" s="46">
        <v>-36.896000000000001</v>
      </c>
      <c r="L67" s="46">
        <v>-21.411000000000001</v>
      </c>
    </row>
    <row r="68" spans="1:12" s="2" customFormat="1" ht="15.75" thickBot="1" x14ac:dyDescent="0.3">
      <c r="A68" s="33" t="s">
        <v>96</v>
      </c>
      <c r="B68" s="34">
        <v>217.8</v>
      </c>
      <c r="C68" s="34">
        <v>206.7</v>
      </c>
      <c r="D68" s="34">
        <v>349.4</v>
      </c>
      <c r="E68" s="34">
        <v>407</v>
      </c>
      <c r="F68" s="34">
        <v>365.5</v>
      </c>
      <c r="G68" s="34">
        <v>443.1</v>
      </c>
      <c r="H68" s="34">
        <v>532.70000000000005</v>
      </c>
      <c r="I68" s="34">
        <v>597.6</v>
      </c>
      <c r="J68" s="34">
        <v>704.1</v>
      </c>
      <c r="K68" s="36">
        <v>754.454303723012</v>
      </c>
      <c r="L68" s="36">
        <f>SUM(L60:L61,L63:L65,L65)</f>
        <v>755.73799999999994</v>
      </c>
    </row>
    <row r="69" spans="1:12" ht="15.75" thickTop="1" x14ac:dyDescent="0.25">
      <c r="B69" s="20"/>
      <c r="C69" s="20"/>
      <c r="D69" s="20"/>
      <c r="E69" s="20"/>
      <c r="F69" s="20"/>
      <c r="G69" s="20"/>
      <c r="H69" s="20"/>
      <c r="I69" s="20"/>
      <c r="J69" s="20"/>
    </row>
    <row r="70" spans="1:12" x14ac:dyDescent="0.25">
      <c r="A70" s="184"/>
      <c r="B70" s="20"/>
      <c r="C70" s="20"/>
      <c r="D70" s="20"/>
      <c r="E70" s="20"/>
      <c r="F70" s="20"/>
      <c r="G70" s="20"/>
      <c r="H70" s="20"/>
      <c r="I70" s="20"/>
      <c r="J70" s="20"/>
    </row>
    <row r="71" spans="1:12" ht="21" customHeight="1" x14ac:dyDescent="0.25">
      <c r="A71" s="184"/>
    </row>
  </sheetData>
  <mergeCells count="1">
    <mergeCell ref="A70:A71"/>
  </mergeCells>
  <hyperlinks>
    <hyperlink ref="B6" location="Índice!A1" display="Índice"/>
    <hyperlink ref="L6" location="Índice!A1" display="Índice"/>
  </hyperlinks>
  <pageMargins left="0.511811024" right="0.511811024" top="0.78740157499999996" bottom="0.78740157499999996" header="0.31496062000000002" footer="0.31496062000000002"/>
  <ignoredErrors>
    <ignoredError sqref="B9:D9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G59"/>
  <sheetViews>
    <sheetView showGridLines="0" zoomScaleNormal="100" workbookViewId="0">
      <pane xSplit="1" ySplit="9" topLeftCell="B40" activePane="bottomRight" state="frozen"/>
      <selection activeCell="C15" sqref="C15"/>
      <selection pane="topRight" activeCell="C15" sqref="C15"/>
      <selection pane="bottomLeft" activeCell="C15" sqref="C15"/>
      <selection pane="bottomRight"/>
    </sheetView>
  </sheetViews>
  <sheetFormatPr defaultColWidth="9.140625" defaultRowHeight="12.75" x14ac:dyDescent="0.2"/>
  <cols>
    <col min="1" max="1" width="70.7109375" style="55" customWidth="1"/>
    <col min="2" max="2" width="12" style="55" customWidth="1"/>
    <col min="3" max="3" width="13.5703125" style="55" bestFit="1" customWidth="1"/>
    <col min="4" max="5" width="12.5703125" style="55" bestFit="1" customWidth="1"/>
    <col min="6" max="6" width="10.42578125" style="55" customWidth="1"/>
    <col min="7" max="7" width="9.28515625" style="55" bestFit="1" customWidth="1"/>
    <col min="8" max="16384" width="9.140625" style="55"/>
  </cols>
  <sheetData>
    <row r="1" spans="1:7" ht="15" x14ac:dyDescent="0.25">
      <c r="A1" s="54"/>
    </row>
    <row r="2" spans="1:7" ht="15" x14ac:dyDescent="0.25">
      <c r="A2" s="56" t="s">
        <v>367</v>
      </c>
    </row>
    <row r="3" spans="1:7" ht="6.75" customHeight="1" x14ac:dyDescent="0.25">
      <c r="A3" s="57"/>
    </row>
    <row r="4" spans="1:7" ht="15" x14ac:dyDescent="0.25">
      <c r="A4" s="56" t="s">
        <v>12</v>
      </c>
    </row>
    <row r="5" spans="1:7" ht="6.75" customHeight="1" x14ac:dyDescent="0.25">
      <c r="A5" s="54"/>
    </row>
    <row r="6" spans="1:7" ht="15" x14ac:dyDescent="0.25">
      <c r="A6" s="58"/>
      <c r="B6" s="59" t="s">
        <v>13</v>
      </c>
    </row>
    <row r="7" spans="1:7" ht="17.25" customHeight="1" x14ac:dyDescent="0.2">
      <c r="A7" s="143" t="s">
        <v>360</v>
      </c>
    </row>
    <row r="8" spans="1:7" x14ac:dyDescent="0.2">
      <c r="A8" s="55" t="s">
        <v>207</v>
      </c>
    </row>
    <row r="9" spans="1:7" x14ac:dyDescent="0.2">
      <c r="A9" s="62"/>
      <c r="B9" s="144">
        <v>2020</v>
      </c>
      <c r="C9" s="144">
        <v>2021</v>
      </c>
      <c r="D9" s="144">
        <v>2022</v>
      </c>
      <c r="E9" s="144">
        <v>2023</v>
      </c>
      <c r="F9" s="144">
        <v>2024</v>
      </c>
      <c r="G9" s="144">
        <v>2025</v>
      </c>
    </row>
    <row r="10" spans="1:7" ht="18" customHeight="1" x14ac:dyDescent="0.2">
      <c r="A10" s="145" t="s">
        <v>201</v>
      </c>
      <c r="B10" s="146">
        <f t="shared" ref="B10:G10" si="0">SUM(B11:B16)</f>
        <v>2300725</v>
      </c>
      <c r="C10" s="146">
        <f t="shared" si="0"/>
        <v>2606505</v>
      </c>
      <c r="D10" s="146">
        <f t="shared" si="0"/>
        <v>3671020</v>
      </c>
      <c r="E10" s="146">
        <f t="shared" si="0"/>
        <v>4823494</v>
      </c>
      <c r="F10" s="146">
        <f t="shared" si="0"/>
        <v>0</v>
      </c>
      <c r="G10" s="146">
        <f t="shared" si="0"/>
        <v>0</v>
      </c>
    </row>
    <row r="11" spans="1:7" x14ac:dyDescent="0.2">
      <c r="A11" s="60" t="s">
        <v>237</v>
      </c>
      <c r="B11" s="99">
        <f>'[5]DRE-BACEN-2020'!$K$12</f>
        <v>1913802</v>
      </c>
      <c r="C11" s="99">
        <f>'[9]DRE-BACEN-2021'!$L$12</f>
        <v>2301215</v>
      </c>
      <c r="D11" s="99">
        <v>3229552</v>
      </c>
      <c r="E11" s="99">
        <f>'DRE Trimestral'!N11+'DRE Trimestral'!O11+'DRE Trimestral'!P11+'DRE Trimestral'!Q11</f>
        <v>4575473</v>
      </c>
      <c r="F11" s="99"/>
      <c r="G11" s="60"/>
    </row>
    <row r="12" spans="1:7" x14ac:dyDescent="0.2">
      <c r="A12" s="60" t="s">
        <v>238</v>
      </c>
      <c r="B12" s="99">
        <f>'[5]DRE-BACEN-2020'!$K$13</f>
        <v>109416</v>
      </c>
      <c r="C12" s="99">
        <f>'[9]DRE-BACEN-2021'!$L$13</f>
        <v>99743</v>
      </c>
      <c r="D12" s="99">
        <v>287711</v>
      </c>
      <c r="E12" s="99">
        <f>'DRE Trimestral'!N12+'DRE Trimestral'!O12+'DRE Trimestral'!P12+'DRE Trimestral'!Q12</f>
        <v>311982</v>
      </c>
      <c r="F12" s="60"/>
      <c r="G12" s="60"/>
    </row>
    <row r="13" spans="1:7" x14ac:dyDescent="0.2">
      <c r="A13" s="60" t="s">
        <v>239</v>
      </c>
      <c r="B13" s="99">
        <f>'[5]DRE-BACEN-2020'!$K$14</f>
        <v>117040</v>
      </c>
      <c r="C13" s="99">
        <f>'[9]DRE-BACEN-2021'!$L$14</f>
        <v>41506</v>
      </c>
      <c r="D13" s="99">
        <v>56121</v>
      </c>
      <c r="E13" s="147">
        <f>'DRE Trimestral'!N13+'DRE Trimestral'!O13+'DRE Trimestral'!P13+'DRE Trimestral'!Q13</f>
        <v>-78552</v>
      </c>
      <c r="F13" s="60"/>
      <c r="G13" s="60"/>
    </row>
    <row r="14" spans="1:7" x14ac:dyDescent="0.2">
      <c r="A14" s="60" t="s">
        <v>240</v>
      </c>
      <c r="B14" s="99">
        <f>'[5]DRE-BACEN-2020'!$K$15</f>
        <v>33728</v>
      </c>
      <c r="C14" s="99">
        <f>'[9]DRE-BACEN-2021'!$L$15</f>
        <v>14170</v>
      </c>
      <c r="D14" s="147">
        <v>-3470</v>
      </c>
      <c r="E14" s="147">
        <f>'DRE Trimestral'!N14+'DRE Trimestral'!O14+'DRE Trimestral'!P14+'DRE Trimestral'!Q14</f>
        <v>-25</v>
      </c>
      <c r="F14" s="60"/>
      <c r="G14" s="60"/>
    </row>
    <row r="15" spans="1:7" x14ac:dyDescent="0.2">
      <c r="A15" s="60" t="s">
        <v>241</v>
      </c>
      <c r="B15" s="99">
        <f>'[5]DRE-BACEN-2020'!$K$16</f>
        <v>2597</v>
      </c>
      <c r="C15" s="99">
        <f>'[9]DRE-BACEN-2021'!$L$16</f>
        <v>3636</v>
      </c>
      <c r="D15" s="99">
        <v>5503</v>
      </c>
      <c r="E15" s="99">
        <f>'DRE Trimestral'!N15+'DRE Trimestral'!O15+'DRE Trimestral'!P15+'DRE Trimestral'!Q15</f>
        <v>2741</v>
      </c>
      <c r="F15" s="60"/>
      <c r="G15" s="60"/>
    </row>
    <row r="16" spans="1:7" x14ac:dyDescent="0.2">
      <c r="A16" s="60" t="s">
        <v>243</v>
      </c>
      <c r="B16" s="99">
        <f>'[5]DRE-BACEN-2020'!$K$17</f>
        <v>124142</v>
      </c>
      <c r="C16" s="99">
        <f>'[9]DRE-BACEN-2021'!$L$17</f>
        <v>146235</v>
      </c>
      <c r="D16" s="99">
        <v>95603</v>
      </c>
      <c r="E16" s="99">
        <f>'DRE Trimestral'!N16+'DRE Trimestral'!O16+'DRE Trimestral'!P16+'DRE Trimestral'!Q16</f>
        <v>11875</v>
      </c>
      <c r="F16" s="60"/>
      <c r="G16" s="60"/>
    </row>
    <row r="17" spans="1:7" x14ac:dyDescent="0.2">
      <c r="A17" s="60"/>
      <c r="B17" s="99"/>
      <c r="C17" s="95"/>
      <c r="D17" s="95"/>
      <c r="E17" s="95"/>
      <c r="F17" s="60"/>
      <c r="G17" s="60"/>
    </row>
    <row r="18" spans="1:7" x14ac:dyDescent="0.2">
      <c r="A18" s="78" t="s">
        <v>202</v>
      </c>
      <c r="B18" s="148">
        <f t="shared" ref="B18:G18" si="1">SUM(B19:B21)</f>
        <v>-437363</v>
      </c>
      <c r="C18" s="148">
        <f t="shared" si="1"/>
        <v>-372776</v>
      </c>
      <c r="D18" s="148">
        <f t="shared" si="1"/>
        <v>-1205065</v>
      </c>
      <c r="E18" s="148">
        <f t="shared" si="1"/>
        <v>-1642468</v>
      </c>
      <c r="F18" s="148">
        <f t="shared" si="1"/>
        <v>0</v>
      </c>
      <c r="G18" s="148">
        <f t="shared" si="1"/>
        <v>0</v>
      </c>
    </row>
    <row r="19" spans="1:7" x14ac:dyDescent="0.2">
      <c r="A19" s="60" t="s">
        <v>242</v>
      </c>
      <c r="B19" s="147">
        <f>'[5]DRE-BACEN-2020'!$K$20</f>
        <v>-422504</v>
      </c>
      <c r="C19" s="147">
        <f>'[9]DRE-BACEN-2021'!$L$20</f>
        <v>-369510</v>
      </c>
      <c r="D19" s="147">
        <v>-1112628</v>
      </c>
      <c r="E19" s="147">
        <f>'DRE Trimestral'!N19+'DRE Trimestral'!O19+'DRE Trimestral'!P19+'DRE Trimestral'!Q19</f>
        <v>-1561557</v>
      </c>
      <c r="F19" s="60"/>
      <c r="G19" s="60"/>
    </row>
    <row r="20" spans="1:7" x14ac:dyDescent="0.2">
      <c r="A20" s="60" t="s">
        <v>253</v>
      </c>
      <c r="B20" s="147">
        <f>'[5]DRE-BACEN-2020'!$K$21</f>
        <v>-11774</v>
      </c>
      <c r="C20" s="147">
        <f>'[9]DRE-BACEN-2021'!$L$21</f>
        <v>-443</v>
      </c>
      <c r="D20" s="147">
        <v>-924</v>
      </c>
      <c r="E20" s="147">
        <f>'DRE Trimestral'!N20+'DRE Trimestral'!O20+'DRE Trimestral'!P20+'DRE Trimestral'!Q20</f>
        <v>-1496</v>
      </c>
      <c r="F20" s="60"/>
      <c r="G20" s="60"/>
    </row>
    <row r="21" spans="1:7" x14ac:dyDescent="0.2">
      <c r="A21" s="60" t="s">
        <v>243</v>
      </c>
      <c r="B21" s="147">
        <f>'[5]DRE-BACEN-2020'!$K$23</f>
        <v>-3085</v>
      </c>
      <c r="C21" s="147">
        <f>'[9]DRE-BACEN-2021'!$L$23</f>
        <v>-2823</v>
      </c>
      <c r="D21" s="147">
        <v>-91513</v>
      </c>
      <c r="E21" s="147">
        <f>'DRE Trimestral'!N21+'DRE Trimestral'!O21+'DRE Trimestral'!P21+'DRE Trimestral'!Q21</f>
        <v>-79415</v>
      </c>
      <c r="F21" s="60"/>
      <c r="G21" s="60"/>
    </row>
    <row r="22" spans="1:7" x14ac:dyDescent="0.2">
      <c r="A22" s="78" t="s">
        <v>316</v>
      </c>
      <c r="B22" s="148">
        <f t="shared" ref="B22:G22" si="2">B10+B18</f>
        <v>1863362</v>
      </c>
      <c r="C22" s="148">
        <f t="shared" si="2"/>
        <v>2233729</v>
      </c>
      <c r="D22" s="148">
        <f t="shared" si="2"/>
        <v>2465955</v>
      </c>
      <c r="E22" s="148">
        <f t="shared" si="2"/>
        <v>3181026</v>
      </c>
      <c r="F22" s="148">
        <f t="shared" si="2"/>
        <v>0</v>
      </c>
      <c r="G22" s="148">
        <f t="shared" si="2"/>
        <v>0</v>
      </c>
    </row>
    <row r="23" spans="1:7" x14ac:dyDescent="0.2">
      <c r="A23" s="60"/>
      <c r="B23" s="99"/>
      <c r="C23" s="99"/>
      <c r="D23" s="99"/>
      <c r="E23" s="99"/>
      <c r="F23" s="60"/>
      <c r="G23" s="60"/>
    </row>
    <row r="24" spans="1:7" s="94" customFormat="1" x14ac:dyDescent="0.2">
      <c r="A24" s="78" t="s">
        <v>345</v>
      </c>
      <c r="B24" s="148">
        <f>'[5]DRE-BACEN-2020'!$K$27</f>
        <v>-326310</v>
      </c>
      <c r="C24" s="148">
        <f>'[9]DRE-BACEN-2021'!$L$26</f>
        <v>-344697</v>
      </c>
      <c r="D24" s="148">
        <v>-327431</v>
      </c>
      <c r="E24" s="148">
        <f>'DRE Trimestral'!N24+'DRE Trimestral'!O24+'DRE Trimestral'!P24+'DRE Trimestral'!Q24</f>
        <v>-487238</v>
      </c>
      <c r="F24" s="148"/>
      <c r="G24" s="148"/>
    </row>
    <row r="25" spans="1:7" x14ac:dyDescent="0.2">
      <c r="A25" s="60"/>
      <c r="B25" s="99"/>
      <c r="C25" s="99"/>
      <c r="D25" s="99"/>
      <c r="E25" s="99"/>
      <c r="F25" s="60"/>
      <c r="G25" s="60"/>
    </row>
    <row r="26" spans="1:7" x14ac:dyDescent="0.2">
      <c r="A26" s="78" t="s">
        <v>200</v>
      </c>
      <c r="B26" s="148">
        <f t="shared" ref="B26:G26" si="3">B22+B24</f>
        <v>1537052</v>
      </c>
      <c r="C26" s="148">
        <f t="shared" si="3"/>
        <v>1889032</v>
      </c>
      <c r="D26" s="148">
        <f t="shared" si="3"/>
        <v>2138524</v>
      </c>
      <c r="E26" s="148">
        <f>E22+E24</f>
        <v>2693788</v>
      </c>
      <c r="F26" s="148">
        <f t="shared" si="3"/>
        <v>0</v>
      </c>
      <c r="G26" s="148">
        <f t="shared" si="3"/>
        <v>0</v>
      </c>
    </row>
    <row r="27" spans="1:7" s="60" customFormat="1" x14ac:dyDescent="0.2">
      <c r="A27" s="91"/>
      <c r="B27" s="149"/>
      <c r="C27" s="149"/>
      <c r="D27" s="149"/>
      <c r="E27" s="149"/>
      <c r="F27" s="149"/>
      <c r="G27" s="149"/>
    </row>
    <row r="28" spans="1:7" x14ac:dyDescent="0.2">
      <c r="A28" s="78" t="s">
        <v>203</v>
      </c>
      <c r="B28" s="148">
        <f>B29+B32+B33+B34+B35+B36+B37</f>
        <v>-1291841</v>
      </c>
      <c r="C28" s="148">
        <f t="shared" ref="C28:G28" si="4">C29+C32+C33+C34+C35+C36+C37</f>
        <v>-1725159</v>
      </c>
      <c r="D28" s="148">
        <f t="shared" si="4"/>
        <v>-1886982</v>
      </c>
      <c r="E28" s="148">
        <f>E29+E32+E33+E34+E35+E36+E37</f>
        <v>-2158314</v>
      </c>
      <c r="F28" s="148">
        <f t="shared" si="4"/>
        <v>0</v>
      </c>
      <c r="G28" s="148">
        <f t="shared" si="4"/>
        <v>0</v>
      </c>
    </row>
    <row r="29" spans="1:7" x14ac:dyDescent="0.2">
      <c r="A29" s="60" t="s">
        <v>244</v>
      </c>
      <c r="B29" s="95">
        <f t="shared" ref="B29:G29" si="5">B30+B31</f>
        <v>318399</v>
      </c>
      <c r="C29" s="95">
        <f t="shared" si="5"/>
        <v>352594</v>
      </c>
      <c r="D29" s="95">
        <f t="shared" si="5"/>
        <v>434870</v>
      </c>
      <c r="E29" s="95">
        <f t="shared" si="5"/>
        <v>576163</v>
      </c>
      <c r="F29" s="95">
        <f t="shared" si="5"/>
        <v>0</v>
      </c>
      <c r="G29" s="95">
        <f t="shared" si="5"/>
        <v>0</v>
      </c>
    </row>
    <row r="30" spans="1:7" x14ac:dyDescent="0.2">
      <c r="A30" s="60" t="s">
        <v>245</v>
      </c>
      <c r="B30" s="99">
        <f>'[5]DRE-BACEN-2020'!$K$33</f>
        <v>96522</v>
      </c>
      <c r="C30" s="99">
        <f>'[9]DRE-BACEN-2021'!$L$32</f>
        <v>165402</v>
      </c>
      <c r="D30" s="99">
        <v>210075</v>
      </c>
      <c r="E30" s="99">
        <f>'DRE Trimestral'!N30+'DRE Trimestral'!O30+'DRE Trimestral'!P30+'DRE Trimestral'!Q30</f>
        <v>311854</v>
      </c>
      <c r="F30" s="60"/>
      <c r="G30" s="60"/>
    </row>
    <row r="31" spans="1:7" x14ac:dyDescent="0.2">
      <c r="A31" s="60" t="s">
        <v>246</v>
      </c>
      <c r="B31" s="99">
        <f>'[5]DRE-BACEN-2020'!$K$34</f>
        <v>221877</v>
      </c>
      <c r="C31" s="99">
        <f>'[9]DRE-BACEN-2021'!$L$33</f>
        <v>187192</v>
      </c>
      <c r="D31" s="99">
        <v>224795</v>
      </c>
      <c r="E31" s="99">
        <f>'DRE Trimestral'!N31+'DRE Trimestral'!O31+'DRE Trimestral'!P31+'DRE Trimestral'!Q31</f>
        <v>264309</v>
      </c>
      <c r="F31" s="60"/>
      <c r="G31" s="60"/>
    </row>
    <row r="32" spans="1:7" x14ac:dyDescent="0.2">
      <c r="A32" s="60" t="s">
        <v>247</v>
      </c>
      <c r="B32" s="147">
        <f>'[5]DRE-BACEN-2020'!$K$38</f>
        <v>-458854</v>
      </c>
      <c r="C32" s="147">
        <f>'[9]DRE-BACEN-2021'!$L$37</f>
        <v>-500440</v>
      </c>
      <c r="D32" s="147">
        <v>-497289</v>
      </c>
      <c r="E32" s="147">
        <f>'DRE Trimestral'!N32+'DRE Trimestral'!O32+'DRE Trimestral'!P32+'DRE Trimestral'!Q32</f>
        <v>-561935</v>
      </c>
      <c r="F32" s="60"/>
      <c r="G32" s="60"/>
    </row>
    <row r="33" spans="1:7" x14ac:dyDescent="0.2">
      <c r="A33" s="60" t="s">
        <v>248</v>
      </c>
      <c r="B33" s="147">
        <f>'[5]DRE-BACEN-2020'!$K$39</f>
        <v>-683853</v>
      </c>
      <c r="C33" s="147">
        <f>'[9]DRE-BACEN-2021'!$L$38</f>
        <v>-851450</v>
      </c>
      <c r="D33" s="147">
        <v>-846801</v>
      </c>
      <c r="E33" s="147">
        <f>'DRE Trimestral'!N33+'DRE Trimestral'!O33+'DRE Trimestral'!P33+'DRE Trimestral'!Q33</f>
        <v>-916510</v>
      </c>
      <c r="F33" s="60"/>
      <c r="G33" s="60"/>
    </row>
    <row r="34" spans="1:7" x14ac:dyDescent="0.2">
      <c r="A34" s="60" t="s">
        <v>249</v>
      </c>
      <c r="B34" s="147">
        <f>'[5]DRE-BACEN-2020'!$K$40</f>
        <v>-117806</v>
      </c>
      <c r="C34" s="147">
        <f>'[9]DRE-BACEN-2021'!$L$39</f>
        <v>-148498</v>
      </c>
      <c r="D34" s="147">
        <v>-165545</v>
      </c>
      <c r="E34" s="147">
        <f>'DRE Trimestral'!N34+'DRE Trimestral'!O34+'DRE Trimestral'!P34+'DRE Trimestral'!Q34</f>
        <v>-206924</v>
      </c>
      <c r="F34" s="60"/>
      <c r="G34" s="60"/>
    </row>
    <row r="35" spans="1:7" x14ac:dyDescent="0.2">
      <c r="A35" s="60" t="s">
        <v>260</v>
      </c>
      <c r="B35" s="147">
        <f>'[5]DRE-BACEN-2020'!$K$41</f>
        <v>52238</v>
      </c>
      <c r="C35" s="147">
        <f>'[9]DRE-BACEN-2021'!$L$40</f>
        <v>91938</v>
      </c>
      <c r="D35" s="147">
        <v>91173</v>
      </c>
      <c r="E35" s="147">
        <f>'DRE Trimestral'!N35+'DRE Trimestral'!O35+'DRE Trimestral'!P35+'DRE Trimestral'!Q35</f>
        <v>72198</v>
      </c>
      <c r="F35" s="95"/>
      <c r="G35" s="95"/>
    </row>
    <row r="36" spans="1:7" x14ac:dyDescent="0.2">
      <c r="A36" s="60" t="s">
        <v>250</v>
      </c>
      <c r="B36" s="147">
        <f>'[5]DRE-BACEN-2020'!$K$46</f>
        <v>-401965</v>
      </c>
      <c r="C36" s="147">
        <f>'[9]DRE-BACEN-2021'!$L$45</f>
        <v>-669303</v>
      </c>
      <c r="D36" s="147">
        <v>-789791</v>
      </c>
      <c r="E36" s="147">
        <f>'DRE Trimestral'!N36+'DRE Trimestral'!O36+'DRE Trimestral'!P36+'DRE Trimestral'!Q36</f>
        <v>-968621</v>
      </c>
      <c r="F36" s="95"/>
      <c r="G36" s="95"/>
    </row>
    <row r="37" spans="1:7" x14ac:dyDescent="0.2">
      <c r="A37" s="60" t="s">
        <v>336</v>
      </c>
      <c r="B37" s="147">
        <v>0</v>
      </c>
      <c r="C37" s="147">
        <v>0</v>
      </c>
      <c r="D37" s="147">
        <v>-113599</v>
      </c>
      <c r="E37" s="147">
        <f>'DRE Trimestral'!N37+'DRE Trimestral'!O37+'DRE Trimestral'!P37+'DRE Trimestral'!Q37</f>
        <v>-152685</v>
      </c>
      <c r="F37" s="95"/>
      <c r="G37" s="95"/>
    </row>
    <row r="38" spans="1:7" s="60" customFormat="1" x14ac:dyDescent="0.2">
      <c r="B38" s="108"/>
      <c r="D38" s="147"/>
      <c r="E38" s="147"/>
    </row>
    <row r="39" spans="1:7" x14ac:dyDescent="0.2">
      <c r="A39" s="78" t="s">
        <v>204</v>
      </c>
      <c r="B39" s="148">
        <f t="shared" ref="B39:G39" si="6">B26+B28</f>
        <v>245211</v>
      </c>
      <c r="C39" s="148">
        <f t="shared" si="6"/>
        <v>163873</v>
      </c>
      <c r="D39" s="148">
        <f t="shared" si="6"/>
        <v>251542</v>
      </c>
      <c r="E39" s="148">
        <f>E26+E28</f>
        <v>535474</v>
      </c>
      <c r="F39" s="148">
        <f t="shared" si="6"/>
        <v>0</v>
      </c>
      <c r="G39" s="148">
        <f t="shared" si="6"/>
        <v>0</v>
      </c>
    </row>
    <row r="41" spans="1:7" x14ac:dyDescent="0.2">
      <c r="A41" s="78" t="s">
        <v>235</v>
      </c>
      <c r="B41" s="148">
        <f t="shared" ref="B41:G41" si="7">B42+B43</f>
        <v>-16031</v>
      </c>
      <c r="C41" s="148">
        <f t="shared" si="7"/>
        <v>3491</v>
      </c>
      <c r="D41" s="148">
        <f t="shared" si="7"/>
        <v>12591</v>
      </c>
      <c r="E41" s="148">
        <f t="shared" si="7"/>
        <v>7787</v>
      </c>
      <c r="F41" s="148">
        <f t="shared" si="7"/>
        <v>0</v>
      </c>
      <c r="G41" s="148">
        <f t="shared" si="7"/>
        <v>0</v>
      </c>
    </row>
    <row r="42" spans="1:7" x14ac:dyDescent="0.2">
      <c r="A42" s="55" t="s">
        <v>251</v>
      </c>
      <c r="B42" s="77">
        <f>'[5]DRE-BACEN-2020'!$K$59</f>
        <v>56653</v>
      </c>
      <c r="C42" s="77">
        <f>'[9]DRE-BACEN-2021'!$L$58</f>
        <v>22140</v>
      </c>
      <c r="D42" s="77">
        <v>19276</v>
      </c>
      <c r="E42" s="77">
        <f>'DRE Trimestral'!N42+'DRE Trimestral'!O42+'DRE Trimestral'!P42+'DRE Trimestral'!Q42</f>
        <v>14208</v>
      </c>
    </row>
    <row r="43" spans="1:7" x14ac:dyDescent="0.2">
      <c r="A43" s="55" t="s">
        <v>252</v>
      </c>
      <c r="B43" s="147">
        <f>'[5]DRE-BACEN-2020'!$K$60</f>
        <v>-72684</v>
      </c>
      <c r="C43" s="147">
        <f>'[9]DRE-BACEN-2021'!$L$59</f>
        <v>-18649</v>
      </c>
      <c r="D43" s="147">
        <v>-6685</v>
      </c>
      <c r="E43" s="147">
        <f>'DRE Trimestral'!N43+'DRE Trimestral'!O43+'DRE Trimestral'!P43+'DRE Trimestral'!Q43</f>
        <v>-6421</v>
      </c>
    </row>
    <row r="45" spans="1:7" x14ac:dyDescent="0.2">
      <c r="A45" s="78" t="s">
        <v>205</v>
      </c>
      <c r="B45" s="148">
        <f t="shared" ref="B45:G45" si="8">B39+B41</f>
        <v>229180</v>
      </c>
      <c r="C45" s="148">
        <f t="shared" si="8"/>
        <v>167364</v>
      </c>
      <c r="D45" s="148">
        <f t="shared" si="8"/>
        <v>264133</v>
      </c>
      <c r="E45" s="148">
        <f t="shared" si="8"/>
        <v>543261</v>
      </c>
      <c r="F45" s="148">
        <f t="shared" si="8"/>
        <v>0</v>
      </c>
      <c r="G45" s="148">
        <f t="shared" si="8"/>
        <v>0</v>
      </c>
    </row>
    <row r="47" spans="1:7" x14ac:dyDescent="0.2">
      <c r="A47" s="78" t="s">
        <v>234</v>
      </c>
      <c r="B47" s="148">
        <f t="shared" ref="B47" si="9">SUM(B48:B50)</f>
        <v>-50387</v>
      </c>
      <c r="C47" s="148">
        <f t="shared" ref="C47" si="10">SUM(C48:C50)</f>
        <v>54286</v>
      </c>
      <c r="D47" s="148">
        <f t="shared" ref="D47" si="11">SUM(D48:D50)</f>
        <v>-63518</v>
      </c>
      <c r="E47" s="148">
        <f t="shared" ref="E47" si="12">SUM(E48:E50)</f>
        <v>-121467</v>
      </c>
      <c r="F47" s="148">
        <f t="shared" ref="F47" si="13">SUM(F48:F50)</f>
        <v>0</v>
      </c>
      <c r="G47" s="148">
        <f t="shared" ref="G47" si="14">SUM(G48:G50)</f>
        <v>0</v>
      </c>
    </row>
    <row r="48" spans="1:7" x14ac:dyDescent="0.2">
      <c r="A48" s="55" t="s">
        <v>254</v>
      </c>
      <c r="B48" s="147">
        <f>'[5]DRE-BACEN-2020'!$K$65</f>
        <v>-9968</v>
      </c>
      <c r="C48" s="147">
        <f>'[9]DRE-BACEN-2021'!$L$64</f>
        <v>-4249</v>
      </c>
      <c r="D48" s="147">
        <v>-5597</v>
      </c>
      <c r="E48" s="147">
        <f>'DRE Trimestral'!N48+'DRE Trimestral'!O48+'DRE Trimestral'!P48+'DRE Trimestral'!Q48</f>
        <v>-63029</v>
      </c>
    </row>
    <row r="49" spans="1:7" x14ac:dyDescent="0.2">
      <c r="A49" s="55" t="s">
        <v>255</v>
      </c>
      <c r="B49" s="147">
        <f>'[5]DRE-BACEN-2020'!$K$66</f>
        <v>-5126</v>
      </c>
      <c r="C49" s="147">
        <f>'[9]DRE-BACEN-2021'!$L$65</f>
        <v>-548</v>
      </c>
      <c r="D49" s="147">
        <v>4454</v>
      </c>
      <c r="E49" s="147">
        <f>'DRE Trimestral'!N49+'DRE Trimestral'!O49+'DRE Trimestral'!P49+'DRE Trimestral'!Q49</f>
        <v>-32975</v>
      </c>
    </row>
    <row r="50" spans="1:7" x14ac:dyDescent="0.2">
      <c r="A50" s="55" t="s">
        <v>256</v>
      </c>
      <c r="B50" s="147">
        <f>'[5]DRE-BACEN-2020'!$K$67</f>
        <v>-35293</v>
      </c>
      <c r="C50" s="147">
        <f>'[9]DRE-BACEN-2021'!$L$66</f>
        <v>59083</v>
      </c>
      <c r="D50" s="147">
        <v>-62375</v>
      </c>
      <c r="E50" s="147">
        <f>'DRE Trimestral'!N50+'DRE Trimestral'!O50+'DRE Trimestral'!P50+'DRE Trimestral'!Q50</f>
        <v>-25463</v>
      </c>
    </row>
    <row r="52" spans="1:7" x14ac:dyDescent="0.2">
      <c r="A52" s="78" t="s">
        <v>206</v>
      </c>
      <c r="B52" s="148">
        <f t="shared" ref="B52" si="15">B53+B54</f>
        <v>-25438</v>
      </c>
      <c r="C52" s="148">
        <f t="shared" ref="C52" si="16">C53+C54</f>
        <v>-34287</v>
      </c>
      <c r="D52" s="148">
        <f t="shared" ref="D52" si="17">D53+D54</f>
        <v>0</v>
      </c>
      <c r="E52" s="148">
        <f t="shared" ref="E52" si="18">E53+E54</f>
        <v>0</v>
      </c>
      <c r="F52" s="148">
        <f t="shared" ref="F52" si="19">F53+F54</f>
        <v>0</v>
      </c>
      <c r="G52" s="148">
        <f t="shared" ref="G52" si="20">G53+G54</f>
        <v>0</v>
      </c>
    </row>
    <row r="53" spans="1:7" x14ac:dyDescent="0.2">
      <c r="A53" s="55" t="s">
        <v>257</v>
      </c>
      <c r="B53" s="147">
        <f>'[5]DRE-BACEN-2020'!$K$70</f>
        <v>-2290</v>
      </c>
      <c r="C53" s="147">
        <f>'[9]DRE-BACEN-2021'!$L$69</f>
        <v>-5212</v>
      </c>
      <c r="D53" s="147">
        <v>0</v>
      </c>
      <c r="E53" s="147">
        <f>'DRE Trimestral'!N53+'DRE Trimestral'!O53+'DRE Trimestral'!P53+'DRE Trimestral'!Q53</f>
        <v>0</v>
      </c>
    </row>
    <row r="54" spans="1:7" x14ac:dyDescent="0.2">
      <c r="A54" s="55" t="s">
        <v>258</v>
      </c>
      <c r="B54" s="147">
        <f>'[5]DRE-BACEN-2020'!$K$71</f>
        <v>-23148</v>
      </c>
      <c r="C54" s="147">
        <f>'[9]DRE-BACEN-2021'!$L$70</f>
        <v>-29075</v>
      </c>
      <c r="D54" s="147">
        <v>0</v>
      </c>
      <c r="E54" s="147">
        <f>'DRE Trimestral'!N54+'DRE Trimestral'!O54+'DRE Trimestral'!P54+'DRE Trimestral'!Q54</f>
        <v>0</v>
      </c>
    </row>
    <row r="55" spans="1:7" x14ac:dyDescent="0.2">
      <c r="A55" s="55" t="s">
        <v>119</v>
      </c>
    </row>
    <row r="56" spans="1:7" x14ac:dyDescent="0.2">
      <c r="A56" s="78" t="s">
        <v>315</v>
      </c>
      <c r="B56" s="148">
        <f>'[5]DRE-BACEN-2020'!$K$73</f>
        <v>-2307</v>
      </c>
      <c r="C56" s="148">
        <f>'[9]DRE-BACEN-2021'!$L$72</f>
        <v>-2876</v>
      </c>
      <c r="D56" s="148">
        <f>SUM('DRE Trimestral'!J56:M56)</f>
        <v>-44</v>
      </c>
      <c r="E56" s="148">
        <f>'DRE Trimestral'!N56+'DRE Trimestral'!O56+'DRE Trimestral'!P56+'DRE Trimestral'!Q56</f>
        <v>-898</v>
      </c>
      <c r="F56" s="148"/>
      <c r="G56" s="148"/>
    </row>
    <row r="58" spans="1:7" x14ac:dyDescent="0.2">
      <c r="A58" s="150" t="s">
        <v>259</v>
      </c>
      <c r="B58" s="148">
        <f t="shared" ref="B58:G58" si="21">B45+B47+B52+B56</f>
        <v>151048</v>
      </c>
      <c r="C58" s="148">
        <f t="shared" si="21"/>
        <v>184487</v>
      </c>
      <c r="D58" s="148">
        <f t="shared" si="21"/>
        <v>200571</v>
      </c>
      <c r="E58" s="148">
        <f t="shared" si="21"/>
        <v>420896</v>
      </c>
      <c r="F58" s="148">
        <f t="shared" si="21"/>
        <v>0</v>
      </c>
      <c r="G58" s="148">
        <f t="shared" si="21"/>
        <v>0</v>
      </c>
    </row>
    <row r="59" spans="1:7" x14ac:dyDescent="0.2">
      <c r="B59" s="151"/>
      <c r="C59" s="152" t="s">
        <v>119</v>
      </c>
      <c r="D59" s="153"/>
      <c r="E59" s="153" t="s">
        <v>119</v>
      </c>
    </row>
  </sheetData>
  <hyperlinks>
    <hyperlink ref="B6" location="Índice!A1" display="Índice"/>
  </hyperlinks>
  <pageMargins left="0.51181102362204722" right="0.51181102362204722" top="0.78740157480314965" bottom="0.78740157480314965" header="0.31496062992125984" footer="0.31496062992125984"/>
  <pageSetup paperSize="9"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Z85"/>
  <sheetViews>
    <sheetView showGridLines="0" zoomScaleNormal="100" workbookViewId="0">
      <pane xSplit="1" ySplit="9" topLeftCell="B10" activePane="bottomRight" state="frozen"/>
      <selection activeCell="C15" sqref="C15"/>
      <selection pane="topRight" activeCell="C15" sqref="C15"/>
      <selection pane="bottomLeft" activeCell="C15" sqref="C15"/>
      <selection pane="bottomRight"/>
    </sheetView>
  </sheetViews>
  <sheetFormatPr defaultColWidth="9.140625" defaultRowHeight="12.75" x14ac:dyDescent="0.2"/>
  <cols>
    <col min="1" max="1" width="80.140625" style="60" bestFit="1" customWidth="1"/>
    <col min="2" max="12" width="12" style="55" customWidth="1"/>
    <col min="13" max="13" width="13" style="55" customWidth="1"/>
    <col min="14" max="14" width="12.7109375" style="55" bestFit="1" customWidth="1"/>
    <col min="15" max="15" width="14" style="55" bestFit="1" customWidth="1"/>
    <col min="16" max="16" width="12.7109375" style="55" bestFit="1" customWidth="1"/>
    <col min="17" max="17" width="15.5703125" style="55" bestFit="1" customWidth="1"/>
    <col min="18" max="18" width="13.28515625" style="55" bestFit="1" customWidth="1"/>
    <col min="19" max="19" width="11.5703125" style="55" bestFit="1" customWidth="1"/>
    <col min="20" max="16384" width="9.140625" style="55"/>
  </cols>
  <sheetData>
    <row r="1" spans="1:25" ht="15" x14ac:dyDescent="0.25">
      <c r="A1" s="54"/>
    </row>
    <row r="2" spans="1:25" ht="15" x14ac:dyDescent="0.25">
      <c r="A2" s="56" t="s">
        <v>367</v>
      </c>
    </row>
    <row r="3" spans="1:25" ht="6.75" customHeight="1" x14ac:dyDescent="0.25">
      <c r="A3" s="57"/>
    </row>
    <row r="4" spans="1:25" ht="15" x14ac:dyDescent="0.25">
      <c r="A4" s="56" t="s">
        <v>12</v>
      </c>
    </row>
    <row r="5" spans="1:25" ht="6.75" customHeight="1" x14ac:dyDescent="0.25">
      <c r="A5" s="54"/>
    </row>
    <row r="6" spans="1:25" ht="15" x14ac:dyDescent="0.25">
      <c r="A6" s="58"/>
      <c r="B6" s="59" t="s">
        <v>13</v>
      </c>
      <c r="I6" s="60"/>
      <c r="J6" s="60"/>
      <c r="K6" s="60"/>
      <c r="L6" s="60"/>
      <c r="M6" s="60"/>
      <c r="N6" s="59"/>
      <c r="O6" s="60"/>
      <c r="P6" s="59"/>
      <c r="Q6" s="59" t="s">
        <v>13</v>
      </c>
    </row>
    <row r="7" spans="1:25" ht="17.25" customHeight="1" x14ac:dyDescent="0.2">
      <c r="A7" s="61" t="s">
        <v>351</v>
      </c>
    </row>
    <row r="8" spans="1:25" x14ac:dyDescent="0.2">
      <c r="A8" s="55" t="s">
        <v>208</v>
      </c>
    </row>
    <row r="9" spans="1:25" x14ac:dyDescent="0.2">
      <c r="A9" s="62"/>
      <c r="B9" s="63">
        <v>43891</v>
      </c>
      <c r="C9" s="63">
        <f>EDATE(B9,3)</f>
        <v>43983</v>
      </c>
      <c r="D9" s="63">
        <f t="shared" ref="D9:Y9" si="0">EDATE(C9,3)</f>
        <v>44075</v>
      </c>
      <c r="E9" s="63">
        <f t="shared" si="0"/>
        <v>44166</v>
      </c>
      <c r="F9" s="63">
        <f t="shared" si="0"/>
        <v>44256</v>
      </c>
      <c r="G9" s="63">
        <f t="shared" si="0"/>
        <v>44348</v>
      </c>
      <c r="H9" s="63">
        <f t="shared" si="0"/>
        <v>44440</v>
      </c>
      <c r="I9" s="63">
        <f t="shared" si="0"/>
        <v>44531</v>
      </c>
      <c r="J9" s="63">
        <f t="shared" si="0"/>
        <v>44621</v>
      </c>
      <c r="K9" s="63">
        <f t="shared" si="0"/>
        <v>44713</v>
      </c>
      <c r="L9" s="63">
        <f t="shared" si="0"/>
        <v>44805</v>
      </c>
      <c r="M9" s="63">
        <f t="shared" si="0"/>
        <v>44896</v>
      </c>
      <c r="N9" s="63">
        <f t="shared" si="0"/>
        <v>44986</v>
      </c>
      <c r="O9" s="63">
        <f t="shared" si="0"/>
        <v>45078</v>
      </c>
      <c r="P9" s="63">
        <f t="shared" si="0"/>
        <v>45170</v>
      </c>
      <c r="Q9" s="63">
        <f t="shared" si="0"/>
        <v>45261</v>
      </c>
      <c r="R9" s="63">
        <f t="shared" si="0"/>
        <v>45352</v>
      </c>
      <c r="S9" s="63">
        <f t="shared" si="0"/>
        <v>45444</v>
      </c>
      <c r="T9" s="63">
        <f t="shared" si="0"/>
        <v>45536</v>
      </c>
      <c r="U9" s="63">
        <f t="shared" si="0"/>
        <v>45627</v>
      </c>
      <c r="V9" s="63">
        <f t="shared" si="0"/>
        <v>45717</v>
      </c>
      <c r="W9" s="63">
        <f t="shared" si="0"/>
        <v>45809</v>
      </c>
      <c r="X9" s="63">
        <f t="shared" si="0"/>
        <v>45901</v>
      </c>
      <c r="Y9" s="63">
        <f t="shared" si="0"/>
        <v>45992</v>
      </c>
    </row>
    <row r="10" spans="1:25" x14ac:dyDescent="0.2">
      <c r="A10" s="64" t="s">
        <v>98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</row>
    <row r="11" spans="1:25" s="60" customFormat="1" x14ac:dyDescent="0.2">
      <c r="A11" s="66" t="s">
        <v>123</v>
      </c>
    </row>
    <row r="12" spans="1:25" s="60" customFormat="1" ht="18" customHeight="1" x14ac:dyDescent="0.2">
      <c r="A12" s="66" t="s">
        <v>15</v>
      </c>
      <c r="Q12" s="67"/>
    </row>
    <row r="13" spans="1:25" s="60" customFormat="1" ht="15" x14ac:dyDescent="0.25">
      <c r="A13" s="60" t="s">
        <v>124</v>
      </c>
      <c r="B13" s="67">
        <v>322715</v>
      </c>
      <c r="C13" s="67">
        <v>399125</v>
      </c>
      <c r="D13" s="67">
        <v>389805</v>
      </c>
      <c r="E13" s="67">
        <v>443055</v>
      </c>
      <c r="F13" s="67">
        <v>456121</v>
      </c>
      <c r="G13" s="67">
        <v>494062</v>
      </c>
      <c r="H13" s="67">
        <v>444334</v>
      </c>
      <c r="I13" s="67">
        <v>480750</v>
      </c>
      <c r="J13" s="67">
        <v>497008</v>
      </c>
      <c r="K13" s="67">
        <v>513369</v>
      </c>
      <c r="L13" s="67">
        <v>541721</v>
      </c>
      <c r="M13" s="67">
        <v>542847</v>
      </c>
      <c r="N13" s="67">
        <v>526843</v>
      </c>
      <c r="O13" s="67">
        <v>583504</v>
      </c>
      <c r="P13" s="67">
        <v>582982</v>
      </c>
      <c r="Q13" s="180">
        <v>625209</v>
      </c>
    </row>
    <row r="14" spans="1:25" s="60" customFormat="1" ht="15" x14ac:dyDescent="0.25">
      <c r="A14" s="60" t="s">
        <v>125</v>
      </c>
      <c r="B14" s="67">
        <v>201079</v>
      </c>
      <c r="C14" s="67">
        <v>222429</v>
      </c>
      <c r="D14" s="67">
        <v>233045</v>
      </c>
      <c r="E14" s="67">
        <v>232987</v>
      </c>
      <c r="F14" s="67">
        <v>231896</v>
      </c>
      <c r="G14" s="67">
        <v>238444</v>
      </c>
      <c r="H14" s="67">
        <v>226583</v>
      </c>
      <c r="I14" s="67">
        <v>226084</v>
      </c>
      <c r="J14" s="67">
        <v>218273</v>
      </c>
      <c r="K14" s="67">
        <v>220749</v>
      </c>
      <c r="L14" s="67">
        <v>202442</v>
      </c>
      <c r="M14" s="67">
        <v>196467</v>
      </c>
      <c r="N14" s="67">
        <v>184707</v>
      </c>
      <c r="O14" s="67">
        <v>173091</v>
      </c>
      <c r="P14" s="67">
        <v>165378</v>
      </c>
      <c r="Q14" s="180">
        <v>155764</v>
      </c>
    </row>
    <row r="15" spans="1:25" s="60" customFormat="1" x14ac:dyDescent="0.2">
      <c r="A15" s="60" t="s">
        <v>126</v>
      </c>
      <c r="B15" s="53">
        <f>1337291+4716523</f>
        <v>6053814</v>
      </c>
      <c r="C15" s="53">
        <v>6670779</v>
      </c>
      <c r="D15" s="53">
        <v>6962277</v>
      </c>
      <c r="E15" s="53">
        <v>7332208</v>
      </c>
      <c r="F15" s="53">
        <v>7172921</v>
      </c>
      <c r="G15" s="53">
        <v>7751725</v>
      </c>
      <c r="H15" s="53">
        <v>8165726</v>
      </c>
      <c r="I15" s="53">
        <v>8285956</v>
      </c>
      <c r="J15" s="53">
        <v>8620937</v>
      </c>
      <c r="K15" s="53">
        <v>9344320</v>
      </c>
      <c r="L15" s="53">
        <v>9447053</v>
      </c>
      <c r="M15" s="53">
        <v>9946592</v>
      </c>
      <c r="N15" s="53">
        <v>10292482</v>
      </c>
      <c r="O15" s="53">
        <v>11410078</v>
      </c>
      <c r="P15" s="53">
        <v>12036557</v>
      </c>
      <c r="Q15" s="53">
        <v>12564331</v>
      </c>
    </row>
    <row r="16" spans="1:25" s="70" customFormat="1" ht="15" x14ac:dyDescent="0.25">
      <c r="A16" s="68" t="s">
        <v>127</v>
      </c>
      <c r="B16" s="67">
        <v>5781631</v>
      </c>
      <c r="C16" s="67">
        <v>6299816</v>
      </c>
      <c r="D16" s="67">
        <v>6377163</v>
      </c>
      <c r="E16" s="69">
        <v>6592087</v>
      </c>
      <c r="F16" s="67">
        <v>6517439</v>
      </c>
      <c r="G16" s="67">
        <v>6699458</v>
      </c>
      <c r="H16" s="67">
        <v>6918139</v>
      </c>
      <c r="I16" s="67">
        <v>7121824</v>
      </c>
      <c r="J16" s="67">
        <v>7452543</v>
      </c>
      <c r="K16" s="67">
        <v>8194160</v>
      </c>
      <c r="L16" s="67">
        <v>8454043</v>
      </c>
      <c r="M16" s="67">
        <v>8923646</v>
      </c>
      <c r="N16" s="67">
        <v>9002601</v>
      </c>
      <c r="O16" s="69">
        <v>10044374</v>
      </c>
      <c r="P16" s="69">
        <v>10634798</v>
      </c>
      <c r="Q16" s="180">
        <v>11118229</v>
      </c>
    </row>
    <row r="17" spans="1:17" s="70" customFormat="1" ht="15" x14ac:dyDescent="0.25">
      <c r="A17" s="68" t="s">
        <v>128</v>
      </c>
      <c r="B17" s="67">
        <f>260979+10002</f>
        <v>270981</v>
      </c>
      <c r="C17" s="71">
        <f>246873+122876</f>
        <v>369749</v>
      </c>
      <c r="D17" s="71">
        <f>48265+535623</f>
        <v>583888</v>
      </c>
      <c r="E17" s="71">
        <v>738884</v>
      </c>
      <c r="F17" s="67">
        <v>654866</v>
      </c>
      <c r="G17" s="67">
        <v>1051642</v>
      </c>
      <c r="H17" s="67">
        <v>1246953</v>
      </c>
      <c r="I17" s="67">
        <v>1163488</v>
      </c>
      <c r="J17" s="67">
        <v>1167739</v>
      </c>
      <c r="K17" s="67">
        <v>1149492</v>
      </c>
      <c r="L17" s="67">
        <v>992328</v>
      </c>
      <c r="M17" s="67">
        <v>1022251</v>
      </c>
      <c r="N17" s="67">
        <v>1289172</v>
      </c>
      <c r="O17" s="69">
        <v>1364980</v>
      </c>
      <c r="P17" s="69">
        <v>1401021</v>
      </c>
      <c r="Q17" s="180">
        <v>1445450</v>
      </c>
    </row>
    <row r="18" spans="1:17" s="70" customFormat="1" ht="15" x14ac:dyDescent="0.25">
      <c r="A18" s="72" t="s">
        <v>285</v>
      </c>
      <c r="B18" s="67">
        <v>1202</v>
      </c>
      <c r="C18" s="67">
        <v>1214</v>
      </c>
      <c r="D18" s="67">
        <v>1226</v>
      </c>
      <c r="E18" s="67">
        <v>1237</v>
      </c>
      <c r="F18" s="67">
        <v>616</v>
      </c>
      <c r="G18" s="67">
        <v>625</v>
      </c>
      <c r="H18" s="67">
        <v>634</v>
      </c>
      <c r="I18" s="67">
        <v>644</v>
      </c>
      <c r="J18" s="67">
        <v>655</v>
      </c>
      <c r="K18" s="67">
        <v>668</v>
      </c>
      <c r="L18" s="67">
        <v>682</v>
      </c>
      <c r="M18" s="67">
        <v>695</v>
      </c>
      <c r="N18" s="67">
        <v>709</v>
      </c>
      <c r="O18" s="69">
        <v>724</v>
      </c>
      <c r="P18" s="69">
        <v>738</v>
      </c>
      <c r="Q18" s="180">
        <v>752</v>
      </c>
    </row>
    <row r="19" spans="1:17" s="60" customFormat="1" x14ac:dyDescent="0.2">
      <c r="A19" s="60" t="s">
        <v>129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73">
        <v>0</v>
      </c>
      <c r="H19" s="73">
        <v>0</v>
      </c>
      <c r="I19" s="73">
        <v>0</v>
      </c>
      <c r="J19" s="73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</row>
    <row r="20" spans="1:17" s="60" customFormat="1" ht="15" x14ac:dyDescent="0.25">
      <c r="A20" s="60" t="s">
        <v>130</v>
      </c>
      <c r="B20" s="67">
        <v>96853</v>
      </c>
      <c r="C20" s="67">
        <v>116902</v>
      </c>
      <c r="D20" s="67">
        <v>26474</v>
      </c>
      <c r="E20" s="67">
        <v>26753</v>
      </c>
      <c r="F20" s="67">
        <v>67840</v>
      </c>
      <c r="G20" s="73">
        <v>198628</v>
      </c>
      <c r="H20" s="73">
        <v>229842</v>
      </c>
      <c r="I20" s="67">
        <v>235048</v>
      </c>
      <c r="J20" s="67">
        <v>188481</v>
      </c>
      <c r="K20" s="67">
        <v>195074</v>
      </c>
      <c r="L20" s="67">
        <v>139047</v>
      </c>
      <c r="M20" s="67">
        <v>148436</v>
      </c>
      <c r="N20" s="67">
        <v>365141</v>
      </c>
      <c r="O20" s="67">
        <v>461098</v>
      </c>
      <c r="P20" s="69">
        <v>535691</v>
      </c>
      <c r="Q20" s="180">
        <v>549906</v>
      </c>
    </row>
    <row r="21" spans="1:17" s="60" customFormat="1" ht="15" x14ac:dyDescent="0.25">
      <c r="A21" s="74" t="s">
        <v>328</v>
      </c>
      <c r="B21" s="67">
        <v>0</v>
      </c>
      <c r="C21" s="67">
        <v>0</v>
      </c>
      <c r="D21" s="67">
        <v>0</v>
      </c>
      <c r="E21" s="67">
        <v>0</v>
      </c>
      <c r="F21" s="67">
        <v>5083</v>
      </c>
      <c r="G21" s="67">
        <v>5367</v>
      </c>
      <c r="H21" s="67">
        <v>3131</v>
      </c>
      <c r="I21" s="67">
        <v>3176</v>
      </c>
      <c r="J21" s="67">
        <v>2892</v>
      </c>
      <c r="K21" s="67">
        <v>1007</v>
      </c>
      <c r="L21" s="67">
        <v>2377</v>
      </c>
      <c r="M21" s="67">
        <v>7470</v>
      </c>
      <c r="N21" s="67">
        <v>965</v>
      </c>
      <c r="O21" s="67">
        <v>1514</v>
      </c>
      <c r="P21" s="69">
        <v>1265</v>
      </c>
      <c r="Q21" s="180">
        <v>2317</v>
      </c>
    </row>
    <row r="22" spans="1:17" s="60" customFormat="1" x14ac:dyDescent="0.2">
      <c r="A22" s="60" t="s">
        <v>131</v>
      </c>
      <c r="G22" s="73"/>
      <c r="H22" s="73"/>
      <c r="P22" s="69"/>
      <c r="Q22" s="69"/>
    </row>
    <row r="23" spans="1:17" s="60" customFormat="1" x14ac:dyDescent="0.2">
      <c r="A23" s="60" t="s">
        <v>132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73">
        <v>0</v>
      </c>
      <c r="H23" s="73">
        <v>0</v>
      </c>
      <c r="I23" s="73">
        <v>0</v>
      </c>
      <c r="J23" s="73">
        <v>0</v>
      </c>
      <c r="K23" s="67">
        <v>0</v>
      </c>
      <c r="L23" s="67">
        <v>0</v>
      </c>
      <c r="M23" s="67">
        <v>0</v>
      </c>
      <c r="N23" s="67">
        <v>0</v>
      </c>
      <c r="O23" s="67">
        <v>0</v>
      </c>
      <c r="P23" s="69">
        <v>0</v>
      </c>
      <c r="Q23" s="69">
        <v>0</v>
      </c>
    </row>
    <row r="24" spans="1:17" s="60" customFormat="1" ht="15" x14ac:dyDescent="0.25">
      <c r="A24" s="60" t="s">
        <v>133</v>
      </c>
      <c r="B24" s="67">
        <v>19434</v>
      </c>
      <c r="C24" s="67">
        <v>14128</v>
      </c>
      <c r="D24" s="67">
        <v>9091</v>
      </c>
      <c r="E24" s="67">
        <v>0</v>
      </c>
      <c r="F24" s="67">
        <v>0</v>
      </c>
      <c r="G24" s="73">
        <v>0</v>
      </c>
      <c r="H24" s="73">
        <v>0</v>
      </c>
      <c r="I24" s="73">
        <v>226402</v>
      </c>
      <c r="J24" s="67">
        <v>494650</v>
      </c>
      <c r="K24" s="67">
        <v>895902</v>
      </c>
      <c r="L24" s="67">
        <v>822843</v>
      </c>
      <c r="M24" s="67">
        <v>752950</v>
      </c>
      <c r="N24" s="67">
        <v>662943</v>
      </c>
      <c r="O24" s="67">
        <v>597218</v>
      </c>
      <c r="P24" s="69">
        <v>518271</v>
      </c>
      <c r="Q24" s="180">
        <v>410656</v>
      </c>
    </row>
    <row r="25" spans="1:17" s="60" customFormat="1" x14ac:dyDescent="0.2">
      <c r="A25" s="60" t="s">
        <v>134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73">
        <v>0</v>
      </c>
      <c r="H25" s="73">
        <v>0</v>
      </c>
      <c r="I25" s="73">
        <v>0</v>
      </c>
      <c r="J25" s="73">
        <v>0</v>
      </c>
      <c r="K25" s="67">
        <v>0</v>
      </c>
      <c r="L25" s="67">
        <v>0</v>
      </c>
      <c r="M25" s="67">
        <v>0</v>
      </c>
      <c r="N25" s="67">
        <v>0</v>
      </c>
      <c r="O25" s="67">
        <v>0</v>
      </c>
      <c r="P25" s="67">
        <v>0</v>
      </c>
      <c r="Q25" s="67">
        <v>0</v>
      </c>
    </row>
    <row r="26" spans="1:17" s="60" customFormat="1" x14ac:dyDescent="0.2">
      <c r="A26" s="60" t="s">
        <v>135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73">
        <v>0</v>
      </c>
      <c r="H26" s="73">
        <v>0</v>
      </c>
      <c r="I26" s="73">
        <v>0</v>
      </c>
      <c r="J26" s="73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</row>
    <row r="27" spans="1:17" s="60" customFormat="1" x14ac:dyDescent="0.2">
      <c r="A27" s="60" t="s">
        <v>136</v>
      </c>
      <c r="G27" s="73"/>
      <c r="H27" s="73"/>
      <c r="I27" s="73"/>
      <c r="P27" s="67">
        <v>0</v>
      </c>
      <c r="Q27" s="67">
        <v>0</v>
      </c>
    </row>
    <row r="28" spans="1:17" s="60" customFormat="1" x14ac:dyDescent="0.2">
      <c r="A28" s="60" t="s">
        <v>137</v>
      </c>
      <c r="B28" s="67">
        <v>716527</v>
      </c>
      <c r="C28" s="67">
        <v>741010</v>
      </c>
      <c r="D28" s="67">
        <v>0</v>
      </c>
      <c r="E28" s="67">
        <v>0</v>
      </c>
      <c r="F28" s="67">
        <v>0</v>
      </c>
      <c r="G28" s="73">
        <v>0</v>
      </c>
      <c r="H28" s="73">
        <v>0</v>
      </c>
      <c r="I28" s="73">
        <v>0</v>
      </c>
      <c r="J28" s="73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</row>
    <row r="29" spans="1:17" s="60" customFormat="1" x14ac:dyDescent="0.2">
      <c r="A29" s="75" t="s">
        <v>286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0</v>
      </c>
      <c r="M29" s="67">
        <v>0</v>
      </c>
      <c r="N29" s="67">
        <v>0</v>
      </c>
      <c r="O29" s="67">
        <v>0</v>
      </c>
      <c r="P29" s="67">
        <v>0</v>
      </c>
      <c r="Q29" s="67">
        <v>0</v>
      </c>
    </row>
    <row r="30" spans="1:17" s="70" customFormat="1" x14ac:dyDescent="0.2">
      <c r="A30" s="70" t="s">
        <v>138</v>
      </c>
      <c r="G30" s="73"/>
      <c r="J30" s="60"/>
      <c r="N30" s="69"/>
      <c r="P30" s="69"/>
      <c r="Q30" s="69"/>
    </row>
    <row r="31" spans="1:17" s="60" customFormat="1" ht="15" x14ac:dyDescent="0.25">
      <c r="A31" s="60" t="s">
        <v>139</v>
      </c>
      <c r="B31" s="67">
        <v>134716</v>
      </c>
      <c r="C31" s="67">
        <v>87456</v>
      </c>
      <c r="D31" s="67">
        <v>76329</v>
      </c>
      <c r="E31" s="67">
        <v>84374</v>
      </c>
      <c r="F31" s="67">
        <v>75350</v>
      </c>
      <c r="G31" s="73">
        <v>58480</v>
      </c>
      <c r="H31" s="73">
        <v>66776</v>
      </c>
      <c r="I31" s="67">
        <v>75854</v>
      </c>
      <c r="J31" s="67">
        <v>75136</v>
      </c>
      <c r="K31" s="67">
        <v>55478</v>
      </c>
      <c r="L31" s="67">
        <v>53023</v>
      </c>
      <c r="M31" s="67">
        <v>46969</v>
      </c>
      <c r="N31" s="67">
        <v>41417</v>
      </c>
      <c r="O31" s="67">
        <v>42378</v>
      </c>
      <c r="P31" s="69">
        <v>39108</v>
      </c>
      <c r="Q31" s="180">
        <v>30017</v>
      </c>
    </row>
    <row r="32" spans="1:17" s="60" customFormat="1" ht="15" x14ac:dyDescent="0.25">
      <c r="A32" s="60" t="s">
        <v>140</v>
      </c>
      <c r="B32" s="67">
        <v>16118</v>
      </c>
      <c r="C32" s="67">
        <v>15165</v>
      </c>
      <c r="D32" s="67">
        <v>10477</v>
      </c>
      <c r="E32" s="67">
        <v>4121</v>
      </c>
      <c r="F32" s="67">
        <v>4145</v>
      </c>
      <c r="G32" s="73">
        <v>4183</v>
      </c>
      <c r="H32" s="73">
        <v>4243</v>
      </c>
      <c r="I32" s="67">
        <v>3431</v>
      </c>
      <c r="J32" s="67">
        <v>28418</v>
      </c>
      <c r="K32" s="67">
        <v>62270</v>
      </c>
      <c r="L32" s="67">
        <v>64329</v>
      </c>
      <c r="M32" s="67">
        <v>66394</v>
      </c>
      <c r="N32" s="67">
        <v>68963</v>
      </c>
      <c r="O32" s="67">
        <v>71465</v>
      </c>
      <c r="P32" s="69">
        <v>74128</v>
      </c>
      <c r="Q32" s="180">
        <v>117881</v>
      </c>
    </row>
    <row r="33" spans="1:26" s="60" customFormat="1" ht="15" x14ac:dyDescent="0.25">
      <c r="A33" s="60" t="s">
        <v>141</v>
      </c>
      <c r="B33" s="67">
        <v>403856</v>
      </c>
      <c r="C33" s="67">
        <v>411858</v>
      </c>
      <c r="D33" s="67">
        <v>416881</v>
      </c>
      <c r="E33" s="67">
        <v>417256</v>
      </c>
      <c r="F33" s="67">
        <v>420406</v>
      </c>
      <c r="G33" s="73">
        <v>425760</v>
      </c>
      <c r="H33" s="73">
        <v>430548</v>
      </c>
      <c r="I33" s="67">
        <v>435283</v>
      </c>
      <c r="J33" s="67">
        <v>460769</v>
      </c>
      <c r="K33" s="67">
        <v>501733</v>
      </c>
      <c r="L33" s="67">
        <v>575359</v>
      </c>
      <c r="M33" s="67">
        <v>621938</v>
      </c>
      <c r="N33" s="67">
        <v>801134</v>
      </c>
      <c r="O33" s="67">
        <v>817676</v>
      </c>
      <c r="P33" s="69">
        <v>831384</v>
      </c>
      <c r="Q33" s="180">
        <v>813457</v>
      </c>
    </row>
    <row r="34" spans="1:26" s="60" customFormat="1" x14ac:dyDescent="0.2">
      <c r="A34" s="60" t="s">
        <v>142</v>
      </c>
      <c r="B34" s="67">
        <v>3676</v>
      </c>
      <c r="C34" s="67">
        <v>2944</v>
      </c>
      <c r="D34" s="67">
        <v>0</v>
      </c>
      <c r="E34" s="67">
        <v>0</v>
      </c>
      <c r="F34" s="67">
        <v>5487</v>
      </c>
      <c r="G34" s="73">
        <v>15197</v>
      </c>
      <c r="H34" s="73">
        <v>2708</v>
      </c>
      <c r="I34" s="67">
        <v>12744</v>
      </c>
      <c r="J34" s="67">
        <v>12550</v>
      </c>
      <c r="K34" s="67">
        <v>8646</v>
      </c>
      <c r="L34" s="67">
        <v>8930</v>
      </c>
      <c r="M34" s="67">
        <v>7147</v>
      </c>
      <c r="N34" s="67">
        <v>5175</v>
      </c>
      <c r="O34" s="67">
        <v>2984</v>
      </c>
      <c r="P34" s="69">
        <v>0</v>
      </c>
      <c r="Q34" s="69">
        <v>0</v>
      </c>
    </row>
    <row r="35" spans="1:26" s="70" customFormat="1" ht="15.75" thickBot="1" x14ac:dyDescent="0.3">
      <c r="A35" s="70" t="s">
        <v>143</v>
      </c>
      <c r="B35" s="67">
        <v>297751</v>
      </c>
      <c r="C35" s="67">
        <v>100903</v>
      </c>
      <c r="D35" s="67">
        <v>65902</v>
      </c>
      <c r="E35" s="67">
        <v>146853</v>
      </c>
      <c r="F35" s="67">
        <v>169896</v>
      </c>
      <c r="G35" s="73">
        <v>74108</v>
      </c>
      <c r="H35" s="73">
        <v>71416</v>
      </c>
      <c r="I35" s="67">
        <v>106216</v>
      </c>
      <c r="J35" s="67">
        <v>70020</v>
      </c>
      <c r="K35" s="67">
        <v>51357</v>
      </c>
      <c r="L35" s="67">
        <v>59371</v>
      </c>
      <c r="M35" s="67">
        <v>30762</v>
      </c>
      <c r="N35" s="69">
        <v>16759</v>
      </c>
      <c r="O35" s="69">
        <v>196278</v>
      </c>
      <c r="P35" s="69">
        <v>23361</v>
      </c>
      <c r="Q35" s="180">
        <v>61788</v>
      </c>
    </row>
    <row r="36" spans="1:26" ht="13.5" thickBot="1" x14ac:dyDescent="0.25">
      <c r="A36" s="76" t="s">
        <v>91</v>
      </c>
      <c r="E36" s="60"/>
      <c r="L36" s="60"/>
      <c r="M36" s="60"/>
      <c r="Q36" s="77"/>
    </row>
    <row r="37" spans="1:26" x14ac:dyDescent="0.2">
      <c r="B37" s="77"/>
      <c r="C37" s="77"/>
      <c r="D37" s="77"/>
      <c r="E37" s="67"/>
      <c r="F37" s="77"/>
      <c r="G37" s="77"/>
      <c r="H37" s="77"/>
      <c r="I37" s="77"/>
      <c r="J37" s="77"/>
      <c r="K37" s="77"/>
      <c r="L37" s="67"/>
      <c r="M37" s="6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 spans="1:26" x14ac:dyDescent="0.2">
      <c r="A38" s="78" t="s">
        <v>199</v>
      </c>
      <c r="B38" s="77"/>
      <c r="C38" s="77"/>
      <c r="D38" s="77" t="s">
        <v>119</v>
      </c>
      <c r="E38" s="67" t="s">
        <v>119</v>
      </c>
      <c r="F38" s="77"/>
      <c r="G38" s="77"/>
      <c r="H38" s="77"/>
      <c r="I38" s="77"/>
      <c r="J38" s="77"/>
      <c r="K38" s="77"/>
      <c r="L38" s="67"/>
      <c r="M38" s="6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 spans="1:26" s="70" customFormat="1" x14ac:dyDescent="0.2">
      <c r="A39" s="70" t="s">
        <v>193</v>
      </c>
      <c r="B39" s="69">
        <v>115167.61165000001</v>
      </c>
      <c r="C39" s="69">
        <v>116092.34654</v>
      </c>
      <c r="D39" s="69">
        <v>121031.56286000001</v>
      </c>
      <c r="E39" s="69">
        <v>88706.369180000009</v>
      </c>
      <c r="F39" s="69">
        <v>86037.611999999994</v>
      </c>
      <c r="G39" s="69">
        <v>79467.427469999995</v>
      </c>
      <c r="H39" s="69">
        <v>124346.09981</v>
      </c>
      <c r="I39" s="69">
        <v>148373.31119000001</v>
      </c>
      <c r="J39" s="69">
        <v>188131.45369999998</v>
      </c>
      <c r="K39" s="69">
        <v>315611.57127999997</v>
      </c>
      <c r="L39" s="69">
        <v>396467.40505</v>
      </c>
      <c r="M39" s="69">
        <v>415729</v>
      </c>
      <c r="N39" s="69">
        <v>390249.9731</v>
      </c>
      <c r="O39" s="69">
        <v>511118</v>
      </c>
      <c r="P39" s="69">
        <v>517339</v>
      </c>
      <c r="Q39" s="69">
        <v>569969.3279400001</v>
      </c>
      <c r="R39" s="69"/>
      <c r="S39" s="69"/>
      <c r="T39" s="69"/>
      <c r="U39" s="69"/>
      <c r="V39" s="69"/>
      <c r="W39" s="69"/>
      <c r="X39" s="69"/>
      <c r="Y39" s="69"/>
      <c r="Z39" s="69"/>
    </row>
    <row r="40" spans="1:26" s="70" customFormat="1" x14ac:dyDescent="0.2">
      <c r="A40" s="70" t="s">
        <v>194</v>
      </c>
      <c r="B40" s="69">
        <v>488004.10886000004</v>
      </c>
      <c r="C40" s="69">
        <v>532378.90140999993</v>
      </c>
      <c r="D40" s="69">
        <v>588955.24135999999</v>
      </c>
      <c r="E40" s="69">
        <v>559368.29949</v>
      </c>
      <c r="F40" s="69">
        <v>493001.96341000003</v>
      </c>
      <c r="G40" s="69">
        <v>508407.59841000004</v>
      </c>
      <c r="H40" s="69">
        <v>555584.50702999998</v>
      </c>
      <c r="I40" s="69">
        <v>681170.0344</v>
      </c>
      <c r="J40" s="69">
        <v>864957.9236000001</v>
      </c>
      <c r="K40" s="69">
        <v>980985.19178000011</v>
      </c>
      <c r="L40" s="69">
        <v>1007685.7162699999</v>
      </c>
      <c r="M40" s="69">
        <v>1209654</v>
      </c>
      <c r="N40" s="69">
        <v>1260892.2242600003</v>
      </c>
      <c r="O40" s="69">
        <v>1799127</v>
      </c>
      <c r="P40" s="69">
        <v>1988460</v>
      </c>
      <c r="Q40" s="69">
        <v>2090939.2597500004</v>
      </c>
      <c r="R40" s="69"/>
      <c r="S40" s="69"/>
      <c r="T40" s="69"/>
      <c r="U40" s="69"/>
      <c r="V40" s="69"/>
      <c r="W40" s="69"/>
      <c r="X40" s="69"/>
      <c r="Y40" s="69"/>
      <c r="Z40" s="69"/>
    </row>
    <row r="41" spans="1:26" s="70" customFormat="1" x14ac:dyDescent="0.2">
      <c r="A41" s="70" t="s">
        <v>195</v>
      </c>
      <c r="B41" s="69">
        <v>703739.65266000014</v>
      </c>
      <c r="C41" s="69">
        <v>763711.82614999986</v>
      </c>
      <c r="D41" s="69">
        <v>846067.28824999998</v>
      </c>
      <c r="E41" s="69">
        <v>836918.64124999987</v>
      </c>
      <c r="F41" s="69">
        <v>759942.30637999997</v>
      </c>
      <c r="G41" s="69">
        <v>826832.02943</v>
      </c>
      <c r="H41" s="69">
        <v>873110.74173000024</v>
      </c>
      <c r="I41" s="69">
        <v>1002395.3206999998</v>
      </c>
      <c r="J41" s="69">
        <v>1202577.2570400001</v>
      </c>
      <c r="K41" s="69">
        <v>1353508.11524</v>
      </c>
      <c r="L41" s="69">
        <v>1360358.6739200002</v>
      </c>
      <c r="M41" s="69">
        <v>1586383</v>
      </c>
      <c r="N41" s="69">
        <v>1642907.1801499999</v>
      </c>
      <c r="O41" s="69">
        <v>2199331</v>
      </c>
      <c r="P41" s="69">
        <v>2418952</v>
      </c>
      <c r="Q41" s="69">
        <v>2568720.1238000011</v>
      </c>
      <c r="R41" s="69"/>
      <c r="S41" s="69"/>
      <c r="T41" s="69"/>
      <c r="U41" s="69"/>
      <c r="V41" s="69"/>
      <c r="W41" s="69"/>
      <c r="X41" s="69"/>
      <c r="Y41" s="69"/>
      <c r="Z41" s="69"/>
    </row>
    <row r="42" spans="1:26" s="70" customFormat="1" x14ac:dyDescent="0.2">
      <c r="A42" s="70" t="s">
        <v>196</v>
      </c>
      <c r="B42" s="69">
        <v>1101189.4649900005</v>
      </c>
      <c r="C42" s="69">
        <v>1192149.3845400002</v>
      </c>
      <c r="D42" s="69">
        <v>1354650.3021699998</v>
      </c>
      <c r="E42" s="69">
        <v>1424540.3793700002</v>
      </c>
      <c r="F42" s="69">
        <v>1346015.6344100006</v>
      </c>
      <c r="G42" s="69">
        <v>1525066.6891600001</v>
      </c>
      <c r="H42" s="69">
        <v>1605320.2556499995</v>
      </c>
      <c r="I42" s="69">
        <v>1717343.1606200002</v>
      </c>
      <c r="J42" s="69">
        <v>1943320.5890800005</v>
      </c>
      <c r="K42" s="69">
        <v>2202978.2567599998</v>
      </c>
      <c r="L42" s="69">
        <v>2109676.4705799995</v>
      </c>
      <c r="M42" s="69">
        <v>2448925</v>
      </c>
      <c r="N42" s="69">
        <v>2518379.2523400011</v>
      </c>
      <c r="O42" s="69">
        <v>3075086</v>
      </c>
      <c r="P42" s="69">
        <v>3361759</v>
      </c>
      <c r="Q42" s="69">
        <v>3564967.9730900009</v>
      </c>
      <c r="R42" s="69"/>
      <c r="S42" s="69"/>
      <c r="T42" s="69"/>
      <c r="U42" s="69"/>
      <c r="V42" s="69"/>
      <c r="W42" s="69"/>
      <c r="X42" s="69"/>
      <c r="Y42" s="69"/>
      <c r="Z42" s="69"/>
    </row>
    <row r="43" spans="1:26" s="70" customFormat="1" x14ac:dyDescent="0.2">
      <c r="A43" s="70" t="s">
        <v>197</v>
      </c>
      <c r="B43" s="69">
        <v>1523389.2867600005</v>
      </c>
      <c r="C43" s="69">
        <v>1634790.3474600001</v>
      </c>
      <c r="D43" s="69">
        <v>1868557.2780300002</v>
      </c>
      <c r="E43" s="69">
        <v>2001169.9639600005</v>
      </c>
      <c r="F43" s="69">
        <v>1918073.5259300007</v>
      </c>
      <c r="G43" s="69">
        <v>2186973.1704599997</v>
      </c>
      <c r="H43" s="69">
        <v>2322053.7990999995</v>
      </c>
      <c r="I43" s="69">
        <v>2459462.4945000014</v>
      </c>
      <c r="J43" s="69">
        <v>2743104.8112600008</v>
      </c>
      <c r="K43" s="69">
        <v>3029620.1081899996</v>
      </c>
      <c r="L43" s="69">
        <v>2878191.4472400001</v>
      </c>
      <c r="M43" s="69">
        <v>3291629</v>
      </c>
      <c r="N43" s="69">
        <v>3444224.9839900006</v>
      </c>
      <c r="O43" s="69">
        <v>4048181</v>
      </c>
      <c r="P43" s="69">
        <v>4395685</v>
      </c>
      <c r="Q43" s="69">
        <v>4668244.4963600021</v>
      </c>
      <c r="R43" s="69"/>
      <c r="S43" s="69"/>
      <c r="T43" s="69"/>
      <c r="U43" s="69"/>
      <c r="V43" s="69"/>
      <c r="W43" s="69"/>
      <c r="X43" s="69"/>
      <c r="Y43" s="69"/>
      <c r="Z43" s="69"/>
    </row>
    <row r="44" spans="1:26" s="70" customFormat="1" ht="13.5" thickBot="1" x14ac:dyDescent="0.25">
      <c r="A44" s="70" t="s">
        <v>282</v>
      </c>
      <c r="B44" s="69">
        <v>4530424.7132399995</v>
      </c>
      <c r="C44" s="69">
        <v>5035988.6525400002</v>
      </c>
      <c r="D44" s="69">
        <v>5093719.7219699994</v>
      </c>
      <c r="E44" s="69">
        <v>5331038.0360399997</v>
      </c>
      <c r="F44" s="69">
        <v>5254847.4740699995</v>
      </c>
      <c r="G44" s="69">
        <v>5564751.8295400003</v>
      </c>
      <c r="H44" s="69">
        <v>5843672.2009000005</v>
      </c>
      <c r="I44" s="69">
        <v>5826493.5054999981</v>
      </c>
      <c r="J44" s="69">
        <v>5877832.1887399992</v>
      </c>
      <c r="K44" s="69">
        <v>6314699.8918099999</v>
      </c>
      <c r="L44" s="69">
        <v>6568861.5527599994</v>
      </c>
      <c r="M44" s="69">
        <v>6654963</v>
      </c>
      <c r="N44" s="69">
        <v>6848257.0160099994</v>
      </c>
      <c r="O44" s="69">
        <v>7361897</v>
      </c>
      <c r="P44" s="69">
        <v>7640872</v>
      </c>
      <c r="Q44" s="69">
        <v>7896086.5036399979</v>
      </c>
      <c r="R44" s="69"/>
      <c r="S44" s="69"/>
      <c r="T44" s="69"/>
      <c r="U44" s="69"/>
      <c r="V44" s="69"/>
      <c r="W44" s="69"/>
      <c r="X44" s="69"/>
      <c r="Y44" s="69"/>
      <c r="Z44" s="69"/>
    </row>
    <row r="45" spans="1:26" ht="13.5" thickBot="1" x14ac:dyDescent="0.25">
      <c r="A45" s="79" t="s">
        <v>198</v>
      </c>
      <c r="B45" s="80">
        <f t="shared" ref="B45:G45" si="1">SUM(B43:B44)</f>
        <v>6053814</v>
      </c>
      <c r="C45" s="80">
        <f t="shared" si="1"/>
        <v>6670779</v>
      </c>
      <c r="D45" s="80">
        <f t="shared" si="1"/>
        <v>6962277</v>
      </c>
      <c r="E45" s="80">
        <f t="shared" si="1"/>
        <v>7332208</v>
      </c>
      <c r="F45" s="80">
        <f t="shared" si="1"/>
        <v>7172921</v>
      </c>
      <c r="G45" s="80">
        <f t="shared" si="1"/>
        <v>7751725</v>
      </c>
      <c r="H45" s="80">
        <f>SUM(H43:H44)</f>
        <v>8165726</v>
      </c>
      <c r="I45" s="80">
        <f t="shared" ref="I45" si="2">SUM(I43:I44)</f>
        <v>8285956</v>
      </c>
      <c r="J45" s="80">
        <f>SUM(J43:J44)</f>
        <v>8620937</v>
      </c>
      <c r="K45" s="80">
        <f t="shared" ref="K45:N45" si="3">SUM(K43:K44)</f>
        <v>9344320</v>
      </c>
      <c r="L45" s="80">
        <f>SUM(L43:L44)</f>
        <v>9447053</v>
      </c>
      <c r="M45" s="80">
        <f t="shared" si="3"/>
        <v>9946592</v>
      </c>
      <c r="N45" s="80">
        <f t="shared" si="3"/>
        <v>10292482</v>
      </c>
      <c r="O45" s="80">
        <f>SUM(O43:O44)</f>
        <v>11410078</v>
      </c>
      <c r="P45" s="80">
        <f>SUM(P43:P44)</f>
        <v>12036557</v>
      </c>
      <c r="Q45" s="80">
        <f>SUM(Q43:Q44)</f>
        <v>12564331</v>
      </c>
      <c r="R45" s="77"/>
      <c r="S45" s="77"/>
      <c r="T45" s="77"/>
      <c r="U45" s="77"/>
      <c r="V45" s="77"/>
      <c r="W45" s="77"/>
      <c r="X45" s="77"/>
      <c r="Y45" s="77"/>
      <c r="Z45" s="77"/>
    </row>
    <row r="46" spans="1:26" x14ac:dyDescent="0.2">
      <c r="B46" s="81">
        <f>B15-B45</f>
        <v>0</v>
      </c>
      <c r="C46" s="81">
        <f t="shared" ref="C46:H46" si="4">C15-C45</f>
        <v>0</v>
      </c>
      <c r="D46" s="81">
        <f t="shared" si="4"/>
        <v>0</v>
      </c>
      <c r="E46" s="81">
        <f t="shared" si="4"/>
        <v>0</v>
      </c>
      <c r="F46" s="81">
        <f t="shared" si="4"/>
        <v>0</v>
      </c>
      <c r="G46" s="81">
        <f t="shared" si="4"/>
        <v>0</v>
      </c>
      <c r="H46" s="73">
        <f t="shared" si="4"/>
        <v>0</v>
      </c>
      <c r="I46" s="73">
        <f t="shared" ref="I46:K46" si="5">I15-I45</f>
        <v>0</v>
      </c>
      <c r="J46" s="73">
        <f t="shared" si="5"/>
        <v>0</v>
      </c>
      <c r="K46" s="73">
        <f t="shared" si="5"/>
        <v>0</v>
      </c>
      <c r="L46" s="73">
        <f t="shared" ref="L46" si="6">L15-L45</f>
        <v>0</v>
      </c>
      <c r="M46" s="73">
        <f>M15-M45</f>
        <v>0</v>
      </c>
      <c r="N46" s="73">
        <f>N15-N45</f>
        <v>0</v>
      </c>
      <c r="O46" s="73">
        <f>O15-O45</f>
        <v>0</v>
      </c>
      <c r="P46" s="73">
        <f>P15-P45</f>
        <v>0</v>
      </c>
      <c r="Q46" s="73">
        <f>Q15-Q45</f>
        <v>0</v>
      </c>
    </row>
    <row r="47" spans="1:26" x14ac:dyDescent="0.2">
      <c r="H47" s="55" t="s">
        <v>119</v>
      </c>
    </row>
    <row r="48" spans="1:26" x14ac:dyDescent="0.2">
      <c r="A48" s="82"/>
    </row>
    <row r="53" spans="1:1" x14ac:dyDescent="0.2">
      <c r="A53" s="82"/>
    </row>
    <row r="61" spans="1:1" x14ac:dyDescent="0.2">
      <c r="A61" s="82"/>
    </row>
    <row r="68" spans="1:1" x14ac:dyDescent="0.2">
      <c r="A68" s="82"/>
    </row>
    <row r="75" spans="1:1" x14ac:dyDescent="0.2">
      <c r="A75" s="82"/>
    </row>
    <row r="85" spans="1:1" x14ac:dyDescent="0.2">
      <c r="A85" s="82"/>
    </row>
  </sheetData>
  <hyperlinks>
    <hyperlink ref="B6" location="Índice!A1" display="Índice"/>
    <hyperlink ref="Q6" location="Índice!A1" display="Índice"/>
  </hyperlinks>
  <pageMargins left="0.51181102362204722" right="0.51181102362204722" top="0.78740157480314965" bottom="0.78740157480314965" header="0.31496062992125984" footer="0.31496062992125984"/>
  <pageSetup paperSize="9" scale="3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/>
  <dimension ref="A1:Y83"/>
  <sheetViews>
    <sheetView showGridLines="0" zoomScaleNormal="100" workbookViewId="0">
      <pane xSplit="1" ySplit="9" topLeftCell="L10" activePane="bottomRight" state="frozen"/>
      <selection activeCell="C15" sqref="C15"/>
      <selection pane="topRight" activeCell="C15" sqref="C15"/>
      <selection pane="bottomLeft" activeCell="C15" sqref="C15"/>
      <selection pane="bottomRight"/>
    </sheetView>
  </sheetViews>
  <sheetFormatPr defaultColWidth="9.140625" defaultRowHeight="12.75" x14ac:dyDescent="0.2"/>
  <cols>
    <col min="1" max="1" width="100.7109375" style="60" customWidth="1"/>
    <col min="2" max="14" width="12" style="60" customWidth="1"/>
    <col min="15" max="15" width="12.7109375" style="60" customWidth="1"/>
    <col min="16" max="17" width="12.7109375" style="60" bestFit="1" customWidth="1"/>
    <col min="18" max="18" width="13.42578125" style="60" bestFit="1" customWidth="1"/>
    <col min="19" max="19" width="11.7109375" style="60" bestFit="1" customWidth="1"/>
    <col min="20" max="25" width="9.42578125" style="60" bestFit="1" customWidth="1"/>
    <col min="26" max="16384" width="9.140625" style="55"/>
  </cols>
  <sheetData>
    <row r="1" spans="1:25" ht="15" x14ac:dyDescent="0.25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25" ht="15" x14ac:dyDescent="0.25">
      <c r="A2" s="56" t="s">
        <v>367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5" ht="6.75" customHeight="1" x14ac:dyDescent="0.25">
      <c r="A3" s="57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5" ht="15" x14ac:dyDescent="0.25">
      <c r="A4" s="56" t="s">
        <v>12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5" spans="1:25" ht="6.75" customHeight="1" x14ac:dyDescent="0.25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</row>
    <row r="6" spans="1:25" ht="15" x14ac:dyDescent="0.25">
      <c r="A6" s="58"/>
      <c r="B6" s="59" t="s">
        <v>13</v>
      </c>
      <c r="C6" s="55"/>
      <c r="D6" s="55"/>
      <c r="E6" s="55"/>
      <c r="F6" s="55"/>
      <c r="G6" s="55"/>
      <c r="H6" s="55"/>
      <c r="M6" s="59"/>
      <c r="N6" s="59"/>
      <c r="P6" s="59"/>
      <c r="Q6" s="59" t="s">
        <v>13</v>
      </c>
      <c r="R6" s="55"/>
      <c r="S6" s="55"/>
      <c r="T6" s="55"/>
      <c r="U6" s="55"/>
      <c r="V6" s="55"/>
      <c r="W6" s="55"/>
      <c r="X6" s="55"/>
      <c r="Y6" s="55"/>
    </row>
    <row r="7" spans="1:25" ht="17.25" customHeight="1" x14ac:dyDescent="0.2">
      <c r="A7" s="61" t="s">
        <v>236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spans="1:25" x14ac:dyDescent="0.2">
      <c r="A8" s="55" t="s">
        <v>208</v>
      </c>
      <c r="B8" s="55" t="s">
        <v>119</v>
      </c>
      <c r="C8" s="55" t="s">
        <v>119</v>
      </c>
      <c r="D8" s="55" t="s">
        <v>119</v>
      </c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</row>
    <row r="9" spans="1:25" x14ac:dyDescent="0.2">
      <c r="A9" s="62"/>
      <c r="B9" s="63">
        <v>43891</v>
      </c>
      <c r="C9" s="63">
        <f>EDATE(B9,3)</f>
        <v>43983</v>
      </c>
      <c r="D9" s="63">
        <f t="shared" ref="D9:Y9" si="0">EDATE(C9,3)</f>
        <v>44075</v>
      </c>
      <c r="E9" s="63">
        <f t="shared" si="0"/>
        <v>44166</v>
      </c>
      <c r="F9" s="63">
        <f t="shared" si="0"/>
        <v>44256</v>
      </c>
      <c r="G9" s="63">
        <f t="shared" si="0"/>
        <v>44348</v>
      </c>
      <c r="H9" s="63">
        <f t="shared" si="0"/>
        <v>44440</v>
      </c>
      <c r="I9" s="63">
        <f t="shared" si="0"/>
        <v>44531</v>
      </c>
      <c r="J9" s="63">
        <f t="shared" si="0"/>
        <v>44621</v>
      </c>
      <c r="K9" s="63">
        <f t="shared" si="0"/>
        <v>44713</v>
      </c>
      <c r="L9" s="63">
        <f t="shared" si="0"/>
        <v>44805</v>
      </c>
      <c r="M9" s="63">
        <f t="shared" si="0"/>
        <v>44896</v>
      </c>
      <c r="N9" s="63">
        <f t="shared" si="0"/>
        <v>44986</v>
      </c>
      <c r="O9" s="63">
        <f t="shared" si="0"/>
        <v>45078</v>
      </c>
      <c r="P9" s="63">
        <f t="shared" si="0"/>
        <v>45170</v>
      </c>
      <c r="Q9" s="63">
        <f t="shared" si="0"/>
        <v>45261</v>
      </c>
      <c r="R9" s="63">
        <f t="shared" si="0"/>
        <v>45352</v>
      </c>
      <c r="S9" s="63">
        <f t="shared" si="0"/>
        <v>45444</v>
      </c>
      <c r="T9" s="63">
        <f t="shared" si="0"/>
        <v>45536</v>
      </c>
      <c r="U9" s="63">
        <f t="shared" si="0"/>
        <v>45627</v>
      </c>
      <c r="V9" s="63">
        <f t="shared" si="0"/>
        <v>45717</v>
      </c>
      <c r="W9" s="63">
        <f t="shared" si="0"/>
        <v>45809</v>
      </c>
      <c r="X9" s="63">
        <f t="shared" si="0"/>
        <v>45901</v>
      </c>
      <c r="Y9" s="63">
        <f t="shared" si="0"/>
        <v>45992</v>
      </c>
    </row>
    <row r="10" spans="1:25" ht="13.5" thickBot="1" x14ac:dyDescent="0.25">
      <c r="A10" s="125" t="s">
        <v>103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7"/>
      <c r="U10" s="127"/>
      <c r="V10" s="127"/>
      <c r="W10" s="127"/>
      <c r="X10" s="127"/>
      <c r="Y10" s="127"/>
    </row>
    <row r="11" spans="1:25" x14ac:dyDescent="0.2">
      <c r="A11" s="128" t="s">
        <v>144</v>
      </c>
      <c r="B11" s="129">
        <f t="shared" ref="B11:Y11" si="1">B12+B17</f>
        <v>1028813.7000000001</v>
      </c>
      <c r="C11" s="129">
        <f t="shared" ref="C11" si="2">C12+C17</f>
        <v>1047665</v>
      </c>
      <c r="D11" s="129">
        <f t="shared" si="1"/>
        <v>1066869</v>
      </c>
      <c r="E11" s="129">
        <f t="shared" si="1"/>
        <v>1034558</v>
      </c>
      <c r="F11" s="129">
        <f t="shared" si="1"/>
        <v>1083545</v>
      </c>
      <c r="G11" s="129">
        <f t="shared" si="1"/>
        <v>1119377</v>
      </c>
      <c r="H11" s="129">
        <f t="shared" si="1"/>
        <v>1158437</v>
      </c>
      <c r="I11" s="129">
        <f t="shared" si="1"/>
        <v>1064835</v>
      </c>
      <c r="J11" s="129">
        <f t="shared" si="1"/>
        <v>1195509</v>
      </c>
      <c r="K11" s="129">
        <f t="shared" si="1"/>
        <v>1233486</v>
      </c>
      <c r="L11" s="129">
        <f t="shared" si="1"/>
        <v>1282124</v>
      </c>
      <c r="M11" s="129">
        <f t="shared" si="1"/>
        <v>1359500</v>
      </c>
      <c r="N11" s="129">
        <f t="shared" si="1"/>
        <v>1588099</v>
      </c>
      <c r="O11" s="129">
        <f>O12+O17</f>
        <v>1634149</v>
      </c>
      <c r="P11" s="129">
        <f>P12+P17</f>
        <v>1720169</v>
      </c>
      <c r="Q11" s="129">
        <f t="shared" si="1"/>
        <v>1878626</v>
      </c>
      <c r="R11" s="129">
        <f t="shared" si="1"/>
        <v>0</v>
      </c>
      <c r="S11" s="129">
        <f t="shared" si="1"/>
        <v>0</v>
      </c>
      <c r="T11" s="129">
        <f t="shared" si="1"/>
        <v>0</v>
      </c>
      <c r="U11" s="129">
        <f t="shared" si="1"/>
        <v>0</v>
      </c>
      <c r="V11" s="129">
        <f t="shared" si="1"/>
        <v>0</v>
      </c>
      <c r="W11" s="129">
        <f t="shared" si="1"/>
        <v>0</v>
      </c>
      <c r="X11" s="129">
        <f t="shared" si="1"/>
        <v>0</v>
      </c>
      <c r="Y11" s="129">
        <f t="shared" si="1"/>
        <v>0</v>
      </c>
    </row>
    <row r="12" spans="1:25" x14ac:dyDescent="0.2">
      <c r="A12" s="130" t="s">
        <v>145</v>
      </c>
      <c r="B12" s="131">
        <f t="shared" ref="B12:Y12" si="3">B13+B14</f>
        <v>751833.70000000007</v>
      </c>
      <c r="C12" s="131">
        <f t="shared" ref="C12" si="4">C13+C14</f>
        <v>764579</v>
      </c>
      <c r="D12" s="131">
        <f t="shared" si="3"/>
        <v>791534</v>
      </c>
      <c r="E12" s="131">
        <f t="shared" si="3"/>
        <v>781972</v>
      </c>
      <c r="F12" s="131">
        <f t="shared" si="3"/>
        <v>838864</v>
      </c>
      <c r="G12" s="131">
        <f t="shared" si="3"/>
        <v>883344</v>
      </c>
      <c r="H12" s="131">
        <f t="shared" si="3"/>
        <v>931772</v>
      </c>
      <c r="I12" s="131">
        <f t="shared" si="3"/>
        <v>868274</v>
      </c>
      <c r="J12" s="131">
        <f t="shared" si="3"/>
        <v>988904</v>
      </c>
      <c r="K12" s="131">
        <f t="shared" si="3"/>
        <v>1003000</v>
      </c>
      <c r="L12" s="131">
        <f t="shared" si="3"/>
        <v>1003106</v>
      </c>
      <c r="M12" s="131">
        <f t="shared" si="3"/>
        <v>1074578</v>
      </c>
      <c r="N12" s="131">
        <f t="shared" si="3"/>
        <v>1150496</v>
      </c>
      <c r="O12" s="131">
        <f t="shared" si="3"/>
        <v>1196343</v>
      </c>
      <c r="P12" s="131">
        <f t="shared" si="3"/>
        <v>1261358</v>
      </c>
      <c r="Q12" s="131">
        <f t="shared" si="3"/>
        <v>1408758</v>
      </c>
      <c r="R12" s="131">
        <f t="shared" si="3"/>
        <v>0</v>
      </c>
      <c r="S12" s="131">
        <f t="shared" si="3"/>
        <v>0</v>
      </c>
      <c r="T12" s="131">
        <f t="shared" si="3"/>
        <v>0</v>
      </c>
      <c r="U12" s="131">
        <f t="shared" si="3"/>
        <v>0</v>
      </c>
      <c r="V12" s="131">
        <f t="shared" si="3"/>
        <v>0</v>
      </c>
      <c r="W12" s="131">
        <f t="shared" si="3"/>
        <v>0</v>
      </c>
      <c r="X12" s="131">
        <f t="shared" si="3"/>
        <v>0</v>
      </c>
      <c r="Y12" s="131">
        <f t="shared" si="3"/>
        <v>0</v>
      </c>
    </row>
    <row r="13" spans="1:25" s="60" customFormat="1" ht="18" customHeight="1" x14ac:dyDescent="0.2">
      <c r="A13" s="132" t="s">
        <v>146</v>
      </c>
      <c r="B13" s="99">
        <v>709237.8</v>
      </c>
      <c r="C13" s="99">
        <v>717073</v>
      </c>
      <c r="D13" s="99">
        <v>743918</v>
      </c>
      <c r="E13" s="99">
        <v>734772</v>
      </c>
      <c r="F13" s="99">
        <v>791668</v>
      </c>
      <c r="G13" s="99">
        <v>835983</v>
      </c>
      <c r="H13" s="99">
        <v>884560</v>
      </c>
      <c r="I13" s="99">
        <v>820423</v>
      </c>
      <c r="J13" s="99">
        <v>941547</v>
      </c>
      <c r="K13" s="99">
        <v>955098</v>
      </c>
      <c r="L13" s="99">
        <v>955410</v>
      </c>
      <c r="M13" s="99">
        <v>1020431</v>
      </c>
      <c r="N13" s="99">
        <v>1089560</v>
      </c>
      <c r="O13" s="99">
        <v>1134474</v>
      </c>
      <c r="P13" s="99">
        <v>1199466</v>
      </c>
      <c r="Q13" s="179">
        <v>1335256</v>
      </c>
      <c r="R13" s="99"/>
      <c r="S13" s="99"/>
      <c r="T13" s="99"/>
      <c r="U13" s="99"/>
      <c r="V13" s="99"/>
      <c r="W13" s="99"/>
      <c r="X13" s="99"/>
      <c r="Y13" s="99"/>
    </row>
    <row r="14" spans="1:25" s="60" customFormat="1" x14ac:dyDescent="0.2">
      <c r="A14" s="132" t="s">
        <v>147</v>
      </c>
      <c r="B14" s="95">
        <f t="shared" ref="B14:Y14" si="5">B15+B16</f>
        <v>42595.9</v>
      </c>
      <c r="C14" s="95">
        <f t="shared" ref="C14" si="6">C15+C16</f>
        <v>47506</v>
      </c>
      <c r="D14" s="95">
        <f>D15+D16</f>
        <v>47616</v>
      </c>
      <c r="E14" s="95">
        <f t="shared" si="5"/>
        <v>47200</v>
      </c>
      <c r="F14" s="95">
        <f t="shared" si="5"/>
        <v>47196</v>
      </c>
      <c r="G14" s="95">
        <f t="shared" si="5"/>
        <v>47361</v>
      </c>
      <c r="H14" s="95">
        <f t="shared" si="5"/>
        <v>47212</v>
      </c>
      <c r="I14" s="95">
        <f t="shared" si="5"/>
        <v>47851</v>
      </c>
      <c r="J14" s="95">
        <f t="shared" si="5"/>
        <v>47357</v>
      </c>
      <c r="K14" s="99">
        <v>47902</v>
      </c>
      <c r="L14" s="99">
        <v>47696</v>
      </c>
      <c r="M14" s="99">
        <v>54147</v>
      </c>
      <c r="N14" s="99">
        <v>60936</v>
      </c>
      <c r="O14" s="99">
        <v>61869</v>
      </c>
      <c r="P14" s="99">
        <v>61892</v>
      </c>
      <c r="Q14" s="179">
        <v>73502</v>
      </c>
      <c r="R14" s="99">
        <f t="shared" si="5"/>
        <v>0</v>
      </c>
      <c r="S14" s="99">
        <f t="shared" si="5"/>
        <v>0</v>
      </c>
      <c r="T14" s="99">
        <f t="shared" si="5"/>
        <v>0</v>
      </c>
      <c r="U14" s="99">
        <f t="shared" si="5"/>
        <v>0</v>
      </c>
      <c r="V14" s="99">
        <f t="shared" si="5"/>
        <v>0</v>
      </c>
      <c r="W14" s="99">
        <f t="shared" si="5"/>
        <v>0</v>
      </c>
      <c r="X14" s="99">
        <f t="shared" si="5"/>
        <v>0</v>
      </c>
      <c r="Y14" s="99">
        <f t="shared" si="5"/>
        <v>0</v>
      </c>
    </row>
    <row r="15" spans="1:25" s="60" customFormat="1" x14ac:dyDescent="0.2">
      <c r="A15" s="132" t="s">
        <v>148</v>
      </c>
      <c r="B15" s="99">
        <v>41652.9</v>
      </c>
      <c r="C15" s="99">
        <v>46549</v>
      </c>
      <c r="D15" s="99">
        <v>46777</v>
      </c>
      <c r="E15" s="99">
        <v>46384</v>
      </c>
      <c r="F15" s="99">
        <v>46444</v>
      </c>
      <c r="G15" s="99">
        <v>46529</v>
      </c>
      <c r="H15" s="99">
        <v>46359</v>
      </c>
      <c r="I15" s="99">
        <v>46930</v>
      </c>
      <c r="J15" s="99">
        <v>46409</v>
      </c>
      <c r="K15" s="99">
        <v>0</v>
      </c>
      <c r="L15" s="99">
        <v>0</v>
      </c>
      <c r="M15" s="99">
        <v>0</v>
      </c>
      <c r="N15" s="99">
        <v>0</v>
      </c>
      <c r="O15" s="99">
        <v>0</v>
      </c>
      <c r="P15" s="99">
        <v>0</v>
      </c>
      <c r="Q15" s="99">
        <v>0</v>
      </c>
      <c r="R15" s="99">
        <v>0</v>
      </c>
      <c r="S15" s="99">
        <v>0</v>
      </c>
      <c r="T15" s="99">
        <v>0</v>
      </c>
      <c r="U15" s="99">
        <v>0</v>
      </c>
      <c r="V15" s="99">
        <v>0</v>
      </c>
      <c r="W15" s="99">
        <v>0</v>
      </c>
      <c r="X15" s="99">
        <v>0</v>
      </c>
      <c r="Y15" s="99">
        <v>0</v>
      </c>
    </row>
    <row r="16" spans="1:25" s="60" customFormat="1" x14ac:dyDescent="0.2">
      <c r="A16" s="132" t="s">
        <v>149</v>
      </c>
      <c r="B16" s="99">
        <v>943</v>
      </c>
      <c r="C16" s="99">
        <v>957</v>
      </c>
      <c r="D16" s="99">
        <v>839</v>
      </c>
      <c r="E16" s="99">
        <v>816</v>
      </c>
      <c r="F16" s="99">
        <v>752</v>
      </c>
      <c r="G16" s="99">
        <v>832</v>
      </c>
      <c r="H16" s="99">
        <v>853</v>
      </c>
      <c r="I16" s="99">
        <v>921</v>
      </c>
      <c r="J16" s="99">
        <v>948</v>
      </c>
      <c r="K16" s="99">
        <v>0</v>
      </c>
      <c r="L16" s="99">
        <v>0</v>
      </c>
      <c r="M16" s="99">
        <v>0</v>
      </c>
      <c r="N16" s="99">
        <v>0</v>
      </c>
      <c r="O16" s="99">
        <v>0</v>
      </c>
      <c r="P16" s="99">
        <v>0</v>
      </c>
      <c r="Q16" s="99">
        <v>0</v>
      </c>
      <c r="R16" s="99">
        <v>0</v>
      </c>
      <c r="S16" s="99">
        <v>0</v>
      </c>
      <c r="T16" s="99">
        <v>0</v>
      </c>
      <c r="U16" s="99">
        <v>0</v>
      </c>
      <c r="V16" s="99">
        <v>0</v>
      </c>
      <c r="W16" s="99">
        <v>0</v>
      </c>
      <c r="X16" s="99">
        <v>0</v>
      </c>
      <c r="Y16" s="99">
        <v>0</v>
      </c>
    </row>
    <row r="17" spans="1:25" x14ac:dyDescent="0.2">
      <c r="A17" s="130" t="s">
        <v>150</v>
      </c>
      <c r="B17" s="131">
        <f>B18+B19-1</f>
        <v>276980</v>
      </c>
      <c r="C17" s="131">
        <f>C18+C19</f>
        <v>283086</v>
      </c>
      <c r="D17" s="131">
        <f t="shared" ref="D17:Y17" si="7">D18+D19</f>
        <v>275335</v>
      </c>
      <c r="E17" s="131">
        <f t="shared" si="7"/>
        <v>252586</v>
      </c>
      <c r="F17" s="131">
        <f t="shared" si="7"/>
        <v>244681</v>
      </c>
      <c r="G17" s="131">
        <f t="shared" si="7"/>
        <v>236033</v>
      </c>
      <c r="H17" s="131">
        <f t="shared" si="7"/>
        <v>226665</v>
      </c>
      <c r="I17" s="131">
        <f t="shared" si="7"/>
        <v>196561</v>
      </c>
      <c r="J17" s="131">
        <f t="shared" si="7"/>
        <v>206605</v>
      </c>
      <c r="K17" s="131">
        <v>230486</v>
      </c>
      <c r="L17" s="131">
        <v>279018</v>
      </c>
      <c r="M17" s="131">
        <v>284922</v>
      </c>
      <c r="N17" s="131">
        <v>437603</v>
      </c>
      <c r="O17" s="131">
        <v>437806</v>
      </c>
      <c r="P17" s="131">
        <v>458811</v>
      </c>
      <c r="Q17" s="131">
        <v>469868</v>
      </c>
      <c r="R17" s="131">
        <f t="shared" si="7"/>
        <v>0</v>
      </c>
      <c r="S17" s="131">
        <f t="shared" si="7"/>
        <v>0</v>
      </c>
      <c r="T17" s="131">
        <f t="shared" si="7"/>
        <v>0</v>
      </c>
      <c r="U17" s="131">
        <f t="shared" si="7"/>
        <v>0</v>
      </c>
      <c r="V17" s="131">
        <f t="shared" si="7"/>
        <v>0</v>
      </c>
      <c r="W17" s="131">
        <f t="shared" si="7"/>
        <v>0</v>
      </c>
      <c r="X17" s="131">
        <f t="shared" si="7"/>
        <v>0</v>
      </c>
      <c r="Y17" s="131">
        <f t="shared" si="7"/>
        <v>0</v>
      </c>
    </row>
    <row r="18" spans="1:25" s="60" customFormat="1" x14ac:dyDescent="0.2">
      <c r="A18" s="132" t="s">
        <v>151</v>
      </c>
      <c r="B18" s="99">
        <v>275723</v>
      </c>
      <c r="C18" s="99">
        <v>281810</v>
      </c>
      <c r="D18" s="99">
        <v>274216</v>
      </c>
      <c r="E18" s="99">
        <v>251498</v>
      </c>
      <c r="F18" s="99">
        <v>243678</v>
      </c>
      <c r="G18" s="99">
        <v>234923</v>
      </c>
      <c r="H18" s="99">
        <v>225528</v>
      </c>
      <c r="I18" s="99">
        <v>195333</v>
      </c>
      <c r="J18" s="99">
        <v>205340</v>
      </c>
      <c r="K18" s="99">
        <v>0</v>
      </c>
      <c r="L18" s="99">
        <v>0</v>
      </c>
      <c r="M18" s="99">
        <v>0</v>
      </c>
      <c r="N18" s="99">
        <v>0</v>
      </c>
      <c r="O18" s="99">
        <v>0</v>
      </c>
      <c r="P18" s="99"/>
      <c r="Q18" s="99">
        <v>0</v>
      </c>
      <c r="R18" s="99"/>
      <c r="S18" s="99"/>
      <c r="T18" s="99"/>
      <c r="U18" s="99"/>
      <c r="V18" s="99"/>
      <c r="W18" s="99"/>
      <c r="X18" s="99"/>
      <c r="Y18" s="99"/>
    </row>
    <row r="19" spans="1:25" s="60" customFormat="1" x14ac:dyDescent="0.2">
      <c r="A19" s="133" t="s">
        <v>152</v>
      </c>
      <c r="B19" s="99">
        <v>1258</v>
      </c>
      <c r="C19" s="99">
        <v>1276</v>
      </c>
      <c r="D19" s="99">
        <v>1119</v>
      </c>
      <c r="E19" s="99">
        <v>1088</v>
      </c>
      <c r="F19" s="99">
        <v>1003</v>
      </c>
      <c r="G19" s="99">
        <v>1110</v>
      </c>
      <c r="H19" s="99">
        <v>1137</v>
      </c>
      <c r="I19" s="99">
        <v>1228</v>
      </c>
      <c r="J19" s="99">
        <v>1265</v>
      </c>
      <c r="K19" s="99">
        <v>0</v>
      </c>
      <c r="L19" s="99">
        <v>0</v>
      </c>
      <c r="M19" s="99">
        <v>0</v>
      </c>
      <c r="N19" s="99">
        <v>0</v>
      </c>
      <c r="O19" s="99">
        <v>0</v>
      </c>
      <c r="P19" s="99"/>
      <c r="Q19" s="99">
        <v>0</v>
      </c>
      <c r="R19" s="99"/>
      <c r="S19" s="99"/>
      <c r="T19" s="99"/>
      <c r="U19" s="99"/>
      <c r="V19" s="99"/>
      <c r="W19" s="99"/>
      <c r="X19" s="99"/>
      <c r="Y19" s="99"/>
    </row>
    <row r="20" spans="1:25" x14ac:dyDescent="0.2">
      <c r="A20" s="134" t="s">
        <v>153</v>
      </c>
      <c r="B20" s="131">
        <f t="shared" ref="B20:Y20" si="8">SUM(B21:B23)</f>
        <v>5865092.4999999991</v>
      </c>
      <c r="C20" s="131">
        <f t="shared" ref="C20" si="9">SUM(C21:C23)</f>
        <v>5795471.2999999998</v>
      </c>
      <c r="D20" s="131">
        <f t="shared" si="8"/>
        <v>5812313</v>
      </c>
      <c r="E20" s="131">
        <f t="shared" si="8"/>
        <v>6232703</v>
      </c>
      <c r="F20" s="131">
        <f t="shared" si="8"/>
        <v>6463065</v>
      </c>
      <c r="G20" s="131">
        <f t="shared" si="8"/>
        <v>6812512</v>
      </c>
      <c r="H20" s="131">
        <f t="shared" si="8"/>
        <v>7259895</v>
      </c>
      <c r="I20" s="131">
        <f t="shared" si="8"/>
        <v>7698797</v>
      </c>
      <c r="J20" s="131">
        <f t="shared" si="8"/>
        <v>8563063</v>
      </c>
      <c r="K20" s="131">
        <f t="shared" si="8"/>
        <v>8483233</v>
      </c>
      <c r="L20" s="131">
        <f t="shared" si="8"/>
        <v>8551897</v>
      </c>
      <c r="M20" s="131">
        <f t="shared" si="8"/>
        <v>8938361</v>
      </c>
      <c r="N20" s="131">
        <f t="shared" si="8"/>
        <v>9671304</v>
      </c>
      <c r="O20" s="131">
        <f t="shared" si="8"/>
        <v>10086257</v>
      </c>
      <c r="P20" s="131">
        <f t="shared" si="8"/>
        <v>10517011</v>
      </c>
      <c r="Q20" s="131">
        <f t="shared" si="8"/>
        <v>11060551</v>
      </c>
      <c r="R20" s="131">
        <f t="shared" si="8"/>
        <v>0</v>
      </c>
      <c r="S20" s="131">
        <f t="shared" si="8"/>
        <v>0</v>
      </c>
      <c r="T20" s="131">
        <f t="shared" si="8"/>
        <v>0</v>
      </c>
      <c r="U20" s="131">
        <f t="shared" si="8"/>
        <v>0</v>
      </c>
      <c r="V20" s="131">
        <f t="shared" si="8"/>
        <v>0</v>
      </c>
      <c r="W20" s="131">
        <f t="shared" si="8"/>
        <v>0</v>
      </c>
      <c r="X20" s="131">
        <f t="shared" si="8"/>
        <v>0</v>
      </c>
      <c r="Y20" s="131">
        <f t="shared" si="8"/>
        <v>0</v>
      </c>
    </row>
    <row r="21" spans="1:25" s="60" customFormat="1" ht="14.25" x14ac:dyDescent="0.2">
      <c r="A21" s="133" t="s">
        <v>353</v>
      </c>
      <c r="B21" s="99">
        <v>4704783.5999999996</v>
      </c>
      <c r="C21" s="99">
        <v>4751364</v>
      </c>
      <c r="D21" s="99">
        <v>4864786</v>
      </c>
      <c r="E21" s="99">
        <v>5290346</v>
      </c>
      <c r="F21" s="99">
        <v>5578645</v>
      </c>
      <c r="G21" s="99">
        <v>5925333</v>
      </c>
      <c r="H21" s="99">
        <v>6180609</v>
      </c>
      <c r="I21" s="99">
        <v>6621652</v>
      </c>
      <c r="J21" s="99">
        <v>7324024</v>
      </c>
      <c r="K21" s="99">
        <v>7241945</v>
      </c>
      <c r="L21" s="99">
        <v>7436982</v>
      </c>
      <c r="M21" s="99">
        <v>7822444</v>
      </c>
      <c r="N21" s="99">
        <v>8463740</v>
      </c>
      <c r="O21" s="99">
        <v>8882139</v>
      </c>
      <c r="P21" s="99">
        <v>9201558</v>
      </c>
      <c r="Q21" s="179">
        <v>9751330</v>
      </c>
      <c r="R21" s="99"/>
      <c r="S21" s="99"/>
      <c r="T21" s="99"/>
      <c r="U21" s="99"/>
      <c r="V21" s="99"/>
      <c r="W21" s="99"/>
      <c r="X21" s="99"/>
      <c r="Y21" s="99"/>
    </row>
    <row r="22" spans="1:25" s="60" customFormat="1" ht="14.25" x14ac:dyDescent="0.2">
      <c r="A22" s="133" t="s">
        <v>354</v>
      </c>
      <c r="B22" s="99">
        <v>118077.6</v>
      </c>
      <c r="C22" s="99">
        <v>1876</v>
      </c>
      <c r="D22" s="99">
        <v>7891</v>
      </c>
      <c r="E22" s="99">
        <v>2721</v>
      </c>
      <c r="F22" s="99">
        <v>4176</v>
      </c>
      <c r="G22" s="99">
        <v>6935</v>
      </c>
      <c r="H22" s="99">
        <v>5158</v>
      </c>
      <c r="I22" s="99">
        <v>3017</v>
      </c>
      <c r="J22" s="99">
        <v>4903</v>
      </c>
      <c r="K22" s="99">
        <v>7152</v>
      </c>
      <c r="L22" s="99">
        <v>4658</v>
      </c>
      <c r="M22" s="99">
        <v>5660</v>
      </c>
      <c r="N22" s="99">
        <v>6898</v>
      </c>
      <c r="O22" s="99">
        <v>3452</v>
      </c>
      <c r="P22" s="99">
        <v>11343</v>
      </c>
      <c r="Q22" s="179">
        <v>5111</v>
      </c>
      <c r="R22" s="99"/>
      <c r="S22" s="99"/>
      <c r="T22" s="99"/>
      <c r="U22" s="99"/>
      <c r="V22" s="99"/>
      <c r="W22" s="99"/>
      <c r="X22" s="99"/>
      <c r="Y22" s="99"/>
    </row>
    <row r="23" spans="1:25" s="60" customFormat="1" ht="14.25" x14ac:dyDescent="0.2">
      <c r="A23" s="133" t="s">
        <v>355</v>
      </c>
      <c r="B23" s="99">
        <v>1042231.3</v>
      </c>
      <c r="C23" s="99">
        <v>1042231.3</v>
      </c>
      <c r="D23" s="99">
        <v>939636</v>
      </c>
      <c r="E23" s="99">
        <v>939636</v>
      </c>
      <c r="F23" s="99">
        <v>880244</v>
      </c>
      <c r="G23" s="99">
        <v>880244</v>
      </c>
      <c r="H23" s="99">
        <v>1074128</v>
      </c>
      <c r="I23" s="99">
        <v>1074128</v>
      </c>
      <c r="J23" s="99">
        <v>1234136</v>
      </c>
      <c r="K23" s="99">
        <v>1234136</v>
      </c>
      <c r="L23" s="99">
        <v>1110257</v>
      </c>
      <c r="M23" s="99">
        <v>1110257</v>
      </c>
      <c r="N23" s="99">
        <v>1200666</v>
      </c>
      <c r="O23" s="99">
        <v>1200666</v>
      </c>
      <c r="P23" s="99">
        <v>1304110</v>
      </c>
      <c r="Q23" s="179">
        <v>1304110</v>
      </c>
      <c r="R23" s="99"/>
      <c r="S23" s="99"/>
      <c r="T23" s="99"/>
      <c r="U23" s="99"/>
      <c r="V23" s="99"/>
      <c r="W23" s="99"/>
      <c r="X23" s="99"/>
      <c r="Y23" s="99"/>
    </row>
    <row r="24" spans="1:25" x14ac:dyDescent="0.2">
      <c r="A24" s="130" t="s">
        <v>283</v>
      </c>
      <c r="B24" s="131">
        <f t="shared" ref="B24:J24" si="10">B20*8%</f>
        <v>469207.39999999991</v>
      </c>
      <c r="C24" s="131">
        <f t="shared" ref="C24" si="11">C20*8%</f>
        <v>463637.70399999997</v>
      </c>
      <c r="D24" s="131">
        <f t="shared" si="10"/>
        <v>464985.04000000004</v>
      </c>
      <c r="E24" s="131">
        <f t="shared" si="10"/>
        <v>498616.24</v>
      </c>
      <c r="F24" s="131">
        <f t="shared" si="10"/>
        <v>517045.2</v>
      </c>
      <c r="G24" s="131">
        <f t="shared" si="10"/>
        <v>545000.95999999996</v>
      </c>
      <c r="H24" s="131">
        <f t="shared" si="10"/>
        <v>580791.6</v>
      </c>
      <c r="I24" s="131">
        <f t="shared" si="10"/>
        <v>615903.76</v>
      </c>
      <c r="J24" s="131">
        <f t="shared" si="10"/>
        <v>685045.04</v>
      </c>
      <c r="K24" s="131">
        <v>0</v>
      </c>
      <c r="L24" s="131">
        <v>0</v>
      </c>
      <c r="M24" s="131">
        <v>0</v>
      </c>
      <c r="N24" s="131">
        <v>0</v>
      </c>
      <c r="O24" s="131">
        <v>0</v>
      </c>
      <c r="P24" s="131">
        <v>0</v>
      </c>
      <c r="Q24" s="131">
        <v>0</v>
      </c>
      <c r="R24" s="131">
        <v>0</v>
      </c>
      <c r="S24" s="131">
        <v>0</v>
      </c>
      <c r="T24" s="131">
        <v>0</v>
      </c>
      <c r="U24" s="131">
        <v>0</v>
      </c>
      <c r="V24" s="131">
        <v>0</v>
      </c>
      <c r="W24" s="131">
        <v>0</v>
      </c>
      <c r="X24" s="131">
        <v>0</v>
      </c>
      <c r="Y24" s="131">
        <v>0</v>
      </c>
    </row>
    <row r="25" spans="1:25" x14ac:dyDescent="0.2">
      <c r="A25" s="135" t="s">
        <v>154</v>
      </c>
      <c r="B25" s="99">
        <f>B11-B24+1</f>
        <v>559607.30000000016</v>
      </c>
      <c r="C25" s="99">
        <f>C11-C24</f>
        <v>584027.29600000009</v>
      </c>
      <c r="D25" s="99">
        <f t="shared" ref="D25:I25" si="12">D11-D24</f>
        <v>601883.96</v>
      </c>
      <c r="E25" s="99">
        <f t="shared" si="12"/>
        <v>535941.76</v>
      </c>
      <c r="F25" s="99">
        <f t="shared" si="12"/>
        <v>566499.80000000005</v>
      </c>
      <c r="G25" s="99">
        <v>574376</v>
      </c>
      <c r="H25" s="99">
        <f t="shared" si="12"/>
        <v>577645.4</v>
      </c>
      <c r="I25" s="99">
        <f t="shared" si="12"/>
        <v>448931.24</v>
      </c>
      <c r="J25" s="99">
        <v>510464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99">
        <v>0</v>
      </c>
      <c r="Q25" s="99">
        <v>0</v>
      </c>
      <c r="R25" s="99">
        <v>0</v>
      </c>
      <c r="S25" s="99">
        <v>0</v>
      </c>
      <c r="T25" s="99">
        <v>0</v>
      </c>
      <c r="U25" s="99">
        <v>0</v>
      </c>
      <c r="V25" s="99">
        <v>0</v>
      </c>
      <c r="W25" s="99">
        <v>0</v>
      </c>
      <c r="X25" s="99">
        <v>0</v>
      </c>
      <c r="Y25" s="99">
        <v>0</v>
      </c>
    </row>
    <row r="26" spans="1:25" x14ac:dyDescent="0.2">
      <c r="A26" s="130" t="s">
        <v>155</v>
      </c>
      <c r="B26" s="131">
        <f t="shared" ref="B26:J26" si="13">B20*6%</f>
        <v>351905.54999999993</v>
      </c>
      <c r="C26" s="131">
        <f t="shared" ref="C26" si="14">C20*6%</f>
        <v>347728.27799999999</v>
      </c>
      <c r="D26" s="131">
        <f t="shared" si="13"/>
        <v>348738.77999999997</v>
      </c>
      <c r="E26" s="131">
        <f t="shared" si="13"/>
        <v>373962.18</v>
      </c>
      <c r="F26" s="131">
        <f t="shared" si="13"/>
        <v>387783.89999999997</v>
      </c>
      <c r="G26" s="131">
        <f t="shared" si="13"/>
        <v>408750.72</v>
      </c>
      <c r="H26" s="131">
        <f t="shared" si="13"/>
        <v>435593.7</v>
      </c>
      <c r="I26" s="131">
        <f t="shared" si="13"/>
        <v>461927.82</v>
      </c>
      <c r="J26" s="131">
        <f t="shared" si="13"/>
        <v>513783.77999999997</v>
      </c>
      <c r="K26" s="131">
        <v>0</v>
      </c>
      <c r="L26" s="131">
        <v>0</v>
      </c>
      <c r="M26" s="131">
        <v>0</v>
      </c>
      <c r="N26" s="131">
        <v>0</v>
      </c>
      <c r="O26" s="131">
        <v>0</v>
      </c>
      <c r="P26" s="131">
        <v>0</v>
      </c>
      <c r="Q26" s="131">
        <v>0</v>
      </c>
      <c r="R26" s="131">
        <v>0</v>
      </c>
      <c r="S26" s="131">
        <v>0</v>
      </c>
      <c r="T26" s="131">
        <v>0</v>
      </c>
      <c r="U26" s="131">
        <v>0</v>
      </c>
      <c r="V26" s="131">
        <v>0</v>
      </c>
      <c r="W26" s="131">
        <v>0</v>
      </c>
      <c r="X26" s="131">
        <v>0</v>
      </c>
      <c r="Y26" s="131">
        <v>0</v>
      </c>
    </row>
    <row r="27" spans="1:25" x14ac:dyDescent="0.2">
      <c r="A27" s="135" t="s">
        <v>156</v>
      </c>
      <c r="B27" s="99">
        <f t="shared" ref="B27:J27" si="15">B12-B26</f>
        <v>399928.15000000014</v>
      </c>
      <c r="C27" s="99">
        <f t="shared" ref="C27" si="16">C12-C26</f>
        <v>416850.72200000001</v>
      </c>
      <c r="D27" s="99">
        <f t="shared" si="15"/>
        <v>442795.22000000003</v>
      </c>
      <c r="E27" s="99">
        <f t="shared" si="15"/>
        <v>408009.82</v>
      </c>
      <c r="F27" s="99">
        <f t="shared" si="15"/>
        <v>451080.10000000003</v>
      </c>
      <c r="G27" s="99">
        <f t="shared" si="15"/>
        <v>474593.28000000003</v>
      </c>
      <c r="H27" s="99">
        <f t="shared" si="15"/>
        <v>496178.3</v>
      </c>
      <c r="I27" s="99">
        <f t="shared" si="15"/>
        <v>406346.18</v>
      </c>
      <c r="J27" s="99">
        <f t="shared" si="15"/>
        <v>475120.22000000003</v>
      </c>
      <c r="K27" s="99">
        <v>0</v>
      </c>
      <c r="L27" s="99">
        <v>0</v>
      </c>
      <c r="M27" s="99">
        <v>0</v>
      </c>
      <c r="N27" s="99">
        <v>0</v>
      </c>
      <c r="O27" s="99">
        <v>0</v>
      </c>
      <c r="P27" s="99">
        <v>0</v>
      </c>
      <c r="Q27" s="99">
        <v>0</v>
      </c>
      <c r="R27" s="99">
        <v>0</v>
      </c>
      <c r="S27" s="99">
        <v>0</v>
      </c>
      <c r="T27" s="99">
        <v>0</v>
      </c>
      <c r="U27" s="99">
        <v>0</v>
      </c>
      <c r="V27" s="99">
        <v>0</v>
      </c>
      <c r="W27" s="99">
        <v>0</v>
      </c>
      <c r="X27" s="99">
        <v>0</v>
      </c>
      <c r="Y27" s="99">
        <v>0</v>
      </c>
    </row>
    <row r="28" spans="1:25" x14ac:dyDescent="0.2">
      <c r="A28" s="134" t="s">
        <v>157</v>
      </c>
      <c r="B28" s="131">
        <f t="shared" ref="B28:J28" si="17">B20*4.5%</f>
        <v>263929.16249999998</v>
      </c>
      <c r="C28" s="131">
        <f t="shared" ref="C28" si="18">C20*4.5%</f>
        <v>260796.20849999998</v>
      </c>
      <c r="D28" s="131">
        <f t="shared" si="17"/>
        <v>261554.08499999999</v>
      </c>
      <c r="E28" s="131">
        <f t="shared" si="17"/>
        <v>280471.63500000001</v>
      </c>
      <c r="F28" s="131">
        <f t="shared" si="17"/>
        <v>290837.92499999999</v>
      </c>
      <c r="G28" s="131">
        <f t="shared" si="17"/>
        <v>306563.03999999998</v>
      </c>
      <c r="H28" s="131">
        <f t="shared" si="17"/>
        <v>326695.27499999997</v>
      </c>
      <c r="I28" s="131">
        <f t="shared" si="17"/>
        <v>346445.86499999999</v>
      </c>
      <c r="J28" s="131">
        <f t="shared" si="17"/>
        <v>385337.83499999996</v>
      </c>
      <c r="K28" s="131">
        <v>0</v>
      </c>
      <c r="L28" s="131">
        <v>0</v>
      </c>
      <c r="M28" s="131">
        <v>0</v>
      </c>
      <c r="N28" s="131">
        <v>0</v>
      </c>
      <c r="O28" s="131">
        <v>0</v>
      </c>
      <c r="P28" s="131">
        <v>0</v>
      </c>
      <c r="Q28" s="131">
        <v>0</v>
      </c>
      <c r="R28" s="131">
        <v>0</v>
      </c>
      <c r="S28" s="131">
        <v>0</v>
      </c>
      <c r="T28" s="131">
        <v>0</v>
      </c>
      <c r="U28" s="131">
        <v>0</v>
      </c>
      <c r="V28" s="131">
        <v>0</v>
      </c>
      <c r="W28" s="131">
        <v>0</v>
      </c>
      <c r="X28" s="131">
        <v>0</v>
      </c>
      <c r="Y28" s="131">
        <v>0</v>
      </c>
    </row>
    <row r="29" spans="1:25" x14ac:dyDescent="0.2">
      <c r="A29" s="136" t="s">
        <v>158</v>
      </c>
      <c r="B29" s="108">
        <f t="shared" ref="B29:J29" si="19">B13-B28</f>
        <v>445308.63750000007</v>
      </c>
      <c r="C29" s="108">
        <f t="shared" ref="C29" si="20">C13-C28</f>
        <v>456276.79150000005</v>
      </c>
      <c r="D29" s="108">
        <f t="shared" si="19"/>
        <v>482363.91500000004</v>
      </c>
      <c r="E29" s="108">
        <f t="shared" si="19"/>
        <v>454300.36499999999</v>
      </c>
      <c r="F29" s="108">
        <f t="shared" si="19"/>
        <v>500830.07500000001</v>
      </c>
      <c r="G29" s="108">
        <f t="shared" si="19"/>
        <v>529419.96</v>
      </c>
      <c r="H29" s="108">
        <f t="shared" si="19"/>
        <v>557864.72500000009</v>
      </c>
      <c r="I29" s="108">
        <f t="shared" si="19"/>
        <v>473977.13500000001</v>
      </c>
      <c r="J29" s="108">
        <f t="shared" si="19"/>
        <v>556209.16500000004</v>
      </c>
      <c r="K29" s="108">
        <v>0</v>
      </c>
      <c r="L29" s="108">
        <v>0</v>
      </c>
      <c r="M29" s="108">
        <v>0</v>
      </c>
      <c r="N29" s="108">
        <v>0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08">
        <v>0</v>
      </c>
      <c r="U29" s="108">
        <v>0</v>
      </c>
      <c r="V29" s="108">
        <v>0</v>
      </c>
      <c r="W29" s="108">
        <v>0</v>
      </c>
      <c r="X29" s="108">
        <v>0</v>
      </c>
      <c r="Y29" s="108">
        <v>0</v>
      </c>
    </row>
    <row r="30" spans="1:25" s="60" customFormat="1" ht="14.25" x14ac:dyDescent="0.2">
      <c r="A30" s="137" t="s">
        <v>356</v>
      </c>
      <c r="B30" s="138">
        <v>53486</v>
      </c>
      <c r="C30" s="138">
        <v>60619</v>
      </c>
      <c r="D30" s="138">
        <v>87562</v>
      </c>
      <c r="E30" s="138">
        <v>112732</v>
      </c>
      <c r="F30" s="138">
        <v>119634</v>
      </c>
      <c r="G30" s="138">
        <v>108983</v>
      </c>
      <c r="H30" s="138">
        <v>132049</v>
      </c>
      <c r="I30" s="138">
        <v>125024</v>
      </c>
      <c r="J30" s="138">
        <v>105226</v>
      </c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</row>
    <row r="31" spans="1:25" ht="14.25" x14ac:dyDescent="0.2">
      <c r="A31" s="134" t="s">
        <v>357</v>
      </c>
      <c r="B31" s="131">
        <f t="shared" ref="B31:L31" si="21">B24+B30</f>
        <v>522693.39999999991</v>
      </c>
      <c r="C31" s="131">
        <f t="shared" ref="C31" si="22">C24+C30</f>
        <v>524256.70399999997</v>
      </c>
      <c r="D31" s="131">
        <f t="shared" si="21"/>
        <v>552547.04</v>
      </c>
      <c r="E31" s="131">
        <f t="shared" si="21"/>
        <v>611348.24</v>
      </c>
      <c r="F31" s="131">
        <f t="shared" si="21"/>
        <v>636679.19999999995</v>
      </c>
      <c r="G31" s="131">
        <f t="shared" si="21"/>
        <v>653983.96</v>
      </c>
      <c r="H31" s="131">
        <f t="shared" si="21"/>
        <v>712840.6</v>
      </c>
      <c r="I31" s="131">
        <f t="shared" si="21"/>
        <v>740927.76</v>
      </c>
      <c r="J31" s="131">
        <f t="shared" si="21"/>
        <v>790271.04</v>
      </c>
      <c r="K31" s="131">
        <f t="shared" si="21"/>
        <v>0</v>
      </c>
      <c r="L31" s="131">
        <f t="shared" si="21"/>
        <v>0</v>
      </c>
      <c r="M31" s="131">
        <f t="shared" ref="M31:Y31" si="23">M24+M30</f>
        <v>0</v>
      </c>
      <c r="N31" s="131">
        <f t="shared" si="23"/>
        <v>0</v>
      </c>
      <c r="O31" s="131">
        <f t="shared" si="23"/>
        <v>0</v>
      </c>
      <c r="P31" s="131">
        <f t="shared" si="23"/>
        <v>0</v>
      </c>
      <c r="Q31" s="131">
        <f t="shared" si="23"/>
        <v>0</v>
      </c>
      <c r="R31" s="131">
        <f t="shared" si="23"/>
        <v>0</v>
      </c>
      <c r="S31" s="131">
        <f t="shared" si="23"/>
        <v>0</v>
      </c>
      <c r="T31" s="131">
        <f t="shared" si="23"/>
        <v>0</v>
      </c>
      <c r="U31" s="131">
        <f t="shared" si="23"/>
        <v>0</v>
      </c>
      <c r="V31" s="131">
        <f t="shared" si="23"/>
        <v>0</v>
      </c>
      <c r="W31" s="131">
        <f t="shared" si="23"/>
        <v>0</v>
      </c>
      <c r="X31" s="131">
        <f t="shared" si="23"/>
        <v>0</v>
      </c>
      <c r="Y31" s="131">
        <f t="shared" si="23"/>
        <v>0</v>
      </c>
    </row>
    <row r="32" spans="1:25" ht="14.25" x14ac:dyDescent="0.2">
      <c r="A32" s="135" t="s">
        <v>358</v>
      </c>
      <c r="B32" s="109">
        <f>B11-B31+1</f>
        <v>506121.30000000016</v>
      </c>
      <c r="C32" s="109">
        <f>C11-C31</f>
        <v>523408.29600000003</v>
      </c>
      <c r="D32" s="109">
        <f t="shared" ref="D32:J32" si="24">D11-D31</f>
        <v>514321.95999999996</v>
      </c>
      <c r="E32" s="109">
        <f t="shared" si="24"/>
        <v>423209.76</v>
      </c>
      <c r="F32" s="109">
        <f t="shared" si="24"/>
        <v>446865.80000000005</v>
      </c>
      <c r="G32" s="109">
        <f t="shared" si="24"/>
        <v>465393.04000000004</v>
      </c>
      <c r="H32" s="109">
        <f t="shared" si="24"/>
        <v>445596.4</v>
      </c>
      <c r="I32" s="109">
        <f t="shared" si="24"/>
        <v>323907.24</v>
      </c>
      <c r="J32" s="109">
        <f t="shared" si="24"/>
        <v>405237.95999999996</v>
      </c>
      <c r="K32" s="109">
        <v>0</v>
      </c>
      <c r="L32" s="109">
        <v>0</v>
      </c>
      <c r="M32" s="109">
        <v>0</v>
      </c>
      <c r="N32" s="109">
        <v>0</v>
      </c>
      <c r="O32" s="109">
        <v>0</v>
      </c>
      <c r="P32" s="109">
        <v>0</v>
      </c>
      <c r="Q32" s="109">
        <v>0</v>
      </c>
      <c r="R32" s="109">
        <v>0</v>
      </c>
      <c r="S32" s="109">
        <v>0</v>
      </c>
      <c r="T32" s="109">
        <v>0</v>
      </c>
      <c r="U32" s="109">
        <v>0</v>
      </c>
      <c r="V32" s="109">
        <v>0</v>
      </c>
      <c r="W32" s="109">
        <v>0</v>
      </c>
      <c r="X32" s="109">
        <v>0</v>
      </c>
      <c r="Y32" s="109">
        <v>0</v>
      </c>
    </row>
    <row r="33" spans="1:25" x14ac:dyDescent="0.2">
      <c r="A33" s="130" t="s">
        <v>329</v>
      </c>
      <c r="B33" s="139">
        <f t="shared" ref="B33" si="25">B20*2.5%</f>
        <v>146627.31249999997</v>
      </c>
      <c r="C33" s="139">
        <f>C20*1.25%</f>
        <v>72443.391250000001</v>
      </c>
      <c r="D33" s="139">
        <f t="shared" ref="D33:F33" si="26">D20*1.25%</f>
        <v>72653.912500000006</v>
      </c>
      <c r="E33" s="139">
        <f>E20*1.25%</f>
        <v>77908.787500000006</v>
      </c>
      <c r="F33" s="139">
        <f t="shared" si="26"/>
        <v>80788.3125</v>
      </c>
      <c r="G33" s="139">
        <f>G20*1.625%</f>
        <v>110703.32</v>
      </c>
      <c r="H33" s="139">
        <f>H20*1.625%</f>
        <v>117973.29375</v>
      </c>
      <c r="I33" s="139">
        <f>I20*2%</f>
        <v>153975.94</v>
      </c>
      <c r="J33" s="139">
        <f>J20*2%</f>
        <v>171261.26</v>
      </c>
      <c r="K33" s="139">
        <v>0</v>
      </c>
      <c r="L33" s="139">
        <v>0</v>
      </c>
      <c r="M33" s="139">
        <v>0</v>
      </c>
      <c r="N33" s="139">
        <v>0</v>
      </c>
      <c r="O33" s="139">
        <v>0</v>
      </c>
      <c r="P33" s="139">
        <v>0</v>
      </c>
      <c r="Q33" s="139">
        <v>0</v>
      </c>
      <c r="R33" s="139">
        <v>0</v>
      </c>
      <c r="S33" s="139">
        <v>0</v>
      </c>
      <c r="T33" s="139">
        <v>0</v>
      </c>
      <c r="U33" s="139">
        <v>0</v>
      </c>
      <c r="V33" s="139">
        <v>0</v>
      </c>
      <c r="W33" s="139">
        <v>0</v>
      </c>
      <c r="X33" s="139">
        <v>0</v>
      </c>
      <c r="Y33" s="139">
        <v>0</v>
      </c>
    </row>
    <row r="34" spans="1:25" ht="15" x14ac:dyDescent="0.2">
      <c r="A34" s="140" t="s">
        <v>359</v>
      </c>
      <c r="B34" s="141">
        <f t="shared" ref="B34:Y34" si="27">B11/B20</f>
        <v>0.17541303909529138</v>
      </c>
      <c r="C34" s="141">
        <f t="shared" ref="C34" si="28">C11/C20</f>
        <v>0.18077304601611952</v>
      </c>
      <c r="D34" s="141">
        <f t="shared" si="27"/>
        <v>0.18355326012208908</v>
      </c>
      <c r="E34" s="141">
        <f t="shared" si="27"/>
        <v>0.16598865692782089</v>
      </c>
      <c r="F34" s="141">
        <f t="shared" si="27"/>
        <v>0.16765188033850811</v>
      </c>
      <c r="G34" s="141">
        <f t="shared" si="27"/>
        <v>0.16431193075329628</v>
      </c>
      <c r="H34" s="141">
        <f t="shared" si="27"/>
        <v>0.15956663285075059</v>
      </c>
      <c r="I34" s="141">
        <f t="shared" si="27"/>
        <v>0.13831186872442539</v>
      </c>
      <c r="J34" s="141">
        <f t="shared" si="27"/>
        <v>0.13961230928699228</v>
      </c>
      <c r="K34" s="141">
        <f t="shared" si="27"/>
        <v>0.14540281989189735</v>
      </c>
      <c r="L34" s="141">
        <f t="shared" si="27"/>
        <v>0.14992275982743947</v>
      </c>
      <c r="M34" s="141">
        <f t="shared" si="27"/>
        <v>0.15209723572364106</v>
      </c>
      <c r="N34" s="141">
        <f t="shared" si="27"/>
        <v>0.16420732922881962</v>
      </c>
      <c r="O34" s="141">
        <f>O11/O20</f>
        <v>0.16201738662816148</v>
      </c>
      <c r="P34" s="141">
        <f t="shared" ref="P34:Q34" si="29">P11/P20</f>
        <v>0.16356063524132475</v>
      </c>
      <c r="Q34" s="175">
        <f t="shared" si="29"/>
        <v>0.1698492236055871</v>
      </c>
      <c r="R34" s="181" t="e">
        <f t="shared" si="27"/>
        <v>#DIV/0!</v>
      </c>
      <c r="S34" s="175" t="e">
        <f t="shared" si="27"/>
        <v>#DIV/0!</v>
      </c>
      <c r="T34" s="175" t="e">
        <f t="shared" si="27"/>
        <v>#DIV/0!</v>
      </c>
      <c r="U34" s="175" t="e">
        <f t="shared" si="27"/>
        <v>#DIV/0!</v>
      </c>
      <c r="V34" s="175" t="e">
        <f t="shared" si="27"/>
        <v>#DIV/0!</v>
      </c>
      <c r="W34" s="175" t="e">
        <f t="shared" si="27"/>
        <v>#DIV/0!</v>
      </c>
      <c r="X34" s="175" t="e">
        <f t="shared" si="27"/>
        <v>#DIV/0!</v>
      </c>
      <c r="Y34" s="175" t="e">
        <f t="shared" si="27"/>
        <v>#DIV/0!</v>
      </c>
    </row>
    <row r="35" spans="1:25" x14ac:dyDescent="0.2">
      <c r="A35" s="134" t="s">
        <v>159</v>
      </c>
      <c r="B35" s="142">
        <f t="shared" ref="B35:Y35" si="30">B12/B20</f>
        <v>0.12818786745477589</v>
      </c>
      <c r="C35" s="142">
        <f t="shared" ref="C35" si="31">C12/C20</f>
        <v>0.13192697546444584</v>
      </c>
      <c r="D35" s="142">
        <f t="shared" si="30"/>
        <v>0.13618227373508618</v>
      </c>
      <c r="E35" s="142">
        <f t="shared" si="30"/>
        <v>0.12546274064398705</v>
      </c>
      <c r="F35" s="142">
        <f t="shared" si="30"/>
        <v>0.12979352675549449</v>
      </c>
      <c r="G35" s="142">
        <f t="shared" si="30"/>
        <v>0.12966494591128794</v>
      </c>
      <c r="H35" s="142">
        <f t="shared" si="30"/>
        <v>0.12834510691959045</v>
      </c>
      <c r="I35" s="142">
        <f t="shared" si="30"/>
        <v>0.11278047726157736</v>
      </c>
      <c r="J35" s="142">
        <f t="shared" si="30"/>
        <v>0.11548484461693205</v>
      </c>
      <c r="K35" s="142">
        <f t="shared" si="30"/>
        <v>0.11823322546958218</v>
      </c>
      <c r="L35" s="142">
        <f t="shared" si="30"/>
        <v>0.11729631449022362</v>
      </c>
      <c r="M35" s="142">
        <f t="shared" si="30"/>
        <v>0.12022092193412193</v>
      </c>
      <c r="N35" s="142">
        <f t="shared" si="30"/>
        <v>0.11895975971802768</v>
      </c>
      <c r="O35" s="142">
        <f t="shared" si="30"/>
        <v>0.11861119541173698</v>
      </c>
      <c r="P35" s="142">
        <f t="shared" si="30"/>
        <v>0.11993502716693935</v>
      </c>
      <c r="Q35" s="176">
        <f t="shared" si="30"/>
        <v>0.12736779569119117</v>
      </c>
      <c r="R35" s="182" t="e">
        <f t="shared" si="30"/>
        <v>#DIV/0!</v>
      </c>
      <c r="S35" s="176" t="e">
        <f t="shared" si="30"/>
        <v>#DIV/0!</v>
      </c>
      <c r="T35" s="176" t="e">
        <f t="shared" si="30"/>
        <v>#DIV/0!</v>
      </c>
      <c r="U35" s="176" t="e">
        <f t="shared" si="30"/>
        <v>#DIV/0!</v>
      </c>
      <c r="V35" s="176" t="e">
        <f t="shared" si="30"/>
        <v>#DIV/0!</v>
      </c>
      <c r="W35" s="176" t="e">
        <f t="shared" si="30"/>
        <v>#DIV/0!</v>
      </c>
      <c r="X35" s="176" t="e">
        <f t="shared" si="30"/>
        <v>#DIV/0!</v>
      </c>
      <c r="Y35" s="176" t="e">
        <f t="shared" si="30"/>
        <v>#DIV/0!</v>
      </c>
    </row>
    <row r="36" spans="1:25" x14ac:dyDescent="0.2">
      <c r="A36" s="134" t="s">
        <v>284</v>
      </c>
      <c r="B36" s="142">
        <f t="shared" ref="B36:Y36" si="32">B13/B20</f>
        <v>0.1209252539495328</v>
      </c>
      <c r="C36" s="142">
        <f t="shared" ref="C36" si="33">C13/C20</f>
        <v>0.12372988543658218</v>
      </c>
      <c r="D36" s="142">
        <f t="shared" si="32"/>
        <v>0.12799001017323053</v>
      </c>
      <c r="E36" s="142">
        <f t="shared" si="32"/>
        <v>0.11788978233039502</v>
      </c>
      <c r="F36" s="142">
        <f t="shared" si="32"/>
        <v>0.12249110909452404</v>
      </c>
      <c r="G36" s="142">
        <f t="shared" si="32"/>
        <v>0.122712884762625</v>
      </c>
      <c r="H36" s="142">
        <f t="shared" si="32"/>
        <v>0.1218419825631087</v>
      </c>
      <c r="I36" s="142">
        <f t="shared" si="32"/>
        <v>0.10656509062389877</v>
      </c>
      <c r="J36" s="142">
        <f t="shared" si="32"/>
        <v>0.10995446372402025</v>
      </c>
      <c r="K36" s="142">
        <f t="shared" si="32"/>
        <v>0.11258655750702591</v>
      </c>
      <c r="L36" s="142">
        <f t="shared" si="32"/>
        <v>0.1117190723882666</v>
      </c>
      <c r="M36" s="142">
        <f t="shared" si="32"/>
        <v>0.1141630999240241</v>
      </c>
      <c r="N36" s="142">
        <f t="shared" si="32"/>
        <v>0.11265905817871096</v>
      </c>
      <c r="O36" s="142">
        <f t="shared" si="32"/>
        <v>0.11247720536964306</v>
      </c>
      <c r="P36" s="142">
        <f t="shared" si="32"/>
        <v>0.1140500851430126</v>
      </c>
      <c r="Q36" s="176">
        <f t="shared" si="32"/>
        <v>0.1207223763083774</v>
      </c>
      <c r="R36" s="182" t="e">
        <f t="shared" si="32"/>
        <v>#DIV/0!</v>
      </c>
      <c r="S36" s="176" t="e">
        <f t="shared" si="32"/>
        <v>#DIV/0!</v>
      </c>
      <c r="T36" s="176" t="e">
        <f t="shared" si="32"/>
        <v>#DIV/0!</v>
      </c>
      <c r="U36" s="176" t="e">
        <f t="shared" si="32"/>
        <v>#DIV/0!</v>
      </c>
      <c r="V36" s="176" t="e">
        <f t="shared" si="32"/>
        <v>#DIV/0!</v>
      </c>
      <c r="W36" s="176" t="e">
        <f t="shared" si="32"/>
        <v>#DIV/0!</v>
      </c>
      <c r="X36" s="176" t="e">
        <f t="shared" si="32"/>
        <v>#DIV/0!</v>
      </c>
      <c r="Y36" s="176" t="e">
        <f t="shared" si="32"/>
        <v>#DIV/0!</v>
      </c>
    </row>
    <row r="37" spans="1:25" x14ac:dyDescent="0.2">
      <c r="A37" s="82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</row>
    <row r="38" spans="1:25" x14ac:dyDescent="0.2">
      <c r="A38" s="8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0"/>
      <c r="S38" s="110"/>
    </row>
    <row r="39" spans="1:25" x14ac:dyDescent="0.2"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06"/>
      <c r="S39" s="106"/>
    </row>
    <row r="40" spans="1:25" x14ac:dyDescent="0.2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06"/>
      <c r="S40" s="106"/>
    </row>
    <row r="41" spans="1:25" x14ac:dyDescent="0.2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06"/>
      <c r="S41" s="106"/>
    </row>
    <row r="42" spans="1:25" x14ac:dyDescent="0.2">
      <c r="A42" s="8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06"/>
      <c r="S42" s="106"/>
    </row>
    <row r="43" spans="1:25" x14ac:dyDescent="0.2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0"/>
      <c r="S43" s="110"/>
    </row>
    <row r="44" spans="1:25" x14ac:dyDescent="0.2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0"/>
      <c r="S44" s="110"/>
    </row>
    <row r="45" spans="1:25" x14ac:dyDescent="0.2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0"/>
      <c r="S45" s="110"/>
    </row>
    <row r="46" spans="1:25" x14ac:dyDescent="0.2">
      <c r="A46" s="8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06"/>
      <c r="S46" s="106"/>
    </row>
    <row r="47" spans="1:25" x14ac:dyDescent="0.2"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06"/>
      <c r="S47" s="106"/>
    </row>
    <row r="48" spans="1:25" x14ac:dyDescent="0.2"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06"/>
      <c r="S48" s="106"/>
    </row>
    <row r="49" spans="1:19" x14ac:dyDescent="0.2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06"/>
      <c r="S49" s="106"/>
    </row>
    <row r="50" spans="1:19" x14ac:dyDescent="0.2"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</row>
    <row r="51" spans="1:19" x14ac:dyDescent="0.2">
      <c r="A51" s="82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</row>
    <row r="52" spans="1:19" x14ac:dyDescent="0.2"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</row>
    <row r="53" spans="1:19" x14ac:dyDescent="0.2"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</row>
    <row r="54" spans="1:19" x14ac:dyDescent="0.2"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</row>
    <row r="55" spans="1:19" x14ac:dyDescent="0.2"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</row>
    <row r="56" spans="1:19" x14ac:dyDescent="0.2"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</row>
    <row r="57" spans="1:19" x14ac:dyDescent="0.2"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10"/>
      <c r="S57" s="110"/>
    </row>
    <row r="58" spans="1:19" x14ac:dyDescent="0.2"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</row>
    <row r="59" spans="1:19" x14ac:dyDescent="0.2">
      <c r="A59" s="82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</row>
    <row r="60" spans="1:19" x14ac:dyDescent="0.2"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</row>
    <row r="61" spans="1:19" x14ac:dyDescent="0.2"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</row>
    <row r="62" spans="1:19" x14ac:dyDescent="0.2"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</row>
    <row r="63" spans="1:19" x14ac:dyDescent="0.2"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</row>
    <row r="64" spans="1:19" x14ac:dyDescent="0.2"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</row>
    <row r="65" spans="1:19" x14ac:dyDescent="0.2"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</row>
    <row r="66" spans="1:19" x14ac:dyDescent="0.2">
      <c r="A66" s="82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</row>
    <row r="67" spans="1:19" x14ac:dyDescent="0.2"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10"/>
      <c r="S67" s="110"/>
    </row>
    <row r="68" spans="1:19" x14ac:dyDescent="0.2"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10"/>
      <c r="S68" s="110"/>
    </row>
    <row r="69" spans="1:19" x14ac:dyDescent="0.2"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10"/>
      <c r="S69" s="110"/>
    </row>
    <row r="70" spans="1:19" x14ac:dyDescent="0.2"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</row>
    <row r="71" spans="1:19" x14ac:dyDescent="0.2"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</row>
    <row r="73" spans="1:19" x14ac:dyDescent="0.2">
      <c r="A73" s="82"/>
    </row>
    <row r="74" spans="1:19" x14ac:dyDescent="0.2"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</row>
    <row r="75" spans="1:19" x14ac:dyDescent="0.2"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</row>
    <row r="76" spans="1:19" x14ac:dyDescent="0.2"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</row>
    <row r="77" spans="1:19" x14ac:dyDescent="0.2"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</row>
    <row r="78" spans="1:19" x14ac:dyDescent="0.2"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</row>
    <row r="79" spans="1:19" x14ac:dyDescent="0.2"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</row>
    <row r="80" spans="1:19" x14ac:dyDescent="0.2"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</row>
    <row r="81" spans="1:25" x14ac:dyDescent="0.2"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</row>
    <row r="82" spans="1:25" x14ac:dyDescent="0.2"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</row>
    <row r="83" spans="1:25" x14ac:dyDescent="0.2">
      <c r="A83" s="82"/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82"/>
      <c r="S83" s="82"/>
      <c r="T83" s="82"/>
      <c r="U83" s="82"/>
      <c r="V83" s="82"/>
      <c r="W83" s="82"/>
      <c r="X83" s="82"/>
      <c r="Y83" s="82"/>
    </row>
  </sheetData>
  <hyperlinks>
    <hyperlink ref="B6" location="Índice!A1" display="Índice"/>
    <hyperlink ref="Q6" location="Índice!A1" display="Índice"/>
  </hyperlinks>
  <pageMargins left="0.51181102362204722" right="0.51181102362204722" top="0.78740157480314965" bottom="0.78740157480314965" header="0.31496062992125984" footer="0.31496062992125984"/>
  <pageSetup paperSize="9" scale="35" orientation="landscape" r:id="rId1"/>
  <ignoredErrors>
    <ignoredError sqref="G33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A1:Y71"/>
  <sheetViews>
    <sheetView showGridLines="0" zoomScaleNormal="100" workbookViewId="0">
      <pane xSplit="1" ySplit="9" topLeftCell="K10" activePane="bottomRight" state="frozen"/>
      <selection activeCell="C15" sqref="C15"/>
      <selection pane="topRight" activeCell="C15" sqref="C15"/>
      <selection pane="bottomLeft" activeCell="C15" sqref="C15"/>
      <selection pane="bottomRight"/>
    </sheetView>
  </sheetViews>
  <sheetFormatPr defaultColWidth="9.140625" defaultRowHeight="12.75" x14ac:dyDescent="0.2"/>
  <cols>
    <col min="1" max="1" width="63.7109375" style="60" customWidth="1"/>
    <col min="2" max="25" width="12.7109375" style="60" customWidth="1"/>
    <col min="26" max="16384" width="9.140625" style="55"/>
  </cols>
  <sheetData>
    <row r="1" spans="1:25" ht="15" x14ac:dyDescent="0.25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25" ht="15" x14ac:dyDescent="0.25">
      <c r="A2" s="56" t="s">
        <v>367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5" ht="6.75" customHeight="1" x14ac:dyDescent="0.25">
      <c r="A3" s="57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 t="s">
        <v>119</v>
      </c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5" ht="15" x14ac:dyDescent="0.25">
      <c r="A4" s="56" t="s">
        <v>12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5" spans="1:25" ht="6.75" customHeight="1" x14ac:dyDescent="0.25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</row>
    <row r="6" spans="1:25" ht="15" x14ac:dyDescent="0.25">
      <c r="A6" s="58"/>
      <c r="B6" s="55"/>
      <c r="C6" s="59" t="s">
        <v>13</v>
      </c>
      <c r="D6" s="55"/>
      <c r="E6" s="55"/>
      <c r="F6" s="55"/>
      <c r="G6" s="55"/>
      <c r="H6" s="55"/>
      <c r="I6" s="55"/>
      <c r="J6" s="55"/>
      <c r="Q6" s="55"/>
      <c r="R6" s="55"/>
      <c r="S6" s="59" t="s">
        <v>13</v>
      </c>
      <c r="T6" s="55"/>
      <c r="U6" s="55"/>
      <c r="V6" s="55"/>
      <c r="W6" s="55"/>
      <c r="X6" s="55"/>
      <c r="Y6" s="55"/>
    </row>
    <row r="7" spans="1:25" ht="17.25" customHeight="1" x14ac:dyDescent="0.2">
      <c r="A7" s="61" t="s">
        <v>106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spans="1:25" x14ac:dyDescent="0.2">
      <c r="A8" s="55"/>
      <c r="B8" s="55"/>
      <c r="C8" s="55"/>
      <c r="D8" s="55"/>
      <c r="E8" s="55"/>
      <c r="F8" s="55" t="s">
        <v>119</v>
      </c>
      <c r="G8" s="55" t="s">
        <v>119</v>
      </c>
      <c r="H8" s="55" t="s">
        <v>119</v>
      </c>
      <c r="I8" s="55" t="s">
        <v>119</v>
      </c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</row>
    <row r="9" spans="1:25" x14ac:dyDescent="0.2">
      <c r="A9" s="62"/>
      <c r="B9" s="63">
        <v>43891</v>
      </c>
      <c r="C9" s="63">
        <f>EDATE(B9,3)</f>
        <v>43983</v>
      </c>
      <c r="D9" s="63">
        <f>EDATE(C9,3)</f>
        <v>44075</v>
      </c>
      <c r="E9" s="63">
        <f>EDATE(D9,3)</f>
        <v>44166</v>
      </c>
      <c r="F9" s="63">
        <f t="shared" ref="F9:Y9" si="0">EDATE(E9,3)</f>
        <v>44256</v>
      </c>
      <c r="G9" s="63">
        <f t="shared" si="0"/>
        <v>44348</v>
      </c>
      <c r="H9" s="63">
        <f t="shared" si="0"/>
        <v>44440</v>
      </c>
      <c r="I9" s="63">
        <f t="shared" si="0"/>
        <v>44531</v>
      </c>
      <c r="J9" s="63">
        <f t="shared" si="0"/>
        <v>44621</v>
      </c>
      <c r="K9" s="63">
        <f t="shared" si="0"/>
        <v>44713</v>
      </c>
      <c r="L9" s="63">
        <f t="shared" si="0"/>
        <v>44805</v>
      </c>
      <c r="M9" s="63">
        <f t="shared" si="0"/>
        <v>44896</v>
      </c>
      <c r="N9" s="63">
        <f t="shared" si="0"/>
        <v>44986</v>
      </c>
      <c r="O9" s="63">
        <f t="shared" si="0"/>
        <v>45078</v>
      </c>
      <c r="P9" s="63">
        <f t="shared" si="0"/>
        <v>45170</v>
      </c>
      <c r="Q9" s="63">
        <f t="shared" si="0"/>
        <v>45261</v>
      </c>
      <c r="R9" s="63">
        <f t="shared" si="0"/>
        <v>45352</v>
      </c>
      <c r="S9" s="63">
        <f t="shared" si="0"/>
        <v>45444</v>
      </c>
      <c r="T9" s="63">
        <f t="shared" si="0"/>
        <v>45536</v>
      </c>
      <c r="U9" s="63">
        <f t="shared" si="0"/>
        <v>45627</v>
      </c>
      <c r="V9" s="63">
        <f t="shared" si="0"/>
        <v>45717</v>
      </c>
      <c r="W9" s="63">
        <f t="shared" si="0"/>
        <v>45809</v>
      </c>
      <c r="X9" s="63">
        <f t="shared" si="0"/>
        <v>45901</v>
      </c>
      <c r="Y9" s="63">
        <f t="shared" si="0"/>
        <v>45992</v>
      </c>
    </row>
    <row r="10" spans="1:25" x14ac:dyDescent="0.2">
      <c r="A10" s="114" t="s">
        <v>107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6"/>
      <c r="V10" s="116"/>
      <c r="W10" s="116"/>
      <c r="X10" s="116"/>
      <c r="Y10" s="116"/>
    </row>
    <row r="11" spans="1:25" s="94" customFormat="1" x14ac:dyDescent="0.2">
      <c r="A11" s="117" t="s">
        <v>347</v>
      </c>
      <c r="B11" s="95">
        <v>0</v>
      </c>
      <c r="C11" s="95">
        <v>0</v>
      </c>
      <c r="D11" s="95">
        <v>0</v>
      </c>
      <c r="E11" s="95">
        <v>42220</v>
      </c>
      <c r="F11" s="118">
        <v>0</v>
      </c>
      <c r="G11" s="95">
        <v>22029</v>
      </c>
      <c r="H11" s="118">
        <v>0</v>
      </c>
      <c r="I11" s="95">
        <v>25388</v>
      </c>
      <c r="J11" s="118">
        <v>0</v>
      </c>
      <c r="K11" s="118">
        <v>0</v>
      </c>
      <c r="L11" s="95">
        <v>39126</v>
      </c>
      <c r="M11" s="95">
        <v>57957</v>
      </c>
      <c r="N11" s="95">
        <v>19686</v>
      </c>
      <c r="O11" s="95">
        <v>48651</v>
      </c>
      <c r="P11" s="95">
        <v>29545</v>
      </c>
      <c r="Q11" s="95">
        <v>81349</v>
      </c>
      <c r="R11" s="97"/>
      <c r="S11" s="119"/>
      <c r="T11" s="120"/>
      <c r="U11" s="120"/>
      <c r="V11" s="120"/>
      <c r="W11" s="120"/>
      <c r="X11" s="120"/>
      <c r="Y11" s="120"/>
    </row>
    <row r="12" spans="1:25" x14ac:dyDescent="0.2">
      <c r="A12" s="121" t="s">
        <v>317</v>
      </c>
      <c r="B12" s="122">
        <v>0</v>
      </c>
      <c r="C12" s="122">
        <v>0</v>
      </c>
      <c r="D12" s="122">
        <v>0</v>
      </c>
      <c r="E12" s="122">
        <v>0.77610800000000002</v>
      </c>
      <c r="F12" s="101">
        <v>0</v>
      </c>
      <c r="G12" s="122">
        <v>0.2024745</v>
      </c>
      <c r="H12" s="101">
        <v>0</v>
      </c>
      <c r="I12" s="122">
        <v>0.23455599999999999</v>
      </c>
      <c r="J12" s="101">
        <v>0</v>
      </c>
      <c r="K12" s="101">
        <v>0</v>
      </c>
      <c r="L12" s="122">
        <v>0.36088799999999999</v>
      </c>
      <c r="M12" s="122">
        <v>0.53458315000000001</v>
      </c>
      <c r="N12" s="122">
        <f>0.181575</f>
        <v>0.18157499999999999</v>
      </c>
      <c r="O12" s="122">
        <v>0.448739</v>
      </c>
      <c r="P12" s="122">
        <v>0.27252284817743772</v>
      </c>
      <c r="Q12" s="122">
        <v>0.75034900000000004</v>
      </c>
      <c r="R12" s="97"/>
      <c r="S12" s="96"/>
      <c r="T12" s="97"/>
      <c r="U12" s="97"/>
      <c r="V12" s="97"/>
      <c r="W12" s="97"/>
      <c r="X12" s="97"/>
      <c r="Y12" s="97"/>
    </row>
    <row r="13" spans="1:25" x14ac:dyDescent="0.2">
      <c r="A13" s="121" t="s">
        <v>318</v>
      </c>
      <c r="B13" s="122">
        <v>0</v>
      </c>
      <c r="C13" s="122">
        <v>0</v>
      </c>
      <c r="D13" s="122">
        <v>0</v>
      </c>
      <c r="E13" s="122">
        <v>0.85371900000000001</v>
      </c>
      <c r="F13" s="101">
        <v>0</v>
      </c>
      <c r="G13" s="122">
        <v>0.2256273</v>
      </c>
      <c r="H13" s="101">
        <v>0</v>
      </c>
      <c r="I13" s="122">
        <v>0.25801200000000002</v>
      </c>
      <c r="J13" s="101">
        <v>0</v>
      </c>
      <c r="K13" s="101">
        <v>0</v>
      </c>
      <c r="L13" s="122">
        <v>0.39697700000000002</v>
      </c>
      <c r="M13" s="122">
        <v>0.58804102999999996</v>
      </c>
      <c r="N13" s="122">
        <v>0.19973199999999999</v>
      </c>
      <c r="O13" s="122">
        <v>0.49361300000000002</v>
      </c>
      <c r="P13" s="122">
        <v>0.29977513299518149</v>
      </c>
      <c r="Q13" s="122">
        <v>0.82538299999999998</v>
      </c>
      <c r="R13" s="101"/>
      <c r="S13" s="101"/>
      <c r="T13" s="101"/>
      <c r="U13" s="123"/>
      <c r="V13" s="123"/>
      <c r="W13" s="123"/>
      <c r="X13" s="123"/>
      <c r="Y13" s="123"/>
    </row>
    <row r="14" spans="1:25" x14ac:dyDescent="0.2">
      <c r="A14" s="121"/>
      <c r="B14" s="122"/>
      <c r="C14" s="122"/>
      <c r="D14" s="122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22"/>
      <c r="R14" s="101"/>
      <c r="S14" s="101"/>
      <c r="T14" s="101"/>
      <c r="U14" s="123"/>
      <c r="V14" s="123"/>
      <c r="W14" s="123"/>
      <c r="X14" s="123"/>
      <c r="Y14" s="123"/>
    </row>
    <row r="15" spans="1:25" s="94" customFormat="1" x14ac:dyDescent="0.2">
      <c r="A15" s="117" t="s">
        <v>348</v>
      </c>
      <c r="B15" s="95">
        <v>0</v>
      </c>
      <c r="C15" s="95">
        <v>0</v>
      </c>
      <c r="D15" s="95">
        <v>0</v>
      </c>
      <c r="E15" s="95">
        <v>35887</v>
      </c>
      <c r="F15" s="118">
        <v>0</v>
      </c>
      <c r="G15" s="95">
        <v>18725</v>
      </c>
      <c r="H15" s="118">
        <v>0</v>
      </c>
      <c r="I15" s="95">
        <v>21579</v>
      </c>
      <c r="J15" s="118">
        <v>0</v>
      </c>
      <c r="K15" s="118">
        <v>0</v>
      </c>
      <c r="L15" s="95">
        <v>33257</v>
      </c>
      <c r="M15" s="95">
        <v>49264</v>
      </c>
      <c r="N15" s="95">
        <v>16733</v>
      </c>
      <c r="O15" s="95">
        <v>41353</v>
      </c>
      <c r="P15" s="95">
        <v>25114</v>
      </c>
      <c r="Q15" s="95">
        <v>69147</v>
      </c>
      <c r="R15" s="101" t="s">
        <v>119</v>
      </c>
      <c r="S15" s="118"/>
      <c r="T15" s="118"/>
      <c r="U15" s="91"/>
      <c r="V15" s="91"/>
      <c r="W15" s="91"/>
      <c r="X15" s="91"/>
      <c r="Y15" s="91"/>
    </row>
    <row r="16" spans="1:25" x14ac:dyDescent="0.2">
      <c r="A16" s="121" t="s">
        <v>317</v>
      </c>
      <c r="B16" s="122">
        <v>0</v>
      </c>
      <c r="C16" s="122">
        <v>0</v>
      </c>
      <c r="D16" s="122">
        <v>0</v>
      </c>
      <c r="E16" s="122">
        <v>0.65969199999999995</v>
      </c>
      <c r="F16" s="101">
        <v>0</v>
      </c>
      <c r="G16" s="122">
        <v>0.172103325</v>
      </c>
      <c r="H16" s="101">
        <v>0</v>
      </c>
      <c r="I16" s="122">
        <v>0.19937259999999998</v>
      </c>
      <c r="J16" s="101">
        <v>0</v>
      </c>
      <c r="K16" s="101">
        <v>0</v>
      </c>
      <c r="L16" s="122">
        <v>0.30675503999999998</v>
      </c>
      <c r="M16" s="122">
        <v>0.45439568000000002</v>
      </c>
      <c r="N16" s="122">
        <v>0.154339</v>
      </c>
      <c r="O16" s="171">
        <v>0.38142799999999999</v>
      </c>
      <c r="P16" s="122">
        <v>0.23164442095082205</v>
      </c>
      <c r="Q16" s="122">
        <v>0.63779600000000003</v>
      </c>
      <c r="R16" s="101"/>
      <c r="S16" s="106"/>
      <c r="T16" s="106"/>
    </row>
    <row r="17" spans="1:20" x14ac:dyDescent="0.2">
      <c r="A17" s="121" t="s">
        <v>318</v>
      </c>
      <c r="B17" s="122">
        <v>0</v>
      </c>
      <c r="C17" s="122">
        <v>0</v>
      </c>
      <c r="D17" s="122">
        <v>0</v>
      </c>
      <c r="E17" s="122">
        <v>0.72565999999999997</v>
      </c>
      <c r="F17" s="101">
        <v>0</v>
      </c>
      <c r="G17" s="122">
        <v>0.19178320500000001</v>
      </c>
      <c r="H17" s="101">
        <v>0</v>
      </c>
      <c r="I17" s="122">
        <v>0.21931020000000001</v>
      </c>
      <c r="J17" s="101">
        <v>0</v>
      </c>
      <c r="K17" s="101">
        <v>0</v>
      </c>
      <c r="L17" s="122">
        <v>0.33743029000000002</v>
      </c>
      <c r="M17" s="122">
        <v>0.49983525000000001</v>
      </c>
      <c r="N17" s="122" t="s">
        <v>350</v>
      </c>
      <c r="O17" s="171">
        <v>0.41957</v>
      </c>
      <c r="P17" s="171">
        <v>0.25480886304590428</v>
      </c>
      <c r="Q17" s="171">
        <v>0.70157599999999998</v>
      </c>
      <c r="R17" s="106"/>
      <c r="S17" s="106"/>
      <c r="T17" s="106"/>
    </row>
    <row r="18" spans="1:20" x14ac:dyDescent="0.2">
      <c r="A18" s="82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71"/>
      <c r="P18" s="171"/>
      <c r="Q18" s="171"/>
      <c r="R18" s="106"/>
      <c r="S18" s="106"/>
      <c r="T18" s="106"/>
    </row>
    <row r="19" spans="1:20" x14ac:dyDescent="0.2">
      <c r="A19" s="117" t="s">
        <v>342</v>
      </c>
      <c r="B19" s="95">
        <v>0</v>
      </c>
      <c r="C19" s="95">
        <v>0</v>
      </c>
      <c r="D19" s="95">
        <v>0</v>
      </c>
      <c r="E19" s="95">
        <v>0</v>
      </c>
      <c r="F19" s="95">
        <v>0</v>
      </c>
      <c r="G19" s="95">
        <v>0</v>
      </c>
      <c r="H19" s="95">
        <v>0</v>
      </c>
      <c r="I19" s="95">
        <v>3514</v>
      </c>
      <c r="J19" s="95">
        <v>0</v>
      </c>
      <c r="K19" s="95">
        <v>23491</v>
      </c>
      <c r="L19" s="95">
        <v>0</v>
      </c>
      <c r="M19" s="95">
        <v>0</v>
      </c>
      <c r="N19" s="95">
        <v>0</v>
      </c>
      <c r="O19" s="95">
        <v>0</v>
      </c>
      <c r="P19" s="95">
        <v>0</v>
      </c>
      <c r="Q19" s="95">
        <v>0</v>
      </c>
      <c r="R19" s="106"/>
      <c r="S19" s="106"/>
      <c r="T19" s="106"/>
    </row>
    <row r="20" spans="1:20" x14ac:dyDescent="0.2">
      <c r="A20" s="121" t="s">
        <v>343</v>
      </c>
      <c r="B20" s="122">
        <v>0</v>
      </c>
      <c r="C20" s="122">
        <v>0</v>
      </c>
      <c r="D20" s="122">
        <v>0</v>
      </c>
      <c r="E20" s="122">
        <v>0</v>
      </c>
      <c r="F20" s="122">
        <v>0</v>
      </c>
      <c r="G20" s="122">
        <v>0</v>
      </c>
      <c r="H20" s="122">
        <v>0</v>
      </c>
      <c r="I20" s="122">
        <v>3.2461999999999998E-2</v>
      </c>
      <c r="J20" s="122">
        <v>0</v>
      </c>
      <c r="K20" s="122">
        <v>0.21591604</v>
      </c>
      <c r="L20" s="122">
        <v>0</v>
      </c>
      <c r="M20" s="122">
        <v>0</v>
      </c>
      <c r="N20" s="122">
        <v>0</v>
      </c>
      <c r="O20" s="122">
        <v>0</v>
      </c>
      <c r="P20" s="122">
        <v>0</v>
      </c>
      <c r="Q20" s="122">
        <v>0</v>
      </c>
      <c r="R20" s="106"/>
      <c r="S20" s="106"/>
      <c r="T20" s="106"/>
    </row>
    <row r="21" spans="1:20" x14ac:dyDescent="0.2">
      <c r="A21" s="121" t="s">
        <v>344</v>
      </c>
      <c r="B21" s="122">
        <v>0</v>
      </c>
      <c r="C21" s="122">
        <v>0</v>
      </c>
      <c r="D21" s="122">
        <v>0</v>
      </c>
      <c r="E21" s="122">
        <v>0</v>
      </c>
      <c r="F21" s="122">
        <v>0</v>
      </c>
      <c r="G21" s="122">
        <v>0</v>
      </c>
      <c r="H21" s="122">
        <v>0</v>
      </c>
      <c r="I21" s="122">
        <v>3.5728000000000003E-2</v>
      </c>
      <c r="J21" s="122">
        <v>0</v>
      </c>
      <c r="K21" s="122">
        <v>0.23750764999999999</v>
      </c>
      <c r="L21" s="122">
        <v>0</v>
      </c>
      <c r="M21" s="122">
        <v>0</v>
      </c>
      <c r="N21" s="122">
        <v>0</v>
      </c>
      <c r="O21" s="122">
        <v>0</v>
      </c>
      <c r="P21" s="122">
        <v>0</v>
      </c>
      <c r="Q21" s="122">
        <v>0</v>
      </c>
      <c r="R21" s="106"/>
      <c r="S21" s="106"/>
      <c r="T21" s="106"/>
    </row>
    <row r="22" spans="1:20" x14ac:dyDescent="0.2"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 t="s">
        <v>119</v>
      </c>
      <c r="N22" s="106" t="s">
        <v>119</v>
      </c>
      <c r="O22" s="106" t="s">
        <v>119</v>
      </c>
      <c r="P22" s="124"/>
      <c r="Q22" s="106"/>
      <c r="R22" s="106"/>
      <c r="S22" s="106"/>
      <c r="T22" s="106"/>
    </row>
    <row r="23" spans="1:20" x14ac:dyDescent="0.2"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06" t="s">
        <v>119</v>
      </c>
      <c r="P23" s="124"/>
      <c r="Q23" s="106"/>
      <c r="R23" s="106"/>
      <c r="S23" s="106"/>
      <c r="T23" s="106"/>
    </row>
    <row r="24" spans="1:20" x14ac:dyDescent="0.2">
      <c r="B24" s="106"/>
      <c r="C24" s="106"/>
      <c r="D24" s="106"/>
      <c r="E24" s="106"/>
      <c r="F24" s="106"/>
      <c r="G24" s="106"/>
      <c r="H24" s="124"/>
      <c r="I24" s="124"/>
      <c r="J24" s="124"/>
      <c r="K24" s="124"/>
      <c r="L24" s="124"/>
      <c r="M24" s="124"/>
      <c r="N24" s="106"/>
      <c r="O24" s="106" t="s">
        <v>119</v>
      </c>
      <c r="P24" s="124"/>
      <c r="Q24" s="106"/>
      <c r="R24" s="106"/>
      <c r="S24" s="106"/>
      <c r="T24" s="106"/>
    </row>
    <row r="25" spans="1:20" x14ac:dyDescent="0.2">
      <c r="A25" s="82"/>
      <c r="B25" s="106"/>
      <c r="C25" s="106"/>
      <c r="D25" s="106"/>
      <c r="E25" s="106"/>
      <c r="F25" s="106"/>
      <c r="G25" s="106"/>
      <c r="H25" s="124"/>
      <c r="I25" s="124"/>
      <c r="J25" s="124"/>
      <c r="K25" s="124"/>
      <c r="L25" s="124"/>
      <c r="M25" s="124"/>
      <c r="N25" s="106"/>
      <c r="O25" s="106" t="s">
        <v>119</v>
      </c>
      <c r="P25" s="124"/>
      <c r="Q25" s="106"/>
      <c r="R25" s="106"/>
      <c r="S25" s="106"/>
      <c r="T25" s="106"/>
    </row>
    <row r="26" spans="1:20" x14ac:dyDescent="0.2">
      <c r="A26" s="82"/>
      <c r="B26" s="112"/>
      <c r="C26" s="112"/>
      <c r="D26" s="112"/>
      <c r="E26" s="112"/>
      <c r="F26" s="112"/>
      <c r="G26" s="112"/>
      <c r="H26" s="124"/>
      <c r="I26" s="124"/>
      <c r="J26" s="124"/>
      <c r="K26" s="124"/>
      <c r="L26" s="124"/>
      <c r="M26" s="124"/>
      <c r="N26" s="112"/>
      <c r="O26" s="106" t="s">
        <v>119</v>
      </c>
      <c r="P26" s="124"/>
      <c r="Q26" s="110"/>
      <c r="R26" s="110"/>
      <c r="S26" s="110"/>
      <c r="T26" s="110"/>
    </row>
    <row r="27" spans="1:20" x14ac:dyDescent="0.2">
      <c r="B27" s="112"/>
      <c r="C27" s="112"/>
      <c r="D27" s="112"/>
      <c r="E27" s="112"/>
      <c r="F27" s="112"/>
      <c r="G27" s="112"/>
      <c r="H27" s="112"/>
      <c r="I27" s="112"/>
      <c r="J27" s="112"/>
      <c r="K27" s="124" t="s">
        <v>119</v>
      </c>
      <c r="L27" s="124"/>
      <c r="M27" s="124"/>
      <c r="N27" s="112" t="s">
        <v>119</v>
      </c>
      <c r="O27" s="106" t="s">
        <v>119</v>
      </c>
      <c r="P27" s="124"/>
      <c r="Q27" s="106"/>
      <c r="R27" s="106"/>
      <c r="S27" s="106"/>
      <c r="T27" s="106"/>
    </row>
    <row r="28" spans="1:20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24"/>
      <c r="L28" s="124"/>
      <c r="M28" s="124"/>
      <c r="N28" s="112"/>
      <c r="O28" s="106" t="s">
        <v>119</v>
      </c>
      <c r="P28" s="124"/>
      <c r="Q28" s="106"/>
      <c r="R28" s="106"/>
      <c r="S28" s="106"/>
      <c r="T28" s="106"/>
    </row>
    <row r="29" spans="1:20" x14ac:dyDescent="0.2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06"/>
      <c r="R29" s="106"/>
      <c r="S29" s="106"/>
      <c r="T29" s="106"/>
    </row>
    <row r="30" spans="1:20" x14ac:dyDescent="0.2">
      <c r="A30" s="8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06"/>
      <c r="R30" s="106"/>
      <c r="S30" s="106"/>
      <c r="T30" s="106"/>
    </row>
    <row r="31" spans="1:20" x14ac:dyDescent="0.2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0"/>
      <c r="R31" s="110"/>
      <c r="S31" s="110"/>
      <c r="T31" s="110"/>
    </row>
    <row r="32" spans="1:20" x14ac:dyDescent="0.2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0"/>
      <c r="R32" s="110"/>
      <c r="S32" s="110"/>
      <c r="T32" s="110"/>
    </row>
    <row r="33" spans="1:20" x14ac:dyDescent="0.2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0"/>
      <c r="R33" s="110"/>
      <c r="S33" s="110"/>
      <c r="T33" s="110"/>
    </row>
    <row r="34" spans="1:20" x14ac:dyDescent="0.2">
      <c r="A34" s="8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06"/>
      <c r="R34" s="106"/>
      <c r="S34" s="106"/>
      <c r="T34" s="106"/>
    </row>
    <row r="35" spans="1:20" x14ac:dyDescent="0.2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06"/>
      <c r="R35" s="106"/>
      <c r="S35" s="106"/>
      <c r="T35" s="106"/>
    </row>
    <row r="36" spans="1:20" x14ac:dyDescent="0.2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06"/>
      <c r="R36" s="106"/>
      <c r="S36" s="106"/>
      <c r="T36" s="106"/>
    </row>
    <row r="37" spans="1:20" x14ac:dyDescent="0.2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06"/>
      <c r="R37" s="106"/>
      <c r="S37" s="106"/>
      <c r="T37" s="106"/>
    </row>
    <row r="38" spans="1:20" x14ac:dyDescent="0.2"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</row>
    <row r="39" spans="1:20" x14ac:dyDescent="0.2">
      <c r="A39" s="82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</row>
    <row r="40" spans="1:20" x14ac:dyDescent="0.2"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</row>
    <row r="41" spans="1:20" x14ac:dyDescent="0.2"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</row>
    <row r="42" spans="1:20" x14ac:dyDescent="0.2"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</row>
    <row r="43" spans="1:20" x14ac:dyDescent="0.2"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</row>
    <row r="44" spans="1:20" x14ac:dyDescent="0.2"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</row>
    <row r="45" spans="1:20" x14ac:dyDescent="0.2"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10"/>
      <c r="R45" s="110"/>
      <c r="S45" s="110"/>
      <c r="T45" s="110"/>
    </row>
    <row r="46" spans="1:20" x14ac:dyDescent="0.2"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</row>
    <row r="47" spans="1:20" x14ac:dyDescent="0.2">
      <c r="A47" s="82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</row>
    <row r="48" spans="1:20" x14ac:dyDescent="0.2"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</row>
    <row r="49" spans="1:20" x14ac:dyDescent="0.2"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</row>
    <row r="50" spans="1:20" x14ac:dyDescent="0.2"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</row>
    <row r="51" spans="1:20" x14ac:dyDescent="0.2"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</row>
    <row r="52" spans="1:20" x14ac:dyDescent="0.2"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</row>
    <row r="53" spans="1:20" x14ac:dyDescent="0.2"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</row>
    <row r="54" spans="1:20" x14ac:dyDescent="0.2">
      <c r="A54" s="82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</row>
    <row r="55" spans="1:20" x14ac:dyDescent="0.2"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10"/>
      <c r="R55" s="110"/>
      <c r="S55" s="110"/>
      <c r="T55" s="110"/>
    </row>
    <row r="56" spans="1:20" x14ac:dyDescent="0.2"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10"/>
      <c r="R56" s="110"/>
      <c r="S56" s="110"/>
      <c r="T56" s="110"/>
    </row>
    <row r="57" spans="1:20" x14ac:dyDescent="0.2"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10"/>
      <c r="R57" s="110"/>
      <c r="S57" s="110"/>
      <c r="T57" s="110"/>
    </row>
    <row r="58" spans="1:20" x14ac:dyDescent="0.2"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</row>
    <row r="59" spans="1:20" x14ac:dyDescent="0.2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</row>
    <row r="61" spans="1:20" x14ac:dyDescent="0.2">
      <c r="A61" s="82"/>
    </row>
    <row r="62" spans="1:20" x14ac:dyDescent="0.2"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</row>
    <row r="63" spans="1:20" x14ac:dyDescent="0.2"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</row>
    <row r="64" spans="1:20" x14ac:dyDescent="0.2"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</row>
    <row r="65" spans="1:25" x14ac:dyDescent="0.2"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</row>
    <row r="66" spans="1:25" x14ac:dyDescent="0.2"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</row>
    <row r="67" spans="1:25" x14ac:dyDescent="0.2"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</row>
    <row r="68" spans="1:25" x14ac:dyDescent="0.2"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</row>
    <row r="69" spans="1:25" x14ac:dyDescent="0.2"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</row>
    <row r="70" spans="1:25" x14ac:dyDescent="0.2"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</row>
    <row r="71" spans="1:25" x14ac:dyDescent="0.2">
      <c r="A71" s="82"/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82"/>
      <c r="R71" s="82"/>
      <c r="S71" s="82"/>
      <c r="T71" s="82"/>
      <c r="U71" s="82"/>
      <c r="V71" s="82"/>
      <c r="W71" s="82"/>
      <c r="X71" s="82"/>
      <c r="Y71" s="82"/>
    </row>
  </sheetData>
  <hyperlinks>
    <hyperlink ref="C6" location="Índice!A1" display="Índice"/>
    <hyperlink ref="S6" location="Índice!A1" display="Índice"/>
  </hyperlinks>
  <pageMargins left="0.51181102362204722" right="0.51181102362204722" top="0.78740157480314965" bottom="0.78740157480314965" header="0.31496062992125984" footer="0.31496062992125984"/>
  <pageSetup paperSize="9" scale="3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378accf2-bd22-4632-9120-f8a38eacb8df" origin="userSelected">
  <element uid="id_classification_nonbusiness" value=""/>
</sisl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zNzhhY2NmMi1iZDIyLTQ2MzItOTEyMC1mOGEzOGVhY2I4ZGYiIG9yaWdpbj0idXNlclNlbGVjdGVkIj48ZWxlbWVudCB1aWQ9ImlkX2NsYXNzaWZpY2F0aW9uX2dlbmVyYWxidXNpbmVzcyIgdmFsdWU9IiIgeG1sbnM9Imh0dHA6Ly93d3cuYm9sZG9uamFtZXMuY29tLzIwMDgvMDEvc2llL2ludGVybmFsL2xhYmVsIiAvPjwvc2lzbD48VXNlck5hbWU+TUVSQ0FOVElMXGIwMzA1MDU8L1VzZXJOYW1lPjxEYXRlVGltZT4wOS8wOC8yMDIzIDExOjM5OjE5PC9EYXRlVGltZT48TGFiZWxTdHJpbmc+SW50ZXJuYTwvTGFiZWxTdHJpbmc+PC9pdGVtPjxpdGVtPjxzaXNsIHNpc2xWZXJzaW9uPSIwIiBwb2xpY3k9IjM3OGFjY2YyLWJkMjItNDYzMi05MTIwLWY4YTM4ZWFjYjhkZiIgb3JpZ2luPSJ1c2VyQXBwcm92ZWRTdWdnZXN0aW9uIj48ZWxlbWVudCB1aWQ9ImlkX2NsYXNzaWZpY2F0aW9uX2ludGVybmFsb25seSIgdmFsdWU9IiIgeG1sbnM9Imh0dHA6Ly93d3cuYm9sZG9uamFtZXMuY29tLzIwMDgvMDEvc2llL2ludGVybmFsL2xhYmVsIiAvPjwvc2lzbD48VXNlck5hbWU+TUVSQ0FOVElMXGIwMzIyODc8L1VzZXJOYW1lPjxEYXRlVGltZT4wOS8wOC8yMDIzIDEyOjAwOjQ1PC9EYXRlVGltZT48TGFiZWxTdHJpbmc+Q29uZmlkZW5jaWFsPC9MYWJlbFN0cmluZz48L2l0ZW0+PGl0ZW0+PHNpc2wgc2lzbFZlcnNpb249IjAiIHBvbGljeT0iMzc4YWNjZjItYmQyMi00NjMyLTkxMjAtZjhhMzhlYWNiOGRmIiBvcmlnaW49InVzZXJTZWxlY3RlZCI+PGVsZW1lbnQgdWlkPSJpZF9jbGFzc2lmaWNhdGlvbl9ub25idXNpbmVzcyIgdmFsdWU9IiIgeG1sbnM9Imh0dHA6Ly93d3cuYm9sZG9uamFtZXMuY29tLzIwMDgvMDEvc2llL2ludGVybmFsL2xhYmVsIiAvPjwvc2lzbD48VXNlck5hbWU+TUVSQ0FOVElMXEIwNDUwNjY8L1VzZXJOYW1lPjxEYXRlVGltZT4wNy8wMi8yMDI0IDEyOjE4OjIzPC9EYXRlVGltZT48TGFiZWxTdHJpbmc+UHVibGljYTwvTGFiZWxTdHJpbmc+PC9pdGVtPjwvbGFiZWxIaXN0b3J5Pg==</Value>
</WrappedLabelHistory>
</file>

<file path=customXml/itemProps1.xml><?xml version="1.0" encoding="utf-8"?>
<ds:datastoreItem xmlns:ds="http://schemas.openxmlformats.org/officeDocument/2006/customXml" ds:itemID="{01A04298-3A1B-449E-AFE9-F8C50CEC8730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7DC731A4-25C0-46D2-8E76-CE5E63ED28E2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Índice</vt:lpstr>
      <vt:lpstr>Balanço Patrimonial</vt:lpstr>
      <vt:lpstr>DRE Trimestral</vt:lpstr>
      <vt:lpstr>DRE Gerencial (Trimestral)</vt:lpstr>
      <vt:lpstr>DRE Gerencial (Anual)</vt:lpstr>
      <vt:lpstr>DRE Anual</vt:lpstr>
      <vt:lpstr>Captação</vt:lpstr>
      <vt:lpstr>Gerenciamento_Capital</vt:lpstr>
      <vt:lpstr>Dividendos e JCP</vt:lpstr>
      <vt:lpstr>Notas Explicativas</vt:lpstr>
    </vt:vector>
  </TitlesOfParts>
  <Company>Banco ABC Brasil 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Brandt Cruvinel</dc:creator>
  <cp:lastModifiedBy>MARINA DE AGUIAR MAGALHAES</cp:lastModifiedBy>
  <cp:lastPrinted>2022-11-16T22:59:09Z</cp:lastPrinted>
  <dcterms:created xsi:type="dcterms:W3CDTF">2017-06-26T19:40:52Z</dcterms:created>
  <dcterms:modified xsi:type="dcterms:W3CDTF">2024-03-25T12:09:16Z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be386e76-19e1-45a3-b57a-d729327ed0e0</vt:lpwstr>
  </property>
  <property fmtid="{D5CDD505-2E9C-101B-9397-08002B2CF9AE}" pid="3" name="bjSaver">
    <vt:lpwstr>IalI1JGx5Tiop6sUExEBWBne8pm6hSmu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policy="378accf2-bd22-4632-9120-f8a38eacb8df"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bjDocumentSecurityLabel">
    <vt:lpwstr>Publica</vt:lpwstr>
  </property>
  <property fmtid="{D5CDD505-2E9C-101B-9397-08002B2CF9AE}" pid="8" name="ClassificationCod">
    <vt:lpwstr>CLASSBJDLP_Publica</vt:lpwstr>
  </property>
  <property fmtid="{D5CDD505-2E9C-101B-9397-08002B2CF9AE}" pid="9" name="bjLabelHistoryID">
    <vt:lpwstr>{7DC731A4-25C0-46D2-8E76-CE5E63ED28E2}</vt:lpwstr>
  </property>
</Properties>
</file>