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xr:revisionPtr revIDLastSave="0" documentId="13_ncr:1_{DF907D6E-6A2D-494A-A70D-45F300E54B37}" xr6:coauthVersionLast="47" xr6:coauthVersionMax="47" xr10:uidLastSave="{00000000-0000-0000-0000-000000000000}"/>
  <bookViews>
    <workbookView xWindow="19090" yWindow="-110" windowWidth="19420" windowHeight="10420" tabRatio="664" xr2:uid="{00000000-000D-0000-FFFF-FFFF00000000}"/>
  </bookViews>
  <sheets>
    <sheet name="Results" sheetId="81" r:id="rId1"/>
    <sheet name="Statements financial position" sheetId="74" r:id="rId2"/>
    <sheet name="Statement of income" sheetId="75" r:id="rId3"/>
    <sheet name="Statement of cash flow" sheetId="76" r:id="rId4"/>
    <sheet name="Net debt cash flow" sheetId="82" r:id="rId5"/>
    <sheet name="Operational data" sheetId="77" r:id="rId6"/>
    <sheet name="Debt" sheetId="79" r:id="rId7"/>
    <sheet name="Capex" sheetId="8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9" i="77" l="1"/>
  <c r="C143" i="77"/>
  <c r="C88" i="77" l="1"/>
  <c r="C146" i="77" s="1"/>
  <c r="C84" i="77"/>
  <c r="C89" i="77" s="1"/>
  <c r="C90" i="77" s="1"/>
  <c r="C75" i="77" l="1"/>
  <c r="C64" i="77"/>
  <c r="G146" i="77"/>
  <c r="F146" i="77"/>
  <c r="E146" i="77"/>
  <c r="D146" i="77"/>
  <c r="U39" i="77" l="1"/>
  <c r="E31" i="77"/>
  <c r="O31" i="77"/>
  <c r="M31" i="77"/>
  <c r="L31" i="77"/>
  <c r="K31" i="77"/>
  <c r="J31" i="77"/>
  <c r="H31" i="77"/>
  <c r="G31" i="77"/>
  <c r="F31" i="77"/>
  <c r="D31" i="77"/>
  <c r="S39" i="77"/>
  <c r="O39" i="77"/>
  <c r="M39" i="77"/>
  <c r="L39" i="77"/>
  <c r="I39" i="77"/>
  <c r="H39" i="77"/>
  <c r="G39" i="77"/>
  <c r="F39" i="77"/>
  <c r="E39" i="77"/>
  <c r="D39" i="77"/>
  <c r="C39" i="77"/>
  <c r="C24" i="79"/>
  <c r="R23" i="79"/>
  <c r="Q23" i="79"/>
  <c r="M23" i="79"/>
  <c r="L23" i="79"/>
  <c r="K23" i="79"/>
  <c r="C10" i="82"/>
  <c r="C15" i="82"/>
  <c r="Z7" i="76"/>
  <c r="C68" i="76"/>
  <c r="E15" i="82" l="1"/>
  <c r="I31" i="77"/>
  <c r="AA42" i="76"/>
  <c r="D15" i="82"/>
  <c r="W42" i="76"/>
  <c r="F15" i="82"/>
  <c r="V39" i="77"/>
  <c r="I143" i="77"/>
  <c r="I149" i="77"/>
  <c r="N31" i="77"/>
  <c r="AC42" i="76"/>
  <c r="Z42" i="76"/>
  <c r="G15" i="82"/>
  <c r="T39" i="77"/>
  <c r="Y42" i="76"/>
  <c r="AB42" i="76"/>
  <c r="AD42" i="76"/>
  <c r="X42" i="76"/>
  <c r="H15" i="82" l="1"/>
  <c r="AI63" i="76"/>
  <c r="AI54" i="76"/>
  <c r="AI55" i="76"/>
  <c r="AI56" i="76"/>
  <c r="AI57" i="76"/>
  <c r="AI58" i="76"/>
  <c r="AI59" i="76"/>
  <c r="AI60" i="76"/>
  <c r="AI61" i="76"/>
  <c r="AA61" i="76"/>
  <c r="W61" i="76"/>
  <c r="AM43" i="76"/>
  <c r="AI42" i="76"/>
  <c r="AI43" i="76"/>
  <c r="AI44" i="76"/>
  <c r="AI45" i="76"/>
  <c r="AI47" i="76"/>
  <c r="AI48" i="76"/>
  <c r="AI49" i="76"/>
  <c r="AI50" i="76"/>
  <c r="AI51" i="76"/>
  <c r="AE43" i="76"/>
  <c r="AE44" i="76"/>
  <c r="AA43" i="76"/>
  <c r="AA44" i="76"/>
  <c r="Y47" i="76"/>
  <c r="X45" i="76"/>
  <c r="W43" i="76"/>
  <c r="W44" i="76"/>
  <c r="W45" i="76"/>
  <c r="W46" i="76"/>
  <c r="W47" i="76"/>
  <c r="W48" i="76"/>
  <c r="W49" i="76"/>
  <c r="W50" i="76"/>
  <c r="W51" i="76"/>
  <c r="I15" i="82" l="1"/>
  <c r="AI62" i="76"/>
  <c r="W52" i="76"/>
  <c r="X51" i="76"/>
  <c r="AJ43" i="76"/>
  <c r="Z61" i="76"/>
  <c r="AB43" i="76"/>
  <c r="AF43" i="76"/>
  <c r="X50" i="76"/>
  <c r="Y45" i="76"/>
  <c r="X43" i="76"/>
  <c r="X61" i="76"/>
  <c r="Y44" i="76"/>
  <c r="AC44" i="76"/>
  <c r="AG44" i="76"/>
  <c r="Y63" i="76"/>
  <c r="X47" i="76"/>
  <c r="Y49" i="76"/>
  <c r="Z43" i="76"/>
  <c r="AD43" i="76"/>
  <c r="AH43" i="76"/>
  <c r="AL43" i="76"/>
  <c r="X49" i="76"/>
  <c r="AK43" i="76"/>
  <c r="AB61" i="76"/>
  <c r="AC43" i="76"/>
  <c r="Y60" i="76"/>
  <c r="Y51" i="76"/>
  <c r="Y43" i="76"/>
  <c r="AG43" i="76"/>
  <c r="AJ49" i="76"/>
  <c r="Y59" i="76"/>
  <c r="Y61" i="76"/>
  <c r="AC61" i="76"/>
  <c r="X48" i="76"/>
  <c r="Z44" i="76"/>
  <c r="AD44" i="76"/>
  <c r="AH44" i="76"/>
  <c r="AJ48" i="76"/>
  <c r="Y58" i="76"/>
  <c r="J62" i="76"/>
  <c r="AD61" i="76"/>
  <c r="Y57" i="76"/>
  <c r="AJ57" i="76"/>
  <c r="Y50" i="76"/>
  <c r="X46" i="76"/>
  <c r="Y48" i="76"/>
  <c r="Y56" i="76"/>
  <c r="Y55" i="76"/>
  <c r="AJ55" i="76"/>
  <c r="X44" i="76"/>
  <c r="Y46" i="76"/>
  <c r="AB44" i="76"/>
  <c r="AF44" i="76"/>
  <c r="D62" i="76"/>
  <c r="E62" i="76"/>
  <c r="F62" i="76"/>
  <c r="Y54" i="76"/>
  <c r="H62" i="76"/>
  <c r="I62" i="76"/>
  <c r="K62" i="76"/>
  <c r="L62" i="76"/>
  <c r="N62" i="76"/>
  <c r="P62" i="76"/>
  <c r="T62" i="76"/>
  <c r="Q62" i="76"/>
  <c r="G62" i="76"/>
  <c r="AI46" i="76"/>
  <c r="AI52" i="76" l="1"/>
  <c r="Y62" i="76"/>
  <c r="X52" i="76"/>
  <c r="Y52" i="76"/>
  <c r="W36" i="76" l="1"/>
  <c r="W28" i="76"/>
  <c r="AI39" i="76"/>
  <c r="AI31" i="76"/>
  <c r="AI15" i="76"/>
  <c r="W17" i="76"/>
  <c r="AI16" i="76"/>
  <c r="W37" i="76"/>
  <c r="AI24" i="76"/>
  <c r="W35" i="76"/>
  <c r="W27" i="76"/>
  <c r="AE26" i="76"/>
  <c r="AI38" i="76"/>
  <c r="AI30" i="76"/>
  <c r="W15" i="76"/>
  <c r="AI14" i="76"/>
  <c r="W16" i="76"/>
  <c r="W18" i="76"/>
  <c r="W34" i="76"/>
  <c r="W26" i="76"/>
  <c r="AA30" i="76"/>
  <c r="AI37" i="76"/>
  <c r="AI29" i="76"/>
  <c r="W14" i="76"/>
  <c r="AI13" i="76"/>
  <c r="AI17" i="76"/>
  <c r="W33" i="76"/>
  <c r="W25" i="76"/>
  <c r="AI36" i="76"/>
  <c r="AI28" i="76"/>
  <c r="W13" i="76"/>
  <c r="AI12" i="76"/>
  <c r="AI21" i="76"/>
  <c r="AM21" i="76"/>
  <c r="AI32" i="76"/>
  <c r="D10" i="82"/>
  <c r="W32" i="76"/>
  <c r="W24" i="76"/>
  <c r="AI35" i="76"/>
  <c r="AI27" i="76"/>
  <c r="W12" i="76"/>
  <c r="AI11" i="76"/>
  <c r="W21" i="76"/>
  <c r="AA21" i="76"/>
  <c r="AE21" i="76"/>
  <c r="AI20" i="76"/>
  <c r="W31" i="76"/>
  <c r="AE30" i="76"/>
  <c r="AI34" i="76"/>
  <c r="AI26" i="76"/>
  <c r="W11" i="76"/>
  <c r="AI10" i="76"/>
  <c r="W20" i="76"/>
  <c r="AI19" i="76"/>
  <c r="W29" i="76"/>
  <c r="W38" i="76"/>
  <c r="W30" i="76"/>
  <c r="AA26" i="76"/>
  <c r="AI33" i="76"/>
  <c r="AI25" i="76"/>
  <c r="W10" i="76"/>
  <c r="AI9" i="76"/>
  <c r="W19" i="76"/>
  <c r="AI18" i="76"/>
  <c r="X18" i="76"/>
  <c r="AG21" i="76"/>
  <c r="K68" i="76"/>
  <c r="N68" i="76"/>
  <c r="D68" i="76"/>
  <c r="L68" i="76"/>
  <c r="J40" i="76"/>
  <c r="K40" i="76"/>
  <c r="E68" i="76"/>
  <c r="I40" i="76"/>
  <c r="F68" i="76"/>
  <c r="H40" i="76"/>
  <c r="G68" i="76"/>
  <c r="T68" i="76"/>
  <c r="G40" i="76"/>
  <c r="H68" i="76"/>
  <c r="F40" i="76"/>
  <c r="I68" i="76"/>
  <c r="J68" i="76"/>
  <c r="AI23" i="76"/>
  <c r="Q68" i="76"/>
  <c r="D40" i="76"/>
  <c r="W39" i="76"/>
  <c r="E40" i="76"/>
  <c r="AG26" i="76"/>
  <c r="Y10" i="76"/>
  <c r="X17" i="76"/>
  <c r="Z21" i="76"/>
  <c r="AD21" i="76"/>
  <c r="Y16" i="76"/>
  <c r="AF21" i="76"/>
  <c r="Y21" i="76"/>
  <c r="AC21" i="76"/>
  <c r="X36" i="76"/>
  <c r="X28" i="76"/>
  <c r="Y38" i="76"/>
  <c r="Y30" i="76"/>
  <c r="AC30" i="76"/>
  <c r="X12" i="76"/>
  <c r="Y11" i="76"/>
  <c r="X35" i="76"/>
  <c r="X27" i="76"/>
  <c r="Y37" i="76"/>
  <c r="Y29" i="76"/>
  <c r="X11" i="76"/>
  <c r="X34" i="76"/>
  <c r="X26" i="76"/>
  <c r="Y36" i="76"/>
  <c r="Y28" i="76"/>
  <c r="Z30" i="76"/>
  <c r="AB26" i="76"/>
  <c r="AD30" i="76"/>
  <c r="AF30" i="76"/>
  <c r="AH30" i="76"/>
  <c r="X10" i="76"/>
  <c r="Y9" i="76"/>
  <c r="X16" i="76"/>
  <c r="X33" i="76"/>
  <c r="X25" i="76"/>
  <c r="Y35" i="76"/>
  <c r="Y27" i="76"/>
  <c r="AG30" i="76"/>
  <c r="AH21" i="76"/>
  <c r="X32" i="76"/>
  <c r="X24" i="76"/>
  <c r="Y34" i="76"/>
  <c r="Y26" i="76"/>
  <c r="AC26" i="76"/>
  <c r="AJ28" i="76"/>
  <c r="Y15" i="76"/>
  <c r="Y20" i="76"/>
  <c r="X39" i="76"/>
  <c r="X31" i="76"/>
  <c r="Y33" i="76"/>
  <c r="Y25" i="76"/>
  <c r="X15" i="76"/>
  <c r="Y14" i="76"/>
  <c r="X21" i="76"/>
  <c r="Y19" i="76"/>
  <c r="AB21" i="76"/>
  <c r="AJ20" i="76"/>
  <c r="X38" i="76"/>
  <c r="X30" i="76"/>
  <c r="Y32" i="76"/>
  <c r="Y24" i="76"/>
  <c r="Z26" i="76"/>
  <c r="AB30" i="76"/>
  <c r="AD26" i="76"/>
  <c r="AF26" i="76"/>
  <c r="AH26" i="76"/>
  <c r="X14" i="76"/>
  <c r="Y13" i="76"/>
  <c r="X20" i="76"/>
  <c r="Y18" i="76"/>
  <c r="AJ18" i="76"/>
  <c r="X37" i="76"/>
  <c r="X29" i="76"/>
  <c r="Y39" i="76"/>
  <c r="Y31" i="76"/>
  <c r="Y23" i="76"/>
  <c r="X13" i="76"/>
  <c r="Y12" i="76"/>
  <c r="X19" i="76"/>
  <c r="Y17" i="76"/>
  <c r="Y19" i="75" l="1"/>
  <c r="P68" i="76" l="1"/>
  <c r="AO42" i="76"/>
  <c r="AQ58" i="76"/>
  <c r="W58" i="76"/>
  <c r="X58" i="76"/>
  <c r="Z58" i="76"/>
  <c r="AA58" i="76"/>
  <c r="AB58" i="76"/>
  <c r="AC58" i="76"/>
  <c r="AD58" i="76"/>
  <c r="AO58" i="76"/>
  <c r="AP58" i="76"/>
  <c r="AR58" i="76" l="1"/>
  <c r="AP10" i="82" l="1"/>
  <c r="U31" i="79" l="1"/>
  <c r="U23" i="79"/>
  <c r="U24" i="79"/>
  <c r="U25" i="79"/>
  <c r="U30" i="79"/>
  <c r="Y11" i="77"/>
  <c r="Y15" i="77" s="1"/>
  <c r="AM8" i="76"/>
  <c r="AM53" i="76"/>
  <c r="AM47" i="76"/>
  <c r="AM49" i="76"/>
  <c r="AM39" i="76"/>
  <c r="AM16" i="76"/>
  <c r="AM17" i="76"/>
  <c r="AM18" i="76"/>
  <c r="AM19" i="76"/>
  <c r="AM20" i="76"/>
  <c r="AM28" i="76"/>
  <c r="U26" i="79" l="1"/>
  <c r="T52" i="76"/>
  <c r="T93" i="77"/>
  <c r="T146" i="77" l="1"/>
  <c r="C23" i="79" l="1"/>
  <c r="M14" i="75" l="1"/>
  <c r="C14" i="75" l="1"/>
  <c r="L10" i="75" l="1"/>
  <c r="K10" i="75"/>
  <c r="J10" i="75"/>
  <c r="I10" i="75"/>
  <c r="D10" i="75"/>
  <c r="O9" i="75"/>
  <c r="O10" i="75" s="1"/>
  <c r="N9" i="75"/>
  <c r="N10" i="75" s="1"/>
  <c r="M9" i="75"/>
  <c r="M10" i="75" s="1"/>
  <c r="L9" i="75"/>
  <c r="K9" i="75"/>
  <c r="J9" i="75"/>
  <c r="I9" i="75"/>
  <c r="H9" i="75"/>
  <c r="H10" i="75" s="1"/>
  <c r="G9" i="75"/>
  <c r="G10" i="75" s="1"/>
  <c r="F9" i="75"/>
  <c r="F10" i="75" s="1"/>
  <c r="E9" i="75"/>
  <c r="E10" i="75" s="1"/>
  <c r="D9" i="75"/>
  <c r="N19" i="75" l="1"/>
  <c r="L19" i="75"/>
  <c r="M19" i="75" l="1"/>
  <c r="X19" i="75" l="1"/>
  <c r="AL55" i="76" l="1"/>
  <c r="T23" i="79" l="1"/>
  <c r="X11" i="77" l="1"/>
  <c r="X15" i="77" l="1"/>
  <c r="W11" i="77"/>
  <c r="W15" i="77" l="1"/>
  <c r="AL63" i="76" l="1"/>
  <c r="AL57" i="76" l="1"/>
  <c r="D13" i="82" l="1"/>
  <c r="C12" i="77"/>
  <c r="D8" i="80" l="1"/>
  <c r="E8" i="80"/>
  <c r="F8" i="80"/>
  <c r="G8" i="80"/>
  <c r="D23" i="77" l="1"/>
  <c r="E23" i="77"/>
  <c r="F23" i="77"/>
  <c r="G23" i="77"/>
  <c r="H23" i="77"/>
  <c r="I23" i="77"/>
  <c r="J23" i="77"/>
  <c r="K23" i="77"/>
  <c r="L23" i="77"/>
  <c r="M23" i="77"/>
  <c r="N23" i="77"/>
  <c r="O23" i="77"/>
  <c r="S23" i="77"/>
  <c r="F12" i="77" l="1"/>
  <c r="O12" i="77"/>
  <c r="E12" i="77"/>
  <c r="L12" i="77"/>
  <c r="G12" i="77"/>
  <c r="J12" i="77"/>
  <c r="K12" i="77"/>
  <c r="I9" i="77"/>
  <c r="E13" i="82" l="1"/>
  <c r="C13" i="82"/>
  <c r="AG18" i="76" l="1"/>
  <c r="Q52" i="76" l="1"/>
  <c r="W16" i="75" l="1"/>
  <c r="V11" i="77" l="1"/>
  <c r="AK55" i="76" l="1"/>
  <c r="AI68" i="76" l="1"/>
  <c r="AK18" i="76" l="1"/>
  <c r="AK20" i="76"/>
  <c r="AK48" i="76" l="1"/>
  <c r="L96" i="77" l="1"/>
  <c r="U11" i="77" l="1"/>
  <c r="G24" i="79" l="1"/>
  <c r="E23" i="79"/>
  <c r="E24" i="79"/>
  <c r="F24" i="79"/>
  <c r="D23" i="79"/>
  <c r="F23" i="79"/>
  <c r="G23" i="79"/>
  <c r="I23" i="79"/>
  <c r="J23" i="79"/>
  <c r="D24" i="79"/>
  <c r="D11" i="79"/>
  <c r="D28" i="79"/>
  <c r="E28" i="79"/>
  <c r="G11" i="79"/>
  <c r="F11" i="79"/>
  <c r="E11" i="79"/>
  <c r="E25" i="79" l="1"/>
  <c r="G26" i="79"/>
  <c r="D25" i="79"/>
  <c r="F25" i="79"/>
  <c r="E26" i="79"/>
  <c r="G25" i="79"/>
  <c r="F26" i="79"/>
  <c r="D26" i="79"/>
  <c r="E31" i="79"/>
  <c r="E30" i="79"/>
  <c r="G31" i="79"/>
  <c r="G30" i="79"/>
  <c r="F30" i="79"/>
  <c r="F31" i="79"/>
  <c r="N40" i="76" l="1"/>
  <c r="AK57" i="76"/>
  <c r="T11" i="77" l="1"/>
  <c r="U19" i="75"/>
  <c r="W23" i="75"/>
  <c r="W22" i="75"/>
  <c r="W21" i="75"/>
  <c r="W18" i="75"/>
  <c r="W17" i="75"/>
  <c r="W19" i="75" l="1"/>
  <c r="T19" i="75"/>
  <c r="D12" i="77" l="1"/>
  <c r="S11" i="77" l="1"/>
  <c r="E11" i="77"/>
  <c r="E149" i="77" l="1"/>
  <c r="E143" i="77"/>
  <c r="R16" i="77" l="1"/>
  <c r="R11" i="77"/>
  <c r="P23" i="79" l="1"/>
  <c r="R15" i="77"/>
  <c r="AH18" i="76" l="1"/>
  <c r="AQ18" i="76"/>
  <c r="AQ20" i="76"/>
  <c r="S19" i="75" l="1"/>
  <c r="AQ35" i="76"/>
  <c r="AR35" i="76"/>
  <c r="AQ29" i="76"/>
  <c r="AR29" i="76"/>
  <c r="AQ37" i="76"/>
  <c r="AR37" i="76"/>
  <c r="AQ36" i="76"/>
  <c r="AR36" i="76"/>
  <c r="Q31" i="77" l="1"/>
  <c r="Q39" i="77"/>
  <c r="Q23" i="77" l="1"/>
  <c r="S104" i="77"/>
  <c r="AI16" i="82" l="1"/>
  <c r="AH16" i="82"/>
  <c r="AG16" i="82"/>
  <c r="AF16" i="82"/>
  <c r="AE16" i="82"/>
  <c r="AD16" i="82"/>
  <c r="AC16" i="82"/>
  <c r="AB16" i="82"/>
  <c r="AA16" i="82"/>
  <c r="AF48" i="76"/>
  <c r="AE48" i="76"/>
  <c r="AD48" i="76"/>
  <c r="AC48" i="76"/>
  <c r="AB48" i="76"/>
  <c r="AA48" i="76"/>
  <c r="Z48" i="76"/>
  <c r="AH29" i="76"/>
  <c r="Q126" i="77" l="1"/>
  <c r="O23" i="79"/>
  <c r="Q9" i="75"/>
  <c r="AH20" i="76"/>
  <c r="AG20" i="76"/>
  <c r="AJ16" i="82"/>
  <c r="O18" i="79"/>
  <c r="Q10" i="75" l="1"/>
  <c r="P133" i="77" l="1"/>
  <c r="Q26" i="77" l="1"/>
  <c r="Q16" i="77"/>
  <c r="Q11" i="77"/>
  <c r="Q15" i="77" s="1"/>
  <c r="Q30" i="75"/>
  <c r="Q19" i="75"/>
  <c r="Q14" i="75"/>
  <c r="Q34" i="77" l="1"/>
  <c r="Q44" i="77" s="1"/>
  <c r="Q143" i="77"/>
  <c r="Q149" i="77"/>
  <c r="Q47" i="77"/>
  <c r="Q15" i="75"/>
  <c r="Q27" i="75" l="1"/>
  <c r="Q20" i="75"/>
  <c r="P12" i="77" l="1"/>
  <c r="P135" i="77" s="1"/>
  <c r="Q28" i="75"/>
  <c r="Q24" i="75"/>
  <c r="S10" i="77"/>
  <c r="Q25" i="75" l="1"/>
  <c r="L18" i="79"/>
  <c r="M18" i="79"/>
  <c r="K18" i="79"/>
  <c r="P11" i="77"/>
  <c r="AG63" i="76"/>
  <c r="AG60" i="76"/>
  <c r="AG57" i="76"/>
  <c r="AG49" i="76"/>
  <c r="AG29" i="76"/>
  <c r="AG28" i="76"/>
  <c r="AG27" i="76"/>
  <c r="AG7" i="76"/>
  <c r="N18" i="79"/>
  <c r="R21" i="75" l="1"/>
  <c r="R18" i="75"/>
  <c r="R22" i="75"/>
  <c r="R23" i="75"/>
  <c r="R17" i="75"/>
  <c r="R16" i="75"/>
  <c r="P9" i="75"/>
  <c r="P23" i="77"/>
  <c r="R19" i="75" l="1"/>
  <c r="P10" i="75"/>
  <c r="P126" i="77" l="1"/>
  <c r="P93" i="77" l="1"/>
  <c r="P142" i="77" l="1"/>
  <c r="P96" i="77"/>
  <c r="P127" i="77"/>
  <c r="P31" i="77"/>
  <c r="P118" i="77" s="1"/>
  <c r="P39" i="77"/>
  <c r="P116" i="77" l="1"/>
  <c r="P115" i="77"/>
  <c r="P117" i="77"/>
  <c r="P111" i="77"/>
  <c r="P112" i="77"/>
  <c r="P114" i="77"/>
  <c r="P26" i="77"/>
  <c r="P34" i="77" l="1"/>
  <c r="P44" i="77" s="1"/>
  <c r="P143" i="77"/>
  <c r="P149" i="77"/>
  <c r="P110" i="77"/>
  <c r="P47" i="77"/>
  <c r="P132" i="77" l="1"/>
  <c r="P109" i="77"/>
  <c r="S19" i="77"/>
  <c r="S18" i="77"/>
  <c r="S17" i="77"/>
  <c r="S20" i="77"/>
  <c r="P16" i="77"/>
  <c r="P15" i="77" l="1"/>
  <c r="N23" i="79"/>
  <c r="P8" i="82"/>
  <c r="AF55" i="76"/>
  <c r="AF20" i="76"/>
  <c r="AF60" i="76"/>
  <c r="AF57" i="76"/>
  <c r="AF49" i="76"/>
  <c r="AF28" i="76"/>
  <c r="AF27" i="76"/>
  <c r="AF18" i="76"/>
  <c r="P30" i="75"/>
  <c r="P147" i="77" l="1"/>
  <c r="N52" i="76"/>
  <c r="P19" i="75"/>
  <c r="AF29" i="76"/>
  <c r="I10" i="77"/>
  <c r="N10" i="77"/>
  <c r="N12" i="77" s="1"/>
  <c r="N64" i="76" l="1"/>
  <c r="P15" i="75"/>
  <c r="O133" i="77"/>
  <c r="N133" i="77"/>
  <c r="M133" i="77"/>
  <c r="L133" i="77"/>
  <c r="K133" i="77"/>
  <c r="J133" i="77"/>
  <c r="I133" i="77"/>
  <c r="H133" i="77"/>
  <c r="G133" i="77"/>
  <c r="F133" i="77"/>
  <c r="E133" i="77"/>
  <c r="D133" i="77"/>
  <c r="C133" i="77"/>
  <c r="P27" i="75" l="1"/>
  <c r="P20" i="75"/>
  <c r="G128" i="77"/>
  <c r="F128" i="77"/>
  <c r="E128" i="77"/>
  <c r="D128" i="77"/>
  <c r="C128" i="77"/>
  <c r="N126" i="77"/>
  <c r="M126" i="77"/>
  <c r="L126" i="77"/>
  <c r="L127" i="77" s="1"/>
  <c r="K126" i="77"/>
  <c r="J126" i="77"/>
  <c r="I126" i="77"/>
  <c r="H126" i="77"/>
  <c r="G126" i="77"/>
  <c r="F126" i="77"/>
  <c r="E126" i="77"/>
  <c r="D126" i="77"/>
  <c r="C126" i="77"/>
  <c r="AP39" i="76"/>
  <c r="AO39" i="76"/>
  <c r="AD39" i="76"/>
  <c r="AC39" i="76"/>
  <c r="AB39" i="76"/>
  <c r="AA39" i="76"/>
  <c r="Z39" i="76"/>
  <c r="AB9" i="82"/>
  <c r="AA9" i="82"/>
  <c r="C7" i="82"/>
  <c r="AA7" i="82" s="1"/>
  <c r="AB15" i="82"/>
  <c r="D14" i="82"/>
  <c r="AB14" i="82" s="1"/>
  <c r="AB13" i="82"/>
  <c r="D12" i="82"/>
  <c r="AB10" i="82"/>
  <c r="D8" i="82"/>
  <c r="C8" i="82"/>
  <c r="AB12" i="82" l="1"/>
  <c r="P28" i="75"/>
  <c r="P24" i="75"/>
  <c r="AB8" i="82"/>
  <c r="D11" i="82"/>
  <c r="E151" i="77"/>
  <c r="AA8" i="82"/>
  <c r="N66" i="76"/>
  <c r="C129" i="77"/>
  <c r="F129" i="77"/>
  <c r="D129" i="77"/>
  <c r="E129" i="77"/>
  <c r="G129" i="77"/>
  <c r="J37" i="77"/>
  <c r="J39" i="77" s="1"/>
  <c r="K37" i="77"/>
  <c r="K39" i="77" s="1"/>
  <c r="P25" i="75" l="1"/>
  <c r="AB11" i="82"/>
  <c r="N37" i="77"/>
  <c r="N39" i="77" s="1"/>
  <c r="C9" i="77" l="1"/>
  <c r="C11" i="77"/>
  <c r="C151" i="77" s="1"/>
  <c r="C16" i="77"/>
  <c r="C135" i="77" l="1"/>
  <c r="C15" i="77"/>
  <c r="C9" i="80"/>
  <c r="C8" i="80" l="1"/>
  <c r="C19" i="79"/>
  <c r="C18" i="79"/>
  <c r="C8" i="79"/>
  <c r="C14" i="80" l="1"/>
  <c r="C11" i="79"/>
  <c r="C28" i="79"/>
  <c r="C25" i="79" l="1"/>
  <c r="C26" i="79"/>
  <c r="C21" i="79"/>
  <c r="C20" i="79"/>
  <c r="C30" i="79"/>
  <c r="C31" i="79"/>
  <c r="C30" i="77"/>
  <c r="C29" i="77"/>
  <c r="C28" i="77"/>
  <c r="C27" i="77"/>
  <c r="C25" i="77"/>
  <c r="C24" i="77"/>
  <c r="C23" i="77" s="1"/>
  <c r="C102" i="77"/>
  <c r="C100" i="77"/>
  <c r="C99" i="77"/>
  <c r="C98" i="77"/>
  <c r="C95" i="77"/>
  <c r="C94" i="77"/>
  <c r="C93" i="77" l="1"/>
  <c r="C101" i="77"/>
  <c r="C96" i="77" l="1"/>
  <c r="C148" i="77"/>
  <c r="C127" i="77"/>
  <c r="C130" i="77"/>
  <c r="D7" i="80"/>
  <c r="D14" i="80" l="1"/>
  <c r="C26" i="77"/>
  <c r="C111" i="77"/>
  <c r="C112" i="77"/>
  <c r="C114" i="77"/>
  <c r="C115" i="77"/>
  <c r="C116" i="77"/>
  <c r="C117" i="77"/>
  <c r="C118" i="77"/>
  <c r="AA15" i="82"/>
  <c r="C14" i="82"/>
  <c r="C12" i="82"/>
  <c r="AA12" i="82" s="1"/>
  <c r="C40" i="76"/>
  <c r="C19" i="75"/>
  <c r="C147" i="77"/>
  <c r="C34" i="77" l="1"/>
  <c r="C44" i="77" s="1"/>
  <c r="C54" i="77"/>
  <c r="C65" i="77" s="1"/>
  <c r="C66" i="77" s="1"/>
  <c r="C110" i="77"/>
  <c r="C132" i="77" s="1"/>
  <c r="C142" i="77"/>
  <c r="C47" i="77"/>
  <c r="C51" i="77" s="1"/>
  <c r="AA14" i="82"/>
  <c r="C17" i="82"/>
  <c r="C19" i="82" s="1"/>
  <c r="AA13" i="82"/>
  <c r="AA10" i="82"/>
  <c r="C11" i="82"/>
  <c r="AA11" i="82" s="1"/>
  <c r="C52" i="76"/>
  <c r="C145" i="77"/>
  <c r="C62" i="76"/>
  <c r="C9" i="75"/>
  <c r="C109" i="77" l="1"/>
  <c r="C49" i="77"/>
  <c r="C64" i="76"/>
  <c r="C66" i="76" s="1"/>
  <c r="AA17" i="82"/>
  <c r="AA19" i="82" s="1"/>
  <c r="C12" i="79"/>
  <c r="C13" i="79" s="1"/>
  <c r="C10" i="75"/>
  <c r="C15" i="75"/>
  <c r="C134" i="77" l="1"/>
  <c r="C136" i="77" s="1"/>
  <c r="C137" i="77" s="1"/>
  <c r="C138" i="77" s="1"/>
  <c r="D7" i="82"/>
  <c r="AB7" i="82" s="1"/>
  <c r="C27" i="75"/>
  <c r="C20" i="75"/>
  <c r="O93" i="77"/>
  <c r="O118" i="77"/>
  <c r="O117" i="77"/>
  <c r="O116" i="77"/>
  <c r="O115" i="77"/>
  <c r="O114" i="77"/>
  <c r="O112" i="77"/>
  <c r="O16" i="77"/>
  <c r="S16" i="77" s="1"/>
  <c r="D17" i="82" l="1"/>
  <c r="C24" i="75"/>
  <c r="C25" i="75" s="1"/>
  <c r="AB17" i="82"/>
  <c r="O96" i="77"/>
  <c r="C28" i="75"/>
  <c r="O111" i="77"/>
  <c r="O26" i="77"/>
  <c r="O34" i="77" s="1"/>
  <c r="O44" i="77" s="1"/>
  <c r="AB19" i="82" l="1"/>
  <c r="D19" i="82"/>
  <c r="O110" i="77"/>
  <c r="O109" i="77" s="1"/>
  <c r="O142" i="77"/>
  <c r="O47" i="77"/>
  <c r="O132" i="77"/>
  <c r="C30" i="75"/>
  <c r="C15" i="79"/>
  <c r="C14" i="79" s="1"/>
  <c r="O11" i="77"/>
  <c r="AE20" i="76"/>
  <c r="AE18" i="76"/>
  <c r="AE5" i="76"/>
  <c r="AE60" i="76"/>
  <c r="AE57" i="76"/>
  <c r="AE55" i="76"/>
  <c r="AE49" i="76"/>
  <c r="AE29" i="76"/>
  <c r="AE28" i="76"/>
  <c r="AE27" i="76"/>
  <c r="O143" i="77" l="1"/>
  <c r="O149" i="77"/>
  <c r="S15" i="77"/>
  <c r="O15" i="77"/>
  <c r="O19" i="75"/>
  <c r="O14" i="75"/>
  <c r="O147" i="77" s="1"/>
  <c r="O15" i="75" l="1"/>
  <c r="O27" i="75" s="1"/>
  <c r="O28" i="75" s="1"/>
  <c r="O135" i="77"/>
  <c r="O20" i="75"/>
  <c r="O24" i="75" l="1"/>
  <c r="M7" i="76"/>
  <c r="O25" i="75"/>
  <c r="AF7" i="76" l="1"/>
  <c r="AE7" i="76"/>
  <c r="AD33" i="76" l="1"/>
  <c r="AD28" i="76" l="1"/>
  <c r="AP28" i="76"/>
  <c r="AP23" i="76"/>
  <c r="AD23" i="76"/>
  <c r="AQ34" i="76" l="1"/>
  <c r="W63" i="76"/>
  <c r="W59" i="76"/>
  <c r="W56" i="76"/>
  <c r="W60" i="76"/>
  <c r="W57" i="76"/>
  <c r="W55" i="76"/>
  <c r="W54" i="76"/>
  <c r="W23" i="76"/>
  <c r="W9" i="76"/>
  <c r="W7" i="76"/>
  <c r="AP63" i="76"/>
  <c r="AD63" i="76"/>
  <c r="AC63" i="76"/>
  <c r="AB63" i="76"/>
  <c r="AA63" i="76"/>
  <c r="AP59" i="76"/>
  <c r="AD59" i="76"/>
  <c r="AC59" i="76"/>
  <c r="AB59" i="76"/>
  <c r="AA59" i="76"/>
  <c r="AP56" i="76"/>
  <c r="AD56" i="76"/>
  <c r="AC56" i="76"/>
  <c r="AB56" i="76"/>
  <c r="AA56" i="76"/>
  <c r="AP60" i="76"/>
  <c r="AD60" i="76"/>
  <c r="AC60" i="76"/>
  <c r="AB60" i="76"/>
  <c r="AA60" i="76"/>
  <c r="AP57" i="76"/>
  <c r="AD57" i="76"/>
  <c r="AC57" i="76"/>
  <c r="AB57" i="76"/>
  <c r="AA57" i="76"/>
  <c r="AP55" i="76"/>
  <c r="AD55" i="76"/>
  <c r="AC55" i="76"/>
  <c r="AB55" i="76"/>
  <c r="AA55" i="76"/>
  <c r="AP54" i="76"/>
  <c r="AD54" i="76"/>
  <c r="AC54" i="76"/>
  <c r="AB54" i="76"/>
  <c r="AA54" i="76"/>
  <c r="AP51" i="76"/>
  <c r="AD51" i="76"/>
  <c r="AC51" i="76"/>
  <c r="AB51" i="76"/>
  <c r="AA51" i="76"/>
  <c r="AP50" i="76"/>
  <c r="AD50" i="76"/>
  <c r="AC50" i="76"/>
  <c r="AB50" i="76"/>
  <c r="AA50" i="76"/>
  <c r="AP49" i="76"/>
  <c r="AD49" i="76"/>
  <c r="AC49" i="76"/>
  <c r="AB49" i="76"/>
  <c r="AA49" i="76"/>
  <c r="AP47" i="76"/>
  <c r="AD47" i="76"/>
  <c r="AC47" i="76"/>
  <c r="AB47" i="76"/>
  <c r="AA47" i="76"/>
  <c r="AP46" i="76"/>
  <c r="AD46" i="76"/>
  <c r="AC46" i="76"/>
  <c r="AB46" i="76"/>
  <c r="AA46" i="76"/>
  <c r="AP45" i="76"/>
  <c r="AD45" i="76"/>
  <c r="AC45" i="76"/>
  <c r="AB45" i="76"/>
  <c r="AA45" i="76"/>
  <c r="AP42" i="76"/>
  <c r="AP38" i="76"/>
  <c r="AD38" i="76"/>
  <c r="AC38" i="76"/>
  <c r="AB38" i="76"/>
  <c r="AA38" i="76"/>
  <c r="AP37" i="76"/>
  <c r="AD37" i="76"/>
  <c r="AC37" i="76"/>
  <c r="AB37" i="76"/>
  <c r="AA37" i="76"/>
  <c r="AP29" i="76"/>
  <c r="AD29" i="76"/>
  <c r="AC29" i="76"/>
  <c r="AB29" i="76"/>
  <c r="AA29" i="76"/>
  <c r="AP36" i="76"/>
  <c r="AD36" i="76"/>
  <c r="AC36" i="76"/>
  <c r="AB36" i="76"/>
  <c r="AA36" i="76"/>
  <c r="AP35" i="76"/>
  <c r="AD35" i="76"/>
  <c r="AC35" i="76"/>
  <c r="AB35" i="76"/>
  <c r="AA35" i="76"/>
  <c r="AP33" i="76"/>
  <c r="AC33" i="76"/>
  <c r="AB33" i="76"/>
  <c r="AA33" i="76"/>
  <c r="AP32" i="76"/>
  <c r="AD32" i="76"/>
  <c r="AC32" i="76"/>
  <c r="AB32" i="76"/>
  <c r="AA32" i="76"/>
  <c r="AP31" i="76"/>
  <c r="AD31" i="76"/>
  <c r="AC31" i="76"/>
  <c r="AB31" i="76"/>
  <c r="AA31" i="76"/>
  <c r="AC28" i="76"/>
  <c r="AB28" i="76"/>
  <c r="AA28" i="76"/>
  <c r="AP25" i="76"/>
  <c r="AD25" i="76"/>
  <c r="AC25" i="76"/>
  <c r="AB25" i="76"/>
  <c r="AA25" i="76"/>
  <c r="AP27" i="76"/>
  <c r="AD27" i="76"/>
  <c r="AC27" i="76"/>
  <c r="AB27" i="76"/>
  <c r="AA27" i="76"/>
  <c r="AP24" i="76"/>
  <c r="AD24" i="76"/>
  <c r="AC24" i="76"/>
  <c r="AB24" i="76"/>
  <c r="AA24" i="76"/>
  <c r="AC23" i="76"/>
  <c r="AB23" i="76"/>
  <c r="AA23" i="76"/>
  <c r="AP13" i="76"/>
  <c r="AD13" i="76"/>
  <c r="AC13" i="76"/>
  <c r="AB13" i="76"/>
  <c r="AA13" i="76"/>
  <c r="AP20" i="76"/>
  <c r="AD20" i="76"/>
  <c r="AC20" i="76"/>
  <c r="AB20" i="76"/>
  <c r="AA20" i="76"/>
  <c r="AP19" i="76"/>
  <c r="AD19" i="76"/>
  <c r="AC19" i="76"/>
  <c r="AB19" i="76"/>
  <c r="AA19" i="76"/>
  <c r="AP18" i="76"/>
  <c r="AD18" i="76"/>
  <c r="AC18" i="76"/>
  <c r="AB18" i="76"/>
  <c r="AA18" i="76"/>
  <c r="AP17" i="76"/>
  <c r="AD17" i="76"/>
  <c r="AC17" i="76"/>
  <c r="AB17" i="76"/>
  <c r="AA17" i="76"/>
  <c r="AP14" i="76"/>
  <c r="AD14" i="76"/>
  <c r="AC14" i="76"/>
  <c r="AB14" i="76"/>
  <c r="AA14" i="76"/>
  <c r="AP16" i="76"/>
  <c r="AD16" i="76"/>
  <c r="AC16" i="76"/>
  <c r="AB16" i="76"/>
  <c r="AA16" i="76"/>
  <c r="AP11" i="76"/>
  <c r="AD11" i="76"/>
  <c r="AC11" i="76"/>
  <c r="AB11" i="76"/>
  <c r="AA11" i="76"/>
  <c r="AP10" i="76"/>
  <c r="AD10" i="76"/>
  <c r="AC10" i="76"/>
  <c r="AB10" i="76"/>
  <c r="AA10" i="76"/>
  <c r="AP12" i="76"/>
  <c r="AD12" i="76"/>
  <c r="AC12" i="76"/>
  <c r="AB12" i="76"/>
  <c r="AA12" i="76"/>
  <c r="AP9" i="76"/>
  <c r="AD9" i="76"/>
  <c r="AC9" i="76"/>
  <c r="AB9" i="76"/>
  <c r="AA9" i="76"/>
  <c r="AC7" i="76"/>
  <c r="AB7" i="76"/>
  <c r="AA7" i="76"/>
  <c r="AO63" i="76"/>
  <c r="AO59" i="76"/>
  <c r="AO56" i="76"/>
  <c r="AO60" i="76"/>
  <c r="AO57" i="76"/>
  <c r="AO55" i="76"/>
  <c r="AO54" i="76"/>
  <c r="AO51" i="76"/>
  <c r="AO50" i="76"/>
  <c r="AO49" i="76"/>
  <c r="AO47" i="76"/>
  <c r="AO46" i="76"/>
  <c r="AO45" i="76"/>
  <c r="AO38" i="76"/>
  <c r="AO37" i="76"/>
  <c r="AO29" i="76"/>
  <c r="AO36" i="76"/>
  <c r="AO35" i="76"/>
  <c r="AO33" i="76"/>
  <c r="AO32" i="76"/>
  <c r="AO31" i="76"/>
  <c r="AO28" i="76"/>
  <c r="AO25" i="76"/>
  <c r="AO27" i="76"/>
  <c r="AO24" i="76"/>
  <c r="AO23" i="76"/>
  <c r="AO13" i="76"/>
  <c r="AO20" i="76"/>
  <c r="AO19" i="76"/>
  <c r="AO18" i="76"/>
  <c r="AO17" i="76"/>
  <c r="AO14" i="76"/>
  <c r="AO16" i="76"/>
  <c r="AO11" i="76"/>
  <c r="AO10" i="76"/>
  <c r="AO12" i="76"/>
  <c r="AO9" i="76"/>
  <c r="AO7" i="76"/>
  <c r="Z63" i="76"/>
  <c r="Z59" i="76"/>
  <c r="Z56" i="76"/>
  <c r="Z60" i="76"/>
  <c r="Z57" i="76"/>
  <c r="Z55" i="76"/>
  <c r="Z54" i="76"/>
  <c r="Z51" i="76"/>
  <c r="Z50" i="76"/>
  <c r="Z49" i="76"/>
  <c r="Z47" i="76"/>
  <c r="Z46" i="76"/>
  <c r="Z45" i="76"/>
  <c r="Z38" i="76"/>
  <c r="Z37" i="76"/>
  <c r="Z29" i="76"/>
  <c r="Z36" i="76"/>
  <c r="Z35" i="76"/>
  <c r="Z33" i="76"/>
  <c r="Z32" i="76"/>
  <c r="Z31" i="76"/>
  <c r="Z28" i="76"/>
  <c r="Z25" i="76"/>
  <c r="Z27" i="76"/>
  <c r="Z24" i="76"/>
  <c r="Z23" i="76"/>
  <c r="Z13" i="76"/>
  <c r="Z20" i="76"/>
  <c r="Z19" i="76"/>
  <c r="Z18" i="76"/>
  <c r="Z17" i="76"/>
  <c r="Z14" i="76"/>
  <c r="Z16" i="76"/>
  <c r="Z11" i="76"/>
  <c r="Z10" i="76"/>
  <c r="Z12" i="76"/>
  <c r="Z9" i="76"/>
  <c r="G13" i="82"/>
  <c r="Y7" i="76"/>
  <c r="Y40" i="76" s="1"/>
  <c r="Y64" i="76" s="1"/>
  <c r="X63" i="76"/>
  <c r="X59" i="76"/>
  <c r="X56" i="76"/>
  <c r="X60" i="76"/>
  <c r="X57" i="76"/>
  <c r="X55" i="76"/>
  <c r="X54" i="76"/>
  <c r="X23" i="76"/>
  <c r="F13" i="82"/>
  <c r="X9" i="76"/>
  <c r="X7" i="76"/>
  <c r="K13" i="82" l="1"/>
  <c r="L15" i="82"/>
  <c r="L13" i="82"/>
  <c r="M15" i="82"/>
  <c r="H13" i="82"/>
  <c r="J15" i="82"/>
  <c r="N15" i="82" s="1"/>
  <c r="W40" i="76"/>
  <c r="J13" i="82"/>
  <c r="AE13" i="82" s="1"/>
  <c r="K15" i="82"/>
  <c r="X62" i="76"/>
  <c r="Z62" i="76"/>
  <c r="W62" i="76"/>
  <c r="Z52" i="76"/>
  <c r="AO62" i="76"/>
  <c r="AA62" i="76"/>
  <c r="X40" i="76"/>
  <c r="AP52" i="76"/>
  <c r="AB62" i="76"/>
  <c r="AO52" i="76"/>
  <c r="AA52" i="76"/>
  <c r="AC62" i="76"/>
  <c r="AB52" i="76"/>
  <c r="AD62" i="76"/>
  <c r="L148" i="77"/>
  <c r="AC52" i="76"/>
  <c r="AP62" i="76"/>
  <c r="AD52" i="76"/>
  <c r="I13" i="82"/>
  <c r="L12" i="82"/>
  <c r="J12" i="82"/>
  <c r="M16" i="77"/>
  <c r="M11" i="77"/>
  <c r="AF13" i="82" l="1"/>
  <c r="X64" i="76"/>
  <c r="M143" i="77"/>
  <c r="M149" i="77"/>
  <c r="W64" i="76"/>
  <c r="M15" i="77"/>
  <c r="M15" i="75" l="1"/>
  <c r="M27" i="75" s="1"/>
  <c r="N11" i="77"/>
  <c r="N16" i="77"/>
  <c r="M20" i="75" l="1"/>
  <c r="N15" i="77"/>
  <c r="M24" i="75" l="1"/>
  <c r="N115" i="77"/>
  <c r="N112" i="77" l="1"/>
  <c r="N93" i="77"/>
  <c r="N118" i="77"/>
  <c r="N111" i="77"/>
  <c r="M115" i="77"/>
  <c r="M118" i="77"/>
  <c r="N114" i="77"/>
  <c r="M26" i="77"/>
  <c r="M34" i="77" s="1"/>
  <c r="M44" i="77" s="1"/>
  <c r="N26" i="77"/>
  <c r="N116" i="77"/>
  <c r="N142" i="77"/>
  <c r="N117" i="77"/>
  <c r="L52" i="76"/>
  <c r="M117" i="77"/>
  <c r="M93" i="77"/>
  <c r="M147" i="77" s="1"/>
  <c r="N34" i="77" l="1"/>
  <c r="N44" i="77" s="1"/>
  <c r="N143" i="77"/>
  <c r="N149" i="77"/>
  <c r="N96" i="77"/>
  <c r="N148" i="77"/>
  <c r="M96" i="77"/>
  <c r="M148" i="77"/>
  <c r="N47" i="77"/>
  <c r="N51" i="77" s="1"/>
  <c r="M47" i="77"/>
  <c r="M127" i="77"/>
  <c r="N127" i="77"/>
  <c r="N110" i="77"/>
  <c r="N109" i="77" s="1"/>
  <c r="M114" i="77"/>
  <c r="M111" i="77"/>
  <c r="M116" i="77"/>
  <c r="M112" i="77"/>
  <c r="M51" i="77" l="1"/>
  <c r="M134" i="77" s="1"/>
  <c r="M110" i="77"/>
  <c r="M109" i="77" s="1"/>
  <c r="M142" i="77"/>
  <c r="N132" i="77"/>
  <c r="M30" i="75"/>
  <c r="N30" i="75"/>
  <c r="N14" i="75"/>
  <c r="N147" i="77" s="1"/>
  <c r="N134" i="77" l="1"/>
  <c r="M132" i="77"/>
  <c r="N15" i="75"/>
  <c r="I12" i="82"/>
  <c r="AD13" i="82"/>
  <c r="AD12" i="82"/>
  <c r="H8" i="82"/>
  <c r="H14" i="82"/>
  <c r="G14" i="82"/>
  <c r="F14" i="82"/>
  <c r="E14" i="82"/>
  <c r="N20" i="75" l="1"/>
  <c r="N27" i="75"/>
  <c r="I14" i="82"/>
  <c r="AF14" i="82"/>
  <c r="AD14" i="82"/>
  <c r="AE14" i="82"/>
  <c r="AC14" i="82"/>
  <c r="AG15" i="82" l="1"/>
  <c r="M28" i="75"/>
  <c r="N28" i="75"/>
  <c r="N24" i="75"/>
  <c r="AE10" i="82"/>
  <c r="H11" i="82"/>
  <c r="AD10" i="82"/>
  <c r="AF15" i="82"/>
  <c r="AC10" i="82"/>
  <c r="AF10" i="82"/>
  <c r="L7" i="76" l="1"/>
  <c r="L40" i="76" s="1"/>
  <c r="AG10" i="82"/>
  <c r="N25" i="75"/>
  <c r="M25" i="75"/>
  <c r="AE15" i="82"/>
  <c r="AC15" i="82"/>
  <c r="AD15" i="82"/>
  <c r="L8" i="82"/>
  <c r="L11" i="82" s="1"/>
  <c r="J8" i="82"/>
  <c r="G8" i="82"/>
  <c r="F8" i="82"/>
  <c r="E8" i="82"/>
  <c r="I8" i="82" s="1"/>
  <c r="AP7" i="76" l="1"/>
  <c r="AD7" i="76"/>
  <c r="L64" i="76"/>
  <c r="K11" i="82"/>
  <c r="AE8" i="82"/>
  <c r="G11" i="82"/>
  <c r="I11" i="82"/>
  <c r="E11" i="82"/>
  <c r="AD8" i="82"/>
  <c r="F11" i="82"/>
  <c r="J11" i="82"/>
  <c r="AF8" i="82"/>
  <c r="AC8" i="82"/>
  <c r="AC13" i="82"/>
  <c r="L66" i="76" l="1"/>
  <c r="L16" i="77"/>
  <c r="K16" i="77"/>
  <c r="J16" i="77"/>
  <c r="I16" i="77"/>
  <c r="H16" i="77"/>
  <c r="G16" i="77"/>
  <c r="F16" i="77"/>
  <c r="E16" i="77"/>
  <c r="D16" i="77"/>
  <c r="L11" i="77"/>
  <c r="K11" i="77"/>
  <c r="J11" i="77"/>
  <c r="I11" i="77"/>
  <c r="H11" i="77"/>
  <c r="G11" i="77"/>
  <c r="F11" i="77"/>
  <c r="D11" i="77"/>
  <c r="H143" i="77" l="1"/>
  <c r="H149" i="77"/>
  <c r="L149" i="77"/>
  <c r="L143" i="77"/>
  <c r="J143" i="77"/>
  <c r="J149" i="77"/>
  <c r="K149" i="77"/>
  <c r="K143" i="77"/>
  <c r="D151" i="77"/>
  <c r="D143" i="77"/>
  <c r="D149" i="77"/>
  <c r="G151" i="77"/>
  <c r="G143" i="77"/>
  <c r="G149" i="77"/>
  <c r="F151" i="77"/>
  <c r="F143" i="77"/>
  <c r="F149" i="77"/>
  <c r="J135" i="77"/>
  <c r="J15" i="77"/>
  <c r="E135" i="77"/>
  <c r="E15" i="77"/>
  <c r="D135" i="77"/>
  <c r="D15" i="77"/>
  <c r="F135" i="77"/>
  <c r="F15" i="77"/>
  <c r="L135" i="77"/>
  <c r="L15" i="77"/>
  <c r="G135" i="77"/>
  <c r="G15" i="77"/>
  <c r="I15" i="77"/>
  <c r="K135" i="77"/>
  <c r="K15" i="77"/>
  <c r="H15" i="77"/>
  <c r="L118" i="77"/>
  <c r="L117" i="77"/>
  <c r="L116" i="77"/>
  <c r="L115" i="77"/>
  <c r="L114" i="77"/>
  <c r="L112" i="77"/>
  <c r="L111" i="77"/>
  <c r="L26" i="77" l="1"/>
  <c r="L34" i="77" s="1"/>
  <c r="L44" i="77" s="1"/>
  <c r="L110" i="77" l="1"/>
  <c r="L109" i="77" s="1"/>
  <c r="L142" i="77"/>
  <c r="L47" i="77"/>
  <c r="L51" i="77" s="1"/>
  <c r="L132" i="77" l="1"/>
  <c r="L30" i="75"/>
  <c r="L134" i="77" l="1"/>
  <c r="L136" i="77" s="1"/>
  <c r="L137" i="77" s="1"/>
  <c r="L14" i="75"/>
  <c r="L147" i="77" s="1"/>
  <c r="L138" i="77" l="1"/>
  <c r="L15" i="75"/>
  <c r="L27" i="75" s="1"/>
  <c r="L28" i="75" s="1"/>
  <c r="L20" i="75" l="1"/>
  <c r="K14" i="75"/>
  <c r="J14" i="75"/>
  <c r="I14" i="75"/>
  <c r="H14" i="75"/>
  <c r="G14" i="75"/>
  <c r="E14" i="75"/>
  <c r="D14" i="75"/>
  <c r="L24" i="75" l="1"/>
  <c r="AD15" i="76"/>
  <c r="AD34" i="76"/>
  <c r="K52" i="76"/>
  <c r="AD68" i="76" l="1"/>
  <c r="K64" i="76"/>
  <c r="AD40" i="76"/>
  <c r="AP34" i="76"/>
  <c r="Z34" i="76"/>
  <c r="AB34" i="76"/>
  <c r="AC34" i="76"/>
  <c r="AA34" i="76"/>
  <c r="K66" i="76"/>
  <c r="D12" i="79"/>
  <c r="D31" i="79"/>
  <c r="D118" i="77"/>
  <c r="D117" i="77"/>
  <c r="D116" i="77"/>
  <c r="D115" i="77"/>
  <c r="D114" i="77"/>
  <c r="D112" i="77"/>
  <c r="D111" i="77"/>
  <c r="D93" i="77"/>
  <c r="D26" i="77"/>
  <c r="D34" i="77" s="1"/>
  <c r="D44" i="77" s="1"/>
  <c r="D142" i="77"/>
  <c r="AD64" i="76" l="1"/>
  <c r="AA68" i="76"/>
  <c r="AP68" i="76"/>
  <c r="AC68" i="76"/>
  <c r="Z68" i="76"/>
  <c r="AB68" i="76"/>
  <c r="D147" i="77"/>
  <c r="D130" i="77"/>
  <c r="D96" i="77"/>
  <c r="D148" i="77"/>
  <c r="D13" i="79"/>
  <c r="D47" i="77"/>
  <c r="D127" i="77"/>
  <c r="E7" i="80"/>
  <c r="D110" i="77"/>
  <c r="D20" i="79"/>
  <c r="D30" i="79"/>
  <c r="D21" i="79"/>
  <c r="D52" i="76"/>
  <c r="D30" i="75"/>
  <c r="D19" i="75"/>
  <c r="D64" i="76" l="1"/>
  <c r="D51" i="77"/>
  <c r="D145" i="77"/>
  <c r="D150" i="77" s="1"/>
  <c r="E14" i="80"/>
  <c r="E7" i="82"/>
  <c r="D134" i="77"/>
  <c r="D136" i="77" s="1"/>
  <c r="I7" i="80"/>
  <c r="D132" i="77"/>
  <c r="D109" i="77"/>
  <c r="AO34" i="76"/>
  <c r="D15" i="75"/>
  <c r="D27" i="75" s="1"/>
  <c r="D28" i="75" s="1"/>
  <c r="AO68" i="76" l="1"/>
  <c r="AC7" i="82"/>
  <c r="E17" i="82"/>
  <c r="I7" i="82"/>
  <c r="D137" i="77"/>
  <c r="F7" i="80"/>
  <c r="D20" i="75"/>
  <c r="I17" i="82" l="1"/>
  <c r="J7" i="82" s="1"/>
  <c r="E19" i="82"/>
  <c r="F14" i="80"/>
  <c r="D138" i="77"/>
  <c r="D24" i="75"/>
  <c r="D25" i="75" s="1"/>
  <c r="D66" i="76"/>
  <c r="G7" i="80"/>
  <c r="I19" i="82" l="1"/>
  <c r="G14" i="80"/>
  <c r="X68" i="76"/>
  <c r="Y68" i="76"/>
  <c r="AB15" i="76"/>
  <c r="AC15" i="76"/>
  <c r="Z15" i="76"/>
  <c r="AO15" i="76"/>
  <c r="AP15" i="76"/>
  <c r="AA15" i="76"/>
  <c r="H7" i="80"/>
  <c r="AC40" i="76" l="1"/>
  <c r="Z40" i="76"/>
  <c r="AB40" i="76"/>
  <c r="AP40" i="76"/>
  <c r="AO40" i="76"/>
  <c r="AA40" i="76"/>
  <c r="W68" i="76"/>
  <c r="AP64" i="76" l="1"/>
  <c r="AB64" i="76"/>
  <c r="Z64" i="76"/>
  <c r="AA64" i="76"/>
  <c r="AO64" i="76"/>
  <c r="AC64" i="76"/>
  <c r="K112" i="77"/>
  <c r="J112" i="77"/>
  <c r="I112" i="77"/>
  <c r="H112" i="77"/>
  <c r="G112" i="77"/>
  <c r="F112" i="77"/>
  <c r="K111" i="77"/>
  <c r="J111" i="77"/>
  <c r="I111" i="77"/>
  <c r="H111" i="77"/>
  <c r="G111" i="77"/>
  <c r="F111" i="77"/>
  <c r="E112" i="77"/>
  <c r="E111" i="77"/>
  <c r="K93" i="77"/>
  <c r="K147" i="77" s="1"/>
  <c r="J93" i="77"/>
  <c r="J147" i="77" s="1"/>
  <c r="I93" i="77"/>
  <c r="I147" i="77" s="1"/>
  <c r="H93" i="77"/>
  <c r="H147" i="77" s="1"/>
  <c r="G93" i="77"/>
  <c r="G147" i="77" s="1"/>
  <c r="F93" i="77"/>
  <c r="F147" i="77" s="1"/>
  <c r="E93" i="77"/>
  <c r="K26" i="77"/>
  <c r="K34" i="77" s="1"/>
  <c r="K44" i="77" s="1"/>
  <c r="J26" i="77"/>
  <c r="J34" i="77" s="1"/>
  <c r="J44" i="77" s="1"/>
  <c r="I26" i="77"/>
  <c r="I34" i="77" s="1"/>
  <c r="I44" i="77" s="1"/>
  <c r="H26" i="77"/>
  <c r="H34" i="77" s="1"/>
  <c r="H44" i="77" s="1"/>
  <c r="G26" i="77"/>
  <c r="G34" i="77" s="1"/>
  <c r="G44" i="77" s="1"/>
  <c r="F26" i="77"/>
  <c r="F34" i="77" s="1"/>
  <c r="F44" i="77" s="1"/>
  <c r="E26" i="77"/>
  <c r="E34" i="77" s="1"/>
  <c r="E44" i="77" s="1"/>
  <c r="H142" i="77"/>
  <c r="G142" i="77"/>
  <c r="F142" i="77"/>
  <c r="E142" i="77"/>
  <c r="K142" i="77" l="1"/>
  <c r="E147" i="77"/>
  <c r="E130" i="77"/>
  <c r="J96" i="77"/>
  <c r="J148" i="77"/>
  <c r="K96" i="77"/>
  <c r="K148" i="77"/>
  <c r="E96" i="77"/>
  <c r="E148" i="77"/>
  <c r="I96" i="77"/>
  <c r="I148" i="77"/>
  <c r="J142" i="77"/>
  <c r="F96" i="77"/>
  <c r="F148" i="77"/>
  <c r="G96" i="77"/>
  <c r="G148" i="77"/>
  <c r="I142" i="77"/>
  <c r="H96" i="77"/>
  <c r="H148" i="77"/>
  <c r="H47" i="77"/>
  <c r="I47" i="77"/>
  <c r="J47" i="77"/>
  <c r="K47" i="77"/>
  <c r="E47" i="77"/>
  <c r="E51" i="77" s="1"/>
  <c r="F47" i="77"/>
  <c r="F51" i="77" s="1"/>
  <c r="G47" i="77"/>
  <c r="G51" i="77" s="1"/>
  <c r="I127" i="77"/>
  <c r="E127" i="77"/>
  <c r="F130" i="77"/>
  <c r="F127" i="77"/>
  <c r="G127" i="77"/>
  <c r="G130" i="77"/>
  <c r="J127" i="77"/>
  <c r="K127" i="77"/>
  <c r="H127" i="77"/>
  <c r="H110" i="77"/>
  <c r="H109" i="77" s="1"/>
  <c r="G110" i="77"/>
  <c r="G109" i="77" s="1"/>
  <c r="J110" i="77"/>
  <c r="J109" i="77" s="1"/>
  <c r="K110" i="77"/>
  <c r="K109" i="77" s="1"/>
  <c r="F110" i="77"/>
  <c r="F109" i="77" s="1"/>
  <c r="E110" i="77"/>
  <c r="I110" i="77"/>
  <c r="I109" i="77" s="1"/>
  <c r="K51" i="77" l="1"/>
  <c r="K134" i="77" s="1"/>
  <c r="K136" i="77" s="1"/>
  <c r="J51" i="77"/>
  <c r="J134" i="77" s="1"/>
  <c r="J136" i="77" s="1"/>
  <c r="I51" i="77"/>
  <c r="I134" i="77" s="1"/>
  <c r="H51" i="77"/>
  <c r="H134" i="77" s="1"/>
  <c r="E145" i="77"/>
  <c r="E150" i="77" s="1"/>
  <c r="F145" i="77"/>
  <c r="F150" i="77" s="1"/>
  <c r="G145" i="77"/>
  <c r="G150" i="77" s="1"/>
  <c r="F132" i="77"/>
  <c r="K132" i="77"/>
  <c r="I132" i="77"/>
  <c r="J132" i="77"/>
  <c r="E109" i="77"/>
  <c r="E132" i="77"/>
  <c r="G132" i="77"/>
  <c r="H132" i="77"/>
  <c r="K15" i="75"/>
  <c r="E134" i="77" l="1"/>
  <c r="E136" i="77" s="1"/>
  <c r="E137" i="77" s="1"/>
  <c r="G134" i="77"/>
  <c r="G136" i="77" s="1"/>
  <c r="G137" i="77" s="1"/>
  <c r="F134" i="77"/>
  <c r="F136" i="77" s="1"/>
  <c r="F137" i="77" s="1"/>
  <c r="J137" i="77"/>
  <c r="K137" i="77"/>
  <c r="H117" i="77"/>
  <c r="K117" i="77"/>
  <c r="J117" i="77"/>
  <c r="I117" i="77"/>
  <c r="G117" i="77"/>
  <c r="F117" i="77"/>
  <c r="K116" i="77"/>
  <c r="J116" i="77"/>
  <c r="I116" i="77"/>
  <c r="H116" i="77"/>
  <c r="G116" i="77"/>
  <c r="F116" i="77"/>
  <c r="K115" i="77"/>
  <c r="J115" i="77"/>
  <c r="I115" i="77"/>
  <c r="H115" i="77"/>
  <c r="G115" i="77"/>
  <c r="F115" i="77"/>
  <c r="K114" i="77"/>
  <c r="J114" i="77"/>
  <c r="I114" i="77"/>
  <c r="H114" i="77"/>
  <c r="G114" i="77"/>
  <c r="F114" i="77"/>
  <c r="E117" i="77"/>
  <c r="E116" i="77"/>
  <c r="E115" i="77"/>
  <c r="J138" i="77" l="1"/>
  <c r="F138" i="77"/>
  <c r="G138" i="77"/>
  <c r="E138" i="77"/>
  <c r="K138" i="77"/>
  <c r="G118" i="77"/>
  <c r="H118" i="77"/>
  <c r="I30" i="75" l="1"/>
  <c r="G30" i="75"/>
  <c r="I19" i="75" l="1"/>
  <c r="J52" i="76"/>
  <c r="I52" i="76"/>
  <c r="E52" i="76"/>
  <c r="G52" i="76"/>
  <c r="H52" i="76"/>
  <c r="F52" i="76"/>
  <c r="G64" i="76" l="1"/>
  <c r="I64" i="76"/>
  <c r="F64" i="76"/>
  <c r="H64" i="76"/>
  <c r="J64" i="76"/>
  <c r="E64" i="76"/>
  <c r="G66" i="76"/>
  <c r="I15" i="75"/>
  <c r="I27" i="75" s="1"/>
  <c r="I28" i="75" s="1"/>
  <c r="F21" i="79"/>
  <c r="F20" i="79"/>
  <c r="F66" i="76" l="1"/>
  <c r="E66" i="76"/>
  <c r="H66" i="76"/>
  <c r="I20" i="75"/>
  <c r="J66" i="76"/>
  <c r="I24" i="75" l="1"/>
  <c r="G19" i="75"/>
  <c r="I25" i="75" l="1"/>
  <c r="H30" i="75"/>
  <c r="H19" i="75"/>
  <c r="J19" i="75"/>
  <c r="F19" i="75"/>
  <c r="G15" i="75"/>
  <c r="E19" i="75"/>
  <c r="E15" i="75" l="1"/>
  <c r="E27" i="75" s="1"/>
  <c r="E28" i="75" s="1"/>
  <c r="G20" i="75"/>
  <c r="G27" i="75"/>
  <c r="G28" i="75" s="1"/>
  <c r="J15" i="75"/>
  <c r="F15" i="75"/>
  <c r="G24" i="75" l="1"/>
  <c r="H15" i="75"/>
  <c r="E20" i="75"/>
  <c r="J20" i="75"/>
  <c r="J27" i="75"/>
  <c r="J28" i="75" s="1"/>
  <c r="F20" i="75"/>
  <c r="F27" i="75"/>
  <c r="F28" i="75" s="1"/>
  <c r="K27" i="75"/>
  <c r="G25" i="75" l="1"/>
  <c r="E24" i="75"/>
  <c r="J24" i="75"/>
  <c r="F24" i="75"/>
  <c r="H27" i="75"/>
  <c r="H28" i="75" s="1"/>
  <c r="H20" i="75"/>
  <c r="K28" i="75"/>
  <c r="E25" i="75" l="1"/>
  <c r="F25" i="75"/>
  <c r="J25" i="75"/>
  <c r="H24" i="75"/>
  <c r="I66" i="76"/>
  <c r="H25" i="75" l="1"/>
  <c r="J12" i="79" l="1"/>
  <c r="E12" i="79" l="1"/>
  <c r="G12" i="79"/>
  <c r="H12" i="79"/>
  <c r="F12" i="79"/>
  <c r="I12" i="79"/>
  <c r="F13" i="79" l="1"/>
  <c r="G13" i="79"/>
  <c r="E13" i="79"/>
  <c r="E20" i="79"/>
  <c r="F7" i="82" l="1"/>
  <c r="H7" i="82"/>
  <c r="G7" i="82"/>
  <c r="G20" i="79"/>
  <c r="G21" i="79"/>
  <c r="E21" i="79"/>
  <c r="AF7" i="82" l="1"/>
  <c r="AD7" i="82"/>
  <c r="G17" i="82"/>
  <c r="H17" i="82"/>
  <c r="F17" i="82"/>
  <c r="J17" i="82"/>
  <c r="N7" i="82"/>
  <c r="AE7" i="82"/>
  <c r="F30" i="75"/>
  <c r="F19" i="82" l="1"/>
  <c r="G19" i="82"/>
  <c r="H19" i="82"/>
  <c r="J19" i="82"/>
  <c r="K7" i="82"/>
  <c r="AG7" i="82"/>
  <c r="K30" i="75"/>
  <c r="K17" i="82" l="1"/>
  <c r="E30" i="75"/>
  <c r="K19" i="82" l="1"/>
  <c r="L7" i="82"/>
  <c r="J30" i="75"/>
  <c r="L17" i="82" l="1"/>
  <c r="L19" i="82" s="1"/>
  <c r="M7" i="82" l="1"/>
  <c r="E118" i="77"/>
  <c r="I118" i="77"/>
  <c r="K118" i="77"/>
  <c r="F118" i="77"/>
  <c r="E114" i="77" l="1"/>
  <c r="J118" i="77"/>
  <c r="AC12" i="82" l="1"/>
  <c r="AE12" i="82" l="1"/>
  <c r="AF12" i="82"/>
  <c r="AC9" i="82" l="1"/>
  <c r="AC17" i="82" s="1"/>
  <c r="AC19" i="82" l="1"/>
  <c r="AC11" i="82"/>
  <c r="AD9" i="82" l="1"/>
  <c r="AD17" i="82" s="1"/>
  <c r="AE9" i="82"/>
  <c r="AE17" i="82" s="1"/>
  <c r="AE19" i="82" l="1"/>
  <c r="AD19" i="82"/>
  <c r="AH7" i="82"/>
  <c r="AD11" i="82"/>
  <c r="AE11" i="82"/>
  <c r="AF9" i="82"/>
  <c r="AF17" i="82" s="1"/>
  <c r="AF19" i="82" l="1"/>
  <c r="AI7" i="82"/>
  <c r="AF11" i="82"/>
  <c r="AJ7" i="82"/>
  <c r="AG8" i="82" l="1"/>
  <c r="O126" i="77" l="1"/>
  <c r="O8" i="82"/>
  <c r="O30" i="75"/>
  <c r="O127" i="77" l="1"/>
  <c r="Q114" i="77" l="1"/>
  <c r="Q118" i="77"/>
  <c r="Q112" i="77"/>
  <c r="Q115" i="77"/>
  <c r="Q133" i="77"/>
  <c r="Q117" i="77" l="1"/>
  <c r="Q111" i="77"/>
  <c r="Q93" i="77"/>
  <c r="Q147" i="77" s="1"/>
  <c r="Q116" i="77"/>
  <c r="Q96" i="77" l="1"/>
  <c r="Q142" i="77"/>
  <c r="Q110" i="77"/>
  <c r="Q109" i="77" s="1"/>
  <c r="Q127" i="77"/>
  <c r="Q132" i="77" l="1"/>
  <c r="P18" i="79" l="1"/>
  <c r="AQ23" i="76" l="1"/>
  <c r="AQ32" i="76"/>
  <c r="S26" i="77" l="1"/>
  <c r="S47" i="77" l="1"/>
  <c r="AR63" i="76" l="1"/>
  <c r="AR56" i="76"/>
  <c r="AR59" i="76"/>
  <c r="AR60" i="76"/>
  <c r="AR57" i="76"/>
  <c r="AR55" i="76"/>
  <c r="AR54" i="76"/>
  <c r="AR50" i="76"/>
  <c r="AR42" i="76"/>
  <c r="S31" i="77"/>
  <c r="S143" i="77" l="1"/>
  <c r="S149" i="77"/>
  <c r="AR62" i="76"/>
  <c r="S9" i="75"/>
  <c r="R133" i="77"/>
  <c r="AQ33" i="76"/>
  <c r="AH60" i="76"/>
  <c r="AQ60" i="76"/>
  <c r="S133" i="77"/>
  <c r="AQ28" i="76"/>
  <c r="AH28" i="76"/>
  <c r="AQ50" i="76"/>
  <c r="AQ51" i="76"/>
  <c r="AQ38" i="76"/>
  <c r="AH49" i="76"/>
  <c r="AQ49" i="76"/>
  <c r="AH57" i="76"/>
  <c r="AQ57" i="76"/>
  <c r="AQ63" i="76"/>
  <c r="AH63" i="76"/>
  <c r="R93" i="77"/>
  <c r="S94" i="77"/>
  <c r="AQ25" i="76"/>
  <c r="AQ46" i="76"/>
  <c r="AQ55" i="76"/>
  <c r="AQ27" i="76"/>
  <c r="AH27" i="76"/>
  <c r="AQ39" i="76"/>
  <c r="AQ42" i="76"/>
  <c r="P52" i="76"/>
  <c r="AQ47" i="76"/>
  <c r="AQ48" i="76"/>
  <c r="AQ59" i="76"/>
  <c r="S95" i="77"/>
  <c r="AQ31" i="76"/>
  <c r="AQ54" i="76"/>
  <c r="S105" i="77"/>
  <c r="AQ24" i="76"/>
  <c r="AQ45" i="76"/>
  <c r="AQ56" i="76"/>
  <c r="S10" i="75" l="1"/>
  <c r="AQ52" i="76"/>
  <c r="AQ62" i="76"/>
  <c r="AQ68" i="76"/>
  <c r="R96" i="77"/>
  <c r="R115" i="77"/>
  <c r="R117" i="77"/>
  <c r="S114" i="77"/>
  <c r="S116" i="77"/>
  <c r="S93" i="77"/>
  <c r="S111" i="77"/>
  <c r="S112" i="77"/>
  <c r="S14" i="75"/>
  <c r="S117" i="77"/>
  <c r="R116" i="77"/>
  <c r="S115" i="77"/>
  <c r="R31" i="77"/>
  <c r="R39" i="77"/>
  <c r="R9" i="75" l="1"/>
  <c r="S15" i="75"/>
  <c r="S147" i="77"/>
  <c r="R23" i="77"/>
  <c r="R142" i="77" s="1"/>
  <c r="S96" i="77"/>
  <c r="S142" i="77"/>
  <c r="R118" i="77"/>
  <c r="R114" i="77"/>
  <c r="R26" i="77"/>
  <c r="R111" i="77"/>
  <c r="S110" i="77"/>
  <c r="S109" i="77" s="1"/>
  <c r="R14" i="75"/>
  <c r="S126" i="77"/>
  <c r="S30" i="75"/>
  <c r="R112" i="77"/>
  <c r="R143" i="77" l="1"/>
  <c r="R149" i="77"/>
  <c r="S20" i="75"/>
  <c r="R10" i="75"/>
  <c r="S27" i="75"/>
  <c r="S34" i="77"/>
  <c r="S44" i="77" s="1"/>
  <c r="R34" i="77"/>
  <c r="R44" i="77" s="1"/>
  <c r="R147" i="77"/>
  <c r="S127" i="77"/>
  <c r="AH7" i="76"/>
  <c r="AQ7" i="76"/>
  <c r="R15" i="75"/>
  <c r="S24" i="75"/>
  <c r="R47" i="77"/>
  <c r="R30" i="75"/>
  <c r="R126" i="77"/>
  <c r="S132" i="77"/>
  <c r="S118" i="77"/>
  <c r="R110" i="77"/>
  <c r="R109" i="77" s="1"/>
  <c r="S28" i="75" l="1"/>
  <c r="R20" i="75"/>
  <c r="R27" i="75"/>
  <c r="R127" i="77"/>
  <c r="R132" i="77"/>
  <c r="S25" i="75"/>
  <c r="R28" i="75" l="1"/>
  <c r="R24" i="75"/>
  <c r="R25" i="75" l="1"/>
  <c r="T15" i="77" l="1"/>
  <c r="U15" i="77" l="1"/>
  <c r="AK49" i="76" l="1"/>
  <c r="V15" i="77"/>
  <c r="AK9" i="82" l="1"/>
  <c r="N135" i="77" l="1"/>
  <c r="N136" i="77" l="1"/>
  <c r="N137" i="77" l="1"/>
  <c r="W93" i="77"/>
  <c r="N138" i="77" l="1"/>
  <c r="W96" i="77"/>
  <c r="AR20" i="76" l="1"/>
  <c r="AL20" i="76"/>
  <c r="AR18" i="76"/>
  <c r="AL18" i="76"/>
  <c r="AG14" i="82" l="1"/>
  <c r="AK14" i="82"/>
  <c r="S23" i="79" l="1"/>
  <c r="Q24" i="79"/>
  <c r="S128" i="77"/>
  <c r="S129" i="77" s="1"/>
  <c r="S130" i="77" s="1"/>
  <c r="T133" i="77"/>
  <c r="G14" i="79"/>
  <c r="U133" i="77"/>
  <c r="AG9" i="82"/>
  <c r="AK15" i="82"/>
  <c r="AG13" i="82"/>
  <c r="E14" i="79"/>
  <c r="F14" i="79"/>
  <c r="AI8" i="82"/>
  <c r="AH8" i="82"/>
  <c r="AJ8" i="82"/>
  <c r="T31" i="77"/>
  <c r="T112" i="77"/>
  <c r="V31" i="77"/>
  <c r="AH14" i="82"/>
  <c r="T115" i="77"/>
  <c r="I10" i="80"/>
  <c r="H128" i="77"/>
  <c r="S8" i="80"/>
  <c r="S18" i="79"/>
  <c r="S24" i="79" l="1"/>
  <c r="J24" i="79"/>
  <c r="H23" i="79"/>
  <c r="AG11" i="82"/>
  <c r="M24" i="79"/>
  <c r="K24" i="79"/>
  <c r="I24" i="79"/>
  <c r="P24" i="79"/>
  <c r="N24" i="79"/>
  <c r="H24" i="79"/>
  <c r="L24" i="79"/>
  <c r="S151" i="77"/>
  <c r="J8" i="80"/>
  <c r="V128" i="77"/>
  <c r="V151" i="77" s="1"/>
  <c r="L128" i="77"/>
  <c r="L151" i="77" s="1"/>
  <c r="M128" i="77"/>
  <c r="M151" i="77" s="1"/>
  <c r="K128" i="77"/>
  <c r="K129" i="77" s="1"/>
  <c r="AK16" i="82"/>
  <c r="V112" i="77"/>
  <c r="T117" i="77"/>
  <c r="U117" i="77"/>
  <c r="AK12" i="82"/>
  <c r="U115" i="77"/>
  <c r="AG12" i="82"/>
  <c r="U112" i="77"/>
  <c r="T148" i="77"/>
  <c r="D14" i="79"/>
  <c r="U93" i="77"/>
  <c r="AK10" i="82"/>
  <c r="U116" i="77"/>
  <c r="T116" i="77"/>
  <c r="AK28" i="76"/>
  <c r="V9" i="75"/>
  <c r="T9" i="75"/>
  <c r="V14" i="75"/>
  <c r="U14" i="75"/>
  <c r="M17" i="82"/>
  <c r="K8" i="80"/>
  <c r="V26" i="77"/>
  <c r="I8" i="80"/>
  <c r="L8" i="80"/>
  <c r="Q11" i="79"/>
  <c r="N11" i="79"/>
  <c r="V23" i="77"/>
  <c r="V111" i="77"/>
  <c r="I11" i="79"/>
  <c r="I128" i="77"/>
  <c r="H129" i="77"/>
  <c r="H151" i="77"/>
  <c r="T96" i="77"/>
  <c r="M8" i="80"/>
  <c r="H11" i="79"/>
  <c r="N12" i="80"/>
  <c r="V93" i="77"/>
  <c r="V8" i="80"/>
  <c r="T23" i="77"/>
  <c r="T111" i="77"/>
  <c r="T114" i="77"/>
  <c r="T26" i="77"/>
  <c r="J11" i="79"/>
  <c r="U26" i="77"/>
  <c r="U114" i="77"/>
  <c r="L11" i="79"/>
  <c r="N9" i="80"/>
  <c r="K11" i="79"/>
  <c r="U23" i="77"/>
  <c r="U111" i="77"/>
  <c r="N10" i="80"/>
  <c r="J128" i="77"/>
  <c r="M11" i="79"/>
  <c r="AJ9" i="82"/>
  <c r="AI9" i="82"/>
  <c r="AH9" i="82"/>
  <c r="K25" i="79" l="1"/>
  <c r="J25" i="79"/>
  <c r="AG17" i="82"/>
  <c r="M25" i="79"/>
  <c r="H25" i="79"/>
  <c r="I25" i="79"/>
  <c r="S25" i="79"/>
  <c r="L25" i="79"/>
  <c r="R24" i="79"/>
  <c r="O24" i="79"/>
  <c r="N25" i="79"/>
  <c r="V149" i="77"/>
  <c r="V143" i="77"/>
  <c r="T149" i="77"/>
  <c r="T143" i="77"/>
  <c r="T34" i="77"/>
  <c r="T44" i="77" s="1"/>
  <c r="L26" i="79"/>
  <c r="Q25" i="79"/>
  <c r="Q26" i="79"/>
  <c r="H26" i="79"/>
  <c r="N26" i="79"/>
  <c r="I26" i="79"/>
  <c r="J26" i="79"/>
  <c r="M26" i="79"/>
  <c r="K26" i="79"/>
  <c r="S26" i="79"/>
  <c r="V34" i="77"/>
  <c r="V44" i="77" s="1"/>
  <c r="M129" i="77"/>
  <c r="M130" i="77" s="1"/>
  <c r="L129" i="77"/>
  <c r="L130" i="77" s="1"/>
  <c r="K151" i="77"/>
  <c r="V15" i="75"/>
  <c r="I14" i="80"/>
  <c r="H8" i="80"/>
  <c r="Q128" i="77"/>
  <c r="Q151" i="77" s="1"/>
  <c r="R128" i="77"/>
  <c r="R151" i="77" s="1"/>
  <c r="U96" i="77"/>
  <c r="AO10" i="82"/>
  <c r="K130" i="77"/>
  <c r="H130" i="77"/>
  <c r="R8" i="80"/>
  <c r="N17" i="82"/>
  <c r="V10" i="75"/>
  <c r="U147" i="77"/>
  <c r="V47" i="77"/>
  <c r="T10" i="75"/>
  <c r="N30" i="79"/>
  <c r="Q31" i="79"/>
  <c r="M19" i="82"/>
  <c r="O7" i="82"/>
  <c r="O11" i="79"/>
  <c r="N20" i="79"/>
  <c r="N31" i="79"/>
  <c r="N19" i="79"/>
  <c r="N8" i="80"/>
  <c r="V96" i="77"/>
  <c r="Q30" i="79"/>
  <c r="V147" i="77"/>
  <c r="I129" i="77"/>
  <c r="I151" i="77"/>
  <c r="H31" i="79"/>
  <c r="H30" i="79"/>
  <c r="H21" i="79"/>
  <c r="H20" i="79"/>
  <c r="H13" i="79"/>
  <c r="U142" i="77"/>
  <c r="U110" i="77"/>
  <c r="J31" i="79"/>
  <c r="J30" i="79"/>
  <c r="J21" i="79"/>
  <c r="J20" i="79"/>
  <c r="J13" i="79"/>
  <c r="T47" i="77"/>
  <c r="I31" i="79"/>
  <c r="I30" i="79"/>
  <c r="I13" i="79"/>
  <c r="I20" i="79"/>
  <c r="I21" i="79"/>
  <c r="R11" i="79"/>
  <c r="T110" i="77"/>
  <c r="T142" i="77"/>
  <c r="M31" i="79"/>
  <c r="M30" i="79"/>
  <c r="M19" i="79"/>
  <c r="M20" i="79"/>
  <c r="U47" i="77"/>
  <c r="K13" i="79"/>
  <c r="K31" i="79"/>
  <c r="K30" i="79"/>
  <c r="K19" i="79"/>
  <c r="K20" i="79"/>
  <c r="J129" i="77"/>
  <c r="N128" i="77"/>
  <c r="J151" i="77"/>
  <c r="L13" i="79"/>
  <c r="L30" i="79"/>
  <c r="L31" i="79"/>
  <c r="L20" i="79"/>
  <c r="L19" i="79"/>
  <c r="P11" i="79"/>
  <c r="Q8" i="80"/>
  <c r="V110" i="77"/>
  <c r="V142" i="77"/>
  <c r="S30" i="79"/>
  <c r="S20" i="79"/>
  <c r="S31" i="79"/>
  <c r="S19" i="79"/>
  <c r="AG19" i="82" l="1"/>
  <c r="R25" i="79"/>
  <c r="V20" i="75"/>
  <c r="O25" i="79"/>
  <c r="O26" i="79"/>
  <c r="V27" i="75"/>
  <c r="R26" i="79"/>
  <c r="P25" i="79"/>
  <c r="P26" i="79"/>
  <c r="Q129" i="77"/>
  <c r="Q130" i="77" s="1"/>
  <c r="R129" i="77"/>
  <c r="R130" i="77" s="1"/>
  <c r="J7" i="80"/>
  <c r="H14" i="80"/>
  <c r="J130" i="77"/>
  <c r="I130" i="77"/>
  <c r="N19" i="82"/>
  <c r="J14" i="79"/>
  <c r="H14" i="79"/>
  <c r="I14" i="79"/>
  <c r="K14" i="79"/>
  <c r="V28" i="75"/>
  <c r="L21" i="79"/>
  <c r="V25" i="75"/>
  <c r="N21" i="79"/>
  <c r="O31" i="79"/>
  <c r="S21" i="79"/>
  <c r="K21" i="79"/>
  <c r="M21" i="79"/>
  <c r="O20" i="79"/>
  <c r="O19" i="79"/>
  <c r="O30" i="79"/>
  <c r="R30" i="79"/>
  <c r="R31" i="79"/>
  <c r="U109" i="77"/>
  <c r="U132" i="77"/>
  <c r="V109" i="77"/>
  <c r="V132" i="77"/>
  <c r="N129" i="77"/>
  <c r="N151" i="77"/>
  <c r="P31" i="79"/>
  <c r="P30" i="79"/>
  <c r="P20" i="79"/>
  <c r="P19" i="79"/>
  <c r="P13" i="79"/>
  <c r="T109" i="77"/>
  <c r="T132" i="77"/>
  <c r="N7" i="80" l="1"/>
  <c r="J14" i="80"/>
  <c r="N130" i="77"/>
  <c r="P21" i="79"/>
  <c r="O21" i="79"/>
  <c r="T30" i="75"/>
  <c r="T126" i="77"/>
  <c r="S11" i="82"/>
  <c r="AK8" i="82"/>
  <c r="K7" i="80" l="1"/>
  <c r="N14" i="80"/>
  <c r="L14" i="79"/>
  <c r="AK11" i="82"/>
  <c r="T11" i="82"/>
  <c r="T127" i="77"/>
  <c r="Q40" i="76" l="1"/>
  <c r="AI7" i="76"/>
  <c r="O7" i="80"/>
  <c r="K14" i="80"/>
  <c r="AI40" i="76" l="1"/>
  <c r="Q64" i="76"/>
  <c r="L7" i="80"/>
  <c r="S7" i="80"/>
  <c r="AI64" i="76" l="1"/>
  <c r="S14" i="80"/>
  <c r="L14" i="80"/>
  <c r="AK7" i="82"/>
  <c r="M7" i="80" l="1"/>
  <c r="M14" i="80" l="1"/>
  <c r="AR49" i="76" l="1"/>
  <c r="AL49" i="76"/>
  <c r="T18" i="79" l="1"/>
  <c r="AR51" i="76" l="1"/>
  <c r="AR28" i="76"/>
  <c r="AL28" i="76"/>
  <c r="AR25" i="76"/>
  <c r="AR31" i="76"/>
  <c r="AR44" i="76"/>
  <c r="AR21" i="76"/>
  <c r="AR32" i="76"/>
  <c r="AR45" i="76"/>
  <c r="AR23" i="76"/>
  <c r="AR34" i="76"/>
  <c r="AR47" i="76"/>
  <c r="AL47" i="76"/>
  <c r="AR33" i="76"/>
  <c r="AR24" i="76"/>
  <c r="AR38" i="76"/>
  <c r="AL48" i="76"/>
  <c r="AR48" i="76"/>
  <c r="AR46" i="76"/>
  <c r="AR27" i="76"/>
  <c r="AR39" i="76"/>
  <c r="AL39" i="76"/>
  <c r="AR52" i="76" l="1"/>
  <c r="AR68" i="76"/>
  <c r="AO12" i="82" l="1"/>
  <c r="T24" i="79" l="1"/>
  <c r="T25" i="79" l="1"/>
  <c r="T26" i="79"/>
  <c r="T19" i="79"/>
  <c r="T30" i="79"/>
  <c r="T31" i="79"/>
  <c r="T20" i="79"/>
  <c r="T21" i="79" l="1"/>
  <c r="R18" i="79" l="1"/>
  <c r="Q18" i="79"/>
  <c r="K19" i="75" l="1"/>
  <c r="Q20" i="79"/>
  <c r="Q19" i="79"/>
  <c r="R19" i="79"/>
  <c r="R20" i="79"/>
  <c r="AO15" i="82"/>
  <c r="Q21" i="79" l="1"/>
  <c r="R21" i="79"/>
  <c r="K20" i="75"/>
  <c r="AI14" i="82"/>
  <c r="AO13" i="82"/>
  <c r="AO9" i="82"/>
  <c r="K24" i="75" l="1"/>
  <c r="N13" i="79"/>
  <c r="AO16" i="82"/>
  <c r="K25" i="75" l="1"/>
  <c r="P141" i="77"/>
  <c r="P144" i="77" s="1"/>
  <c r="G152" i="77"/>
  <c r="M141" i="77"/>
  <c r="M144" i="77" s="1"/>
  <c r="O141" i="77"/>
  <c r="O144" i="77" s="1"/>
  <c r="E141" i="77"/>
  <c r="E144" i="77" s="1"/>
  <c r="D141" i="77"/>
  <c r="D144" i="77" s="1"/>
  <c r="F152" i="77"/>
  <c r="J141" i="77"/>
  <c r="J144" i="77" s="1"/>
  <c r="E152" i="77"/>
  <c r="Q141" i="77"/>
  <c r="Q144" i="77" s="1"/>
  <c r="G141" i="77"/>
  <c r="G144" i="77" s="1"/>
  <c r="V141" i="77"/>
  <c r="V144" i="77" s="1"/>
  <c r="I141" i="77"/>
  <c r="I144" i="77" s="1"/>
  <c r="D152" i="77"/>
  <c r="C150" i="77"/>
  <c r="C152" i="77" s="1"/>
  <c r="C141" i="77"/>
  <c r="C144" i="77" s="1"/>
  <c r="K141" i="77"/>
  <c r="K144" i="77" s="1"/>
  <c r="T141" i="77"/>
  <c r="T144" i="77" s="1"/>
  <c r="F141" i="77"/>
  <c r="F144" i="77" s="1"/>
  <c r="S141" i="77"/>
  <c r="S144" i="77" s="1"/>
  <c r="L141" i="77"/>
  <c r="L144" i="77" s="1"/>
  <c r="R141" i="77"/>
  <c r="R144" i="77" s="1"/>
  <c r="N141" i="77"/>
  <c r="N144" i="77" s="1"/>
  <c r="H141" i="77"/>
  <c r="H144" i="77" s="1"/>
  <c r="F153" i="77" l="1"/>
  <c r="D153" i="77"/>
  <c r="E153" i="77"/>
  <c r="C153" i="77"/>
  <c r="G153" i="77"/>
  <c r="T118" i="77" l="1"/>
  <c r="W12" i="77" l="1"/>
  <c r="W135" i="77" s="1"/>
  <c r="V12" i="77" l="1"/>
  <c r="V135" i="77" s="1"/>
  <c r="Q12" i="77"/>
  <c r="Q135" i="77" s="1"/>
  <c r="T12" i="77" l="1"/>
  <c r="T135" i="77" s="1"/>
  <c r="R12" i="77"/>
  <c r="R135" i="77" s="1"/>
  <c r="M12" i="77"/>
  <c r="M135" i="77" s="1"/>
  <c r="M136" i="77" s="1"/>
  <c r="M137" i="77" s="1"/>
  <c r="M138" i="77" s="1"/>
  <c r="I8" i="77" l="1"/>
  <c r="I12" i="77" s="1"/>
  <c r="I135" i="77" s="1"/>
  <c r="I136" i="77" s="1"/>
  <c r="I137" i="77" s="1"/>
  <c r="I138" i="77" s="1"/>
  <c r="H12" i="77"/>
  <c r="H135" i="77" s="1"/>
  <c r="H136" i="77" s="1"/>
  <c r="H137" i="77" s="1"/>
  <c r="H138" i="77" s="1"/>
  <c r="U12" i="77"/>
  <c r="U135" i="77" s="1"/>
  <c r="S12" i="77"/>
  <c r="S135" i="77" s="1"/>
  <c r="AM31" i="76" l="1"/>
  <c r="AM55" i="76"/>
  <c r="AM15" i="76"/>
  <c r="U62" i="74"/>
  <c r="AM32" i="76"/>
  <c r="AM44" i="76"/>
  <c r="AM56" i="76"/>
  <c r="AM45" i="76"/>
  <c r="AM10" i="76"/>
  <c r="AM25" i="76"/>
  <c r="AM34" i="76"/>
  <c r="AM46" i="76"/>
  <c r="AM58" i="76"/>
  <c r="AM9" i="76"/>
  <c r="U18" i="79"/>
  <c r="AM11" i="76"/>
  <c r="AM26" i="76"/>
  <c r="AM35" i="76"/>
  <c r="AM48" i="76"/>
  <c r="AM59" i="76"/>
  <c r="AM24" i="76"/>
  <c r="AM12" i="76"/>
  <c r="AM27" i="76"/>
  <c r="AM36" i="76"/>
  <c r="AM60" i="76"/>
  <c r="AM33" i="76"/>
  <c r="AM13" i="76"/>
  <c r="AM29" i="76"/>
  <c r="AM37" i="76"/>
  <c r="AM51" i="76"/>
  <c r="AM61" i="76"/>
  <c r="Y128" i="77"/>
  <c r="Y151" i="77" s="1"/>
  <c r="AM57" i="76"/>
  <c r="AM14" i="76"/>
  <c r="AM30" i="76"/>
  <c r="AM38" i="76"/>
  <c r="AM63" i="76"/>
  <c r="U30" i="74"/>
  <c r="U54" i="74"/>
  <c r="U34" i="74"/>
  <c r="Y8" i="80"/>
  <c r="AM42" i="76"/>
  <c r="U52" i="76"/>
  <c r="U68" i="76"/>
  <c r="AM23" i="76"/>
  <c r="U46" i="74"/>
  <c r="U19" i="79"/>
  <c r="U20" i="79"/>
  <c r="AM50" i="76"/>
  <c r="AL50" i="76"/>
  <c r="U20" i="74"/>
  <c r="U62" i="76"/>
  <c r="AM54" i="76"/>
  <c r="U21" i="79" l="1"/>
  <c r="U63" i="74"/>
  <c r="AM62" i="76"/>
  <c r="AM68" i="76"/>
  <c r="U35" i="74"/>
  <c r="Y23" i="77"/>
  <c r="Y39" i="77"/>
  <c r="Y31" i="77"/>
  <c r="Y26" i="77"/>
  <c r="Y34" i="77" s="1"/>
  <c r="Y44" i="77" s="1"/>
  <c r="Y143" i="77"/>
  <c r="AM52" i="76"/>
  <c r="Y47" i="77" l="1"/>
  <c r="Y149" i="77"/>
  <c r="J146" i="77" l="1"/>
  <c r="J145" i="77" s="1"/>
  <c r="J150" i="77" s="1"/>
  <c r="J152" i="77" l="1"/>
  <c r="J153" i="77"/>
  <c r="AJ56" i="76" l="1"/>
  <c r="O15" i="82"/>
  <c r="AF56" i="76"/>
  <c r="AE56" i="76"/>
  <c r="P15" i="82" l="1"/>
  <c r="AI15" i="82"/>
  <c r="AJ15" i="82"/>
  <c r="AH15" i="82"/>
  <c r="AG56" i="76"/>
  <c r="AH56" i="76"/>
  <c r="AJ29" i="76" l="1"/>
  <c r="AJ30" i="76"/>
  <c r="AJ21" i="76"/>
  <c r="AJ31" i="76"/>
  <c r="AJ58" i="76"/>
  <c r="AJ27" i="76"/>
  <c r="AJ15" i="76"/>
  <c r="AJ19" i="76"/>
  <c r="AJ10" i="76"/>
  <c r="AJ12" i="76"/>
  <c r="AJ24" i="76"/>
  <c r="AJ13" i="76"/>
  <c r="AJ17" i="76"/>
  <c r="AJ9" i="76"/>
  <c r="AJ25" i="76"/>
  <c r="AJ14" i="76"/>
  <c r="AJ26" i="76"/>
  <c r="AJ35" i="76"/>
  <c r="AJ36" i="76"/>
  <c r="AJ47" i="76"/>
  <c r="AK47" i="76"/>
  <c r="AJ63" i="76"/>
  <c r="AK63" i="76"/>
  <c r="AJ46" i="76"/>
  <c r="AJ37" i="76"/>
  <c r="AJ50" i="76"/>
  <c r="AJ38" i="76"/>
  <c r="AJ51" i="76"/>
  <c r="AJ39" i="76"/>
  <c r="AK39" i="76"/>
  <c r="AJ54" i="76"/>
  <c r="R62" i="76"/>
  <c r="AJ61" i="76"/>
  <c r="AJ23" i="76"/>
  <c r="R68" i="76"/>
  <c r="AJ32" i="76"/>
  <c r="AJ33" i="76"/>
  <c r="AJ44" i="76"/>
  <c r="AJ59" i="76"/>
  <c r="AJ34" i="76"/>
  <c r="AJ45" i="76"/>
  <c r="AJ60" i="76"/>
  <c r="U148" i="77" l="1"/>
  <c r="AJ68" i="76"/>
  <c r="AJ11" i="76"/>
  <c r="AJ62" i="76"/>
  <c r="AJ42" i="76"/>
  <c r="R52" i="76"/>
  <c r="AJ52" i="76" l="1"/>
  <c r="AP12" i="82" l="1"/>
  <c r="J49" i="77" l="1"/>
  <c r="L49" i="77"/>
  <c r="E49" i="77" l="1"/>
  <c r="F49" i="77"/>
  <c r="D49" i="77"/>
  <c r="O49" i="77"/>
  <c r="G49" i="77"/>
  <c r="Y49" i="77" l="1"/>
  <c r="Y51" i="77" l="1"/>
  <c r="Y134" i="77" s="1"/>
  <c r="AP9" i="82" l="1"/>
  <c r="AP16" i="82"/>
  <c r="AP14" i="82" l="1"/>
  <c r="AP15" i="82"/>
  <c r="AP13" i="82"/>
  <c r="Y25" i="75" l="1"/>
  <c r="Y9" i="75"/>
  <c r="Y10" i="75" l="1"/>
  <c r="X128" i="77" l="1"/>
  <c r="X151" i="77" s="1"/>
  <c r="X8" i="80"/>
  <c r="X14" i="80" l="1"/>
  <c r="X14" i="75" l="1"/>
  <c r="X23" i="77"/>
  <c r="X39" i="77"/>
  <c r="X31" i="77"/>
  <c r="X34" i="77" s="1"/>
  <c r="X26" i="77"/>
  <c r="X47" i="77" l="1"/>
  <c r="X143" i="77"/>
  <c r="X149" i="77"/>
  <c r="X49" i="77" l="1"/>
  <c r="P49" i="77" l="1"/>
  <c r="P146" i="77" l="1"/>
  <c r="X51" i="77" l="1"/>
  <c r="X134" i="77" s="1"/>
  <c r="P51" i="77" l="1"/>
  <c r="P134" i="77" s="1"/>
  <c r="P136" i="77" s="1"/>
  <c r="P137" i="77" s="1"/>
  <c r="P138" i="77" s="1"/>
  <c r="AG12" i="76" l="1"/>
  <c r="AG16" i="76"/>
  <c r="AG19" i="76"/>
  <c r="AG15" i="76"/>
  <c r="AG13" i="76"/>
  <c r="AG14" i="76"/>
  <c r="AG10" i="76"/>
  <c r="AG11" i="76"/>
  <c r="AG17" i="76"/>
  <c r="AF23" i="76"/>
  <c r="AE23" i="76"/>
  <c r="AF38" i="76"/>
  <c r="AE38" i="76"/>
  <c r="AF54" i="76"/>
  <c r="AE54" i="76"/>
  <c r="AF9" i="76"/>
  <c r="AE9" i="76"/>
  <c r="AF24" i="76"/>
  <c r="AE24" i="76"/>
  <c r="AF10" i="76"/>
  <c r="AE10" i="76"/>
  <c r="AF14" i="76"/>
  <c r="AE14" i="76"/>
  <c r="AF31" i="76"/>
  <c r="AE31" i="76"/>
  <c r="AF51" i="76"/>
  <c r="AE51" i="76"/>
  <c r="AF16" i="76"/>
  <c r="AE16" i="76"/>
  <c r="AF25" i="76"/>
  <c r="AE25" i="76"/>
  <c r="AE15" i="76"/>
  <c r="AF15" i="76"/>
  <c r="AF19" i="76"/>
  <c r="AE19" i="76"/>
  <c r="AF32" i="76"/>
  <c r="AE32" i="76"/>
  <c r="AE42" i="76"/>
  <c r="AF42" i="76"/>
  <c r="AF12" i="76"/>
  <c r="AE12" i="76"/>
  <c r="AF13" i="76"/>
  <c r="AE13" i="76"/>
  <c r="AF33" i="76"/>
  <c r="AE33" i="76"/>
  <c r="AF17" i="76"/>
  <c r="AE17" i="76"/>
  <c r="AG50" i="76"/>
  <c r="AH50" i="76"/>
  <c r="AG23" i="76"/>
  <c r="AH23" i="76"/>
  <c r="AH34" i="76"/>
  <c r="AG34" i="76"/>
  <c r="AG54" i="76"/>
  <c r="AH54" i="76"/>
  <c r="AH14" i="76"/>
  <c r="AQ14" i="76"/>
  <c r="AR14" i="76"/>
  <c r="AH17" i="76"/>
  <c r="AQ17" i="76"/>
  <c r="AR17" i="76"/>
  <c r="AH19" i="76"/>
  <c r="AQ19" i="76"/>
  <c r="AR19" i="76"/>
  <c r="AG9" i="76"/>
  <c r="AG24" i="76"/>
  <c r="AH24" i="76"/>
  <c r="AH61" i="76"/>
  <c r="AG61" i="76"/>
  <c r="AG31" i="76"/>
  <c r="AH31" i="76"/>
  <c r="AG51" i="76"/>
  <c r="AH51" i="76"/>
  <c r="AG25" i="76"/>
  <c r="AH25" i="76"/>
  <c r="AH36" i="76"/>
  <c r="AG36" i="76"/>
  <c r="AG32" i="76"/>
  <c r="AH32" i="76"/>
  <c r="AG45" i="76"/>
  <c r="AH45" i="76"/>
  <c r="AH9" i="76"/>
  <c r="AQ9" i="76"/>
  <c r="S148" i="77"/>
  <c r="AR9" i="76"/>
  <c r="AH12" i="76"/>
  <c r="AQ12" i="76"/>
  <c r="AR12" i="76"/>
  <c r="AH15" i="76"/>
  <c r="AQ15" i="76"/>
  <c r="AR15" i="76"/>
  <c r="AQ16" i="76"/>
  <c r="AH16" i="76"/>
  <c r="AR16" i="76"/>
  <c r="AG42" i="76"/>
  <c r="AH42" i="76"/>
  <c r="AL16" i="76"/>
  <c r="I49" i="77"/>
  <c r="K49" i="77"/>
  <c r="N49" i="77"/>
  <c r="W39" i="77"/>
  <c r="W115" i="77"/>
  <c r="W117" i="77"/>
  <c r="W112" i="77"/>
  <c r="O51" i="77"/>
  <c r="O134" i="77" s="1"/>
  <c r="O136" i="77" s="1"/>
  <c r="O137" i="77" s="1"/>
  <c r="O138" i="77" s="1"/>
  <c r="W116" i="77"/>
  <c r="O128" i="77" l="1"/>
  <c r="P128" i="77"/>
  <c r="M62" i="76"/>
  <c r="Q148" i="77"/>
  <c r="O12" i="82"/>
  <c r="M52" i="76"/>
  <c r="O8" i="80"/>
  <c r="P129" i="77"/>
  <c r="P130" i="77" s="1"/>
  <c r="P151" i="77"/>
  <c r="AF46" i="76"/>
  <c r="AE46" i="76"/>
  <c r="AH13" i="82"/>
  <c r="O129" i="77"/>
  <c r="O130" i="77" s="1"/>
  <c r="O151" i="77"/>
  <c r="AF37" i="76"/>
  <c r="AE37" i="76"/>
  <c r="AF36" i="76"/>
  <c r="AE36" i="76"/>
  <c r="AF35" i="76"/>
  <c r="AE35" i="76"/>
  <c r="AE61" i="76"/>
  <c r="AF61" i="76"/>
  <c r="O148" i="77"/>
  <c r="M68" i="76"/>
  <c r="AE34" i="76"/>
  <c r="AF34" i="76"/>
  <c r="AF50" i="76"/>
  <c r="AE50" i="76"/>
  <c r="AE58" i="76"/>
  <c r="AF58" i="76"/>
  <c r="AF11" i="76"/>
  <c r="AE11" i="76"/>
  <c r="P148" i="77"/>
  <c r="P145" i="77" s="1"/>
  <c r="P150" i="77" s="1"/>
  <c r="P8" i="80"/>
  <c r="AF59" i="76"/>
  <c r="AE59" i="76"/>
  <c r="M40" i="76"/>
  <c r="AH10" i="82"/>
  <c r="O11" i="82"/>
  <c r="O17" i="82"/>
  <c r="AF63" i="76"/>
  <c r="AE63" i="76"/>
  <c r="AE39" i="76"/>
  <c r="AF39" i="76"/>
  <c r="AF45" i="76"/>
  <c r="AE45" i="76"/>
  <c r="AH12" i="82"/>
  <c r="AF47" i="76"/>
  <c r="AE47" i="76"/>
  <c r="AG55" i="76"/>
  <c r="AH55" i="76"/>
  <c r="AG48" i="76"/>
  <c r="AH48" i="76"/>
  <c r="O52" i="76"/>
  <c r="O62" i="76"/>
  <c r="R148" i="77"/>
  <c r="AG46" i="76"/>
  <c r="AH46" i="76"/>
  <c r="AG38" i="76"/>
  <c r="AH38" i="76"/>
  <c r="Q11" i="82"/>
  <c r="AH37" i="76"/>
  <c r="AG37" i="76"/>
  <c r="AH58" i="76"/>
  <c r="AG58" i="76"/>
  <c r="O40" i="76"/>
  <c r="AL15" i="82"/>
  <c r="AH35" i="76"/>
  <c r="AG35" i="76"/>
  <c r="AG59" i="76"/>
  <c r="AH59" i="76"/>
  <c r="AG39" i="76"/>
  <c r="AH39" i="76"/>
  <c r="AH11" i="76"/>
  <c r="AQ11" i="76"/>
  <c r="AR11" i="76"/>
  <c r="AG47" i="76"/>
  <c r="AH47" i="76"/>
  <c r="AK13" i="82"/>
  <c r="S17" i="82"/>
  <c r="O68" i="76"/>
  <c r="AG33" i="76"/>
  <c r="AH33" i="76"/>
  <c r="AL58" i="76"/>
  <c r="AK58" i="76"/>
  <c r="W23" i="77"/>
  <c r="W111" i="77"/>
  <c r="W26" i="77"/>
  <c r="W47" i="77" s="1"/>
  <c r="W114" i="77"/>
  <c r="S146" i="77"/>
  <c r="S145" i="77" s="1"/>
  <c r="S150" i="77" s="1"/>
  <c r="I146" i="77"/>
  <c r="I145" i="77" s="1"/>
  <c r="I150" i="77" s="1"/>
  <c r="H49" i="77"/>
  <c r="AH11" i="82" l="1"/>
  <c r="O14" i="80"/>
  <c r="P11" i="82"/>
  <c r="M64" i="76"/>
  <c r="AK17" i="82"/>
  <c r="AE62" i="76"/>
  <c r="AN15" i="82"/>
  <c r="AG68" i="76"/>
  <c r="AH62" i="76"/>
  <c r="AN16" i="82"/>
  <c r="AF62" i="76"/>
  <c r="AF68" i="76"/>
  <c r="R13" i="82"/>
  <c r="AM15" i="82"/>
  <c r="O13" i="79"/>
  <c r="AE68" i="76"/>
  <c r="P13" i="82"/>
  <c r="AH68" i="76"/>
  <c r="AG52" i="76"/>
  <c r="AG40" i="76"/>
  <c r="AE40" i="76"/>
  <c r="AE52" i="76"/>
  <c r="AG62" i="76"/>
  <c r="AG64" i="76" s="1"/>
  <c r="AH52" i="76"/>
  <c r="AF52" i="76"/>
  <c r="T49" i="77"/>
  <c r="T51" i="77"/>
  <c r="T134" i="77" s="1"/>
  <c r="T136" i="77" s="1"/>
  <c r="T137" i="77" s="1"/>
  <c r="T138" i="77" s="1"/>
  <c r="L146" i="77"/>
  <c r="L145" i="77" s="1"/>
  <c r="L150" i="77" s="1"/>
  <c r="K146" i="77"/>
  <c r="K145" i="77" s="1"/>
  <c r="K150" i="77" s="1"/>
  <c r="N146" i="77"/>
  <c r="N145" i="77" s="1"/>
  <c r="N150" i="77" s="1"/>
  <c r="I152" i="77"/>
  <c r="I153" i="77"/>
  <c r="AJ10" i="82"/>
  <c r="AI10" i="82"/>
  <c r="O19" i="82"/>
  <c r="P7" i="82"/>
  <c r="AF40" i="76"/>
  <c r="P152" i="77"/>
  <c r="P153" i="77"/>
  <c r="P12" i="82"/>
  <c r="AL12" i="82" s="1"/>
  <c r="AH17" i="82"/>
  <c r="AM10" i="82"/>
  <c r="AM12" i="82"/>
  <c r="AQ13" i="76"/>
  <c r="AH13" i="76"/>
  <c r="AR13" i="76"/>
  <c r="AL10" i="82"/>
  <c r="O64" i="76"/>
  <c r="AL9" i="82"/>
  <c r="AM9" i="82"/>
  <c r="AJ13" i="82"/>
  <c r="AL13" i="82"/>
  <c r="AL16" i="82"/>
  <c r="AM16" i="82"/>
  <c r="AN10" i="82"/>
  <c r="AH10" i="76"/>
  <c r="AQ10" i="76"/>
  <c r="AR10" i="76"/>
  <c r="P40" i="76"/>
  <c r="Q49" i="77"/>
  <c r="Q51" i="77"/>
  <c r="Q134" i="77" s="1"/>
  <c r="Q136" i="77" s="1"/>
  <c r="Q137" i="77" s="1"/>
  <c r="Q138" i="77" s="1"/>
  <c r="T7" i="82"/>
  <c r="S19" i="82"/>
  <c r="AJ14" i="82"/>
  <c r="S152" i="77"/>
  <c r="S153" i="77"/>
  <c r="S49" i="77"/>
  <c r="S51" i="77"/>
  <c r="S134" i="77" s="1"/>
  <c r="S136" i="77" s="1"/>
  <c r="S137" i="77" s="1"/>
  <c r="S138" i="77" s="1"/>
  <c r="W110" i="77"/>
  <c r="W142" i="77"/>
  <c r="M49" i="77"/>
  <c r="AK19" i="82" l="1"/>
  <c r="AQ40" i="76"/>
  <c r="T17" i="82"/>
  <c r="AI13" i="82"/>
  <c r="M13" i="79"/>
  <c r="O66" i="76"/>
  <c r="AE64" i="76"/>
  <c r="P7" i="80"/>
  <c r="AM13" i="82"/>
  <c r="P64" i="76"/>
  <c r="AJ11" i="82"/>
  <c r="M66" i="76"/>
  <c r="AF64" i="76"/>
  <c r="P17" i="82"/>
  <c r="AH40" i="76"/>
  <c r="N152" i="77"/>
  <c r="N153" i="77"/>
  <c r="K152" i="77"/>
  <c r="K153" i="77"/>
  <c r="L152" i="77"/>
  <c r="L153" i="77"/>
  <c r="AL7" i="82"/>
  <c r="AH19" i="82"/>
  <c r="AI12" i="82"/>
  <c r="AJ12" i="82"/>
  <c r="AI11" i="82"/>
  <c r="T19" i="82"/>
  <c r="U7" i="82"/>
  <c r="AL14" i="82"/>
  <c r="R49" i="77"/>
  <c r="R51" i="77"/>
  <c r="R134" i="77" s="1"/>
  <c r="R136" i="77" s="1"/>
  <c r="R137" i="77" s="1"/>
  <c r="R138" i="77" s="1"/>
  <c r="W109" i="77"/>
  <c r="W132" i="77"/>
  <c r="AJ17" i="82" l="1"/>
  <c r="AH64" i="76"/>
  <c r="P66" i="76"/>
  <c r="AQ64" i="76"/>
  <c r="P19" i="82"/>
  <c r="P14" i="80"/>
  <c r="AI17" i="82"/>
  <c r="Q7" i="82"/>
  <c r="M146" i="77"/>
  <c r="M145" i="77" s="1"/>
  <c r="M150" i="77" s="1"/>
  <c r="O146" i="77"/>
  <c r="O145" i="77" s="1"/>
  <c r="O150" i="77" s="1"/>
  <c r="AJ19" i="82"/>
  <c r="AN7" i="82"/>
  <c r="Q146" i="77"/>
  <c r="Q145" i="77" s="1"/>
  <c r="Q150" i="77" s="1"/>
  <c r="H146" i="77"/>
  <c r="H145" i="77" s="1"/>
  <c r="H150" i="77" s="1"/>
  <c r="P14" i="79" l="1"/>
  <c r="M14" i="79"/>
  <c r="Q17" i="82"/>
  <c r="N14" i="79"/>
  <c r="Q65" i="76"/>
  <c r="T65" i="76"/>
  <c r="O14" i="79"/>
  <c r="AI19" i="82"/>
  <c r="Q7" i="80"/>
  <c r="AM7" i="82"/>
  <c r="H152" i="77"/>
  <c r="H153" i="77"/>
  <c r="M152" i="77"/>
  <c r="M153" i="77"/>
  <c r="O152" i="77"/>
  <c r="O153" i="77"/>
  <c r="R146" i="77"/>
  <c r="R145" i="77" s="1"/>
  <c r="R150" i="77" s="1"/>
  <c r="R152" i="77" s="1"/>
  <c r="Q152" i="77"/>
  <c r="Q153" i="77"/>
  <c r="R7" i="82" l="1"/>
  <c r="Q19" i="82"/>
  <c r="Q14" i="80"/>
  <c r="Q66" i="76"/>
  <c r="R153" i="77"/>
  <c r="R11" i="82"/>
  <c r="AL8" i="82"/>
  <c r="R17" i="82"/>
  <c r="R7" i="80" l="1"/>
  <c r="R19" i="82"/>
  <c r="AL11" i="82"/>
  <c r="AL17" i="82"/>
  <c r="AL19" i="82" l="1"/>
  <c r="R14" i="80"/>
  <c r="Y14" i="80" l="1"/>
  <c r="T7" i="80"/>
  <c r="AO7" i="82" l="1"/>
  <c r="AO14" i="82" l="1"/>
  <c r="U40" i="76" l="1"/>
  <c r="AM7" i="76"/>
  <c r="AM40" i="76" l="1"/>
  <c r="U64" i="76"/>
  <c r="AM64" i="76" l="1"/>
  <c r="X44" i="77"/>
  <c r="X25" i="75" l="1"/>
  <c r="X9" i="75"/>
  <c r="X10" i="75" l="1"/>
  <c r="X15" i="75"/>
  <c r="X20" i="75" l="1"/>
  <c r="X27" i="75"/>
  <c r="X28" i="75" l="1"/>
  <c r="X126" i="77"/>
  <c r="X30" i="75"/>
  <c r="X129" i="77" l="1"/>
  <c r="T40" i="76" l="1"/>
  <c r="AL7" i="76"/>
  <c r="AR7" i="76"/>
  <c r="AR40" i="76" l="1"/>
  <c r="T64" i="76"/>
  <c r="X11" i="82"/>
  <c r="AO8" i="82"/>
  <c r="X17" i="82"/>
  <c r="X19" i="82" l="1"/>
  <c r="AO11" i="82"/>
  <c r="T66" i="76"/>
  <c r="AO17" i="82"/>
  <c r="AP7" i="82"/>
  <c r="AR64" i="76"/>
  <c r="AO19" i="82" l="1"/>
  <c r="U65" i="76"/>
  <c r="Y14" i="75"/>
  <c r="Y15" i="75"/>
  <c r="U66" i="76" l="1"/>
  <c r="Y27" i="75"/>
  <c r="Y20" i="75"/>
  <c r="Y28" i="75" l="1"/>
  <c r="Y126" i="77" l="1"/>
  <c r="Y30" i="75"/>
  <c r="Y129" i="77" l="1"/>
  <c r="AP8" i="82" l="1"/>
  <c r="Y17" i="82"/>
  <c r="Y11" i="82"/>
  <c r="Y19" i="82" l="1"/>
  <c r="AP11" i="82"/>
  <c r="AP17" i="82"/>
  <c r="AP19" i="82" l="1"/>
  <c r="AK56" i="76" l="1"/>
  <c r="AL56" i="76"/>
  <c r="AK50" i="76" l="1"/>
  <c r="AL45" i="76"/>
  <c r="AK45" i="76"/>
  <c r="AL46" i="76"/>
  <c r="AK46" i="76"/>
  <c r="AL33" i="76"/>
  <c r="AK33" i="76"/>
  <c r="AL36" i="76"/>
  <c r="AK36" i="76"/>
  <c r="AL54" i="76"/>
  <c r="AK54" i="76"/>
  <c r="S62" i="76"/>
  <c r="AL34" i="76"/>
  <c r="AK34" i="76"/>
  <c r="AL51" i="76"/>
  <c r="AK51" i="76"/>
  <c r="AL38" i="76"/>
  <c r="AK38" i="76"/>
  <c r="AL59" i="76"/>
  <c r="AK59" i="76"/>
  <c r="AL37" i="76"/>
  <c r="AK37" i="76"/>
  <c r="AL42" i="76"/>
  <c r="S52" i="76"/>
  <c r="AK42" i="76"/>
  <c r="AL60" i="76"/>
  <c r="AK60" i="76"/>
  <c r="AL35" i="76"/>
  <c r="AK35" i="76"/>
  <c r="AL32" i="76"/>
  <c r="AK32" i="76"/>
  <c r="AL44" i="76"/>
  <c r="AK44" i="76"/>
  <c r="AL61" i="76"/>
  <c r="AK61" i="76"/>
  <c r="AL52" i="76" l="1"/>
  <c r="AK52" i="76"/>
  <c r="AK62" i="76"/>
  <c r="AL62" i="76"/>
  <c r="AL27" i="76" l="1"/>
  <c r="AK27" i="76"/>
  <c r="AL17" i="76"/>
  <c r="AK17" i="76"/>
  <c r="AL29" i="76"/>
  <c r="AK29" i="76"/>
  <c r="AL10" i="76"/>
  <c r="AK10" i="76"/>
  <c r="AL21" i="76"/>
  <c r="AK21" i="76"/>
  <c r="AL31" i="76"/>
  <c r="AK31" i="76"/>
  <c r="AL15" i="76"/>
  <c r="AK15" i="76"/>
  <c r="AL11" i="76"/>
  <c r="AK11" i="76"/>
  <c r="AL23" i="76"/>
  <c r="S68" i="76"/>
  <c r="AK23" i="76"/>
  <c r="AL30" i="76"/>
  <c r="AK30" i="76"/>
  <c r="AL12" i="76"/>
  <c r="AK12" i="76"/>
  <c r="AL24" i="76"/>
  <c r="AK24" i="76"/>
  <c r="AL19" i="76"/>
  <c r="AK19" i="76"/>
  <c r="AL13" i="76"/>
  <c r="AK13" i="76"/>
  <c r="AL25" i="76"/>
  <c r="AK25" i="76"/>
  <c r="AL9" i="76"/>
  <c r="AK9" i="76"/>
  <c r="S40" i="76"/>
  <c r="AL14" i="76"/>
  <c r="AK14" i="76"/>
  <c r="AL26" i="76"/>
  <c r="AK26" i="76"/>
  <c r="S64" i="76" l="1"/>
  <c r="V148" i="77"/>
  <c r="W148" i="77"/>
  <c r="AL40" i="76"/>
  <c r="AK68" i="76"/>
  <c r="AL68" i="76"/>
  <c r="AL64" i="76" l="1"/>
  <c r="S66" i="76"/>
  <c r="AJ16" i="76" l="1"/>
  <c r="AK16" i="76"/>
  <c r="T14" i="75" l="1"/>
  <c r="T147" i="77" l="1"/>
  <c r="T145" i="77" s="1"/>
  <c r="T150" i="77" s="1"/>
  <c r="T15" i="75"/>
  <c r="T27" i="75" l="1"/>
  <c r="T20" i="75"/>
  <c r="T28" i="75" l="1"/>
  <c r="T24" i="75"/>
  <c r="T25" i="75" l="1"/>
  <c r="Y133" i="77" l="1"/>
  <c r="Y118" i="77" l="1"/>
  <c r="Y117" i="77"/>
  <c r="Y116" i="77"/>
  <c r="Y115" i="77"/>
  <c r="Y114" i="77"/>
  <c r="Y112" i="77"/>
  <c r="Y111" i="77" l="1"/>
  <c r="Y93" i="77"/>
  <c r="Y96" i="77"/>
  <c r="Y12" i="77"/>
  <c r="Y135" i="77" s="1"/>
  <c r="Y136" i="77" s="1"/>
  <c r="Y146" i="77" l="1"/>
  <c r="Y142" i="77"/>
  <c r="Y141" i="77" s="1"/>
  <c r="Y144" i="77" s="1"/>
  <c r="Y110" i="77"/>
  <c r="Y148" i="77"/>
  <c r="Y147" i="77"/>
  <c r="Y145" i="77" s="1"/>
  <c r="Y150" i="77" s="1"/>
  <c r="Y152" i="77" s="1"/>
  <c r="Y127" i="77"/>
  <c r="Y130" i="77"/>
  <c r="Y109" i="77" l="1"/>
  <c r="Y132" i="77"/>
  <c r="Y137" i="77" s="1"/>
  <c r="Y138" i="77" s="1"/>
  <c r="Y153" i="77"/>
  <c r="X118" i="77" l="1"/>
  <c r="X117" i="77"/>
  <c r="X116" i="77"/>
  <c r="X115" i="77"/>
  <c r="X114" i="77"/>
  <c r="X112" i="77"/>
  <c r="W133" i="77" l="1"/>
  <c r="X93" i="77"/>
  <c r="X111" i="77"/>
  <c r="X133" i="77"/>
  <c r="X146" i="77" l="1"/>
  <c r="X142" i="77"/>
  <c r="X141" i="77" s="1"/>
  <c r="X144" i="77" s="1"/>
  <c r="X148" i="77"/>
  <c r="X110" i="77"/>
  <c r="X147" i="77"/>
  <c r="X145" i="77" s="1"/>
  <c r="X150" i="77" s="1"/>
  <c r="X152" i="77" s="1"/>
  <c r="X127" i="77"/>
  <c r="X130" i="77"/>
  <c r="X96" i="77"/>
  <c r="X12" i="77"/>
  <c r="X135" i="77" s="1"/>
  <c r="X136" i="77" s="1"/>
  <c r="X132" i="77" l="1"/>
  <c r="X137" i="77" s="1"/>
  <c r="X138" i="77" s="1"/>
  <c r="X109" i="77"/>
  <c r="X153" i="77"/>
  <c r="V118" i="77" l="1"/>
  <c r="V117" i="77"/>
  <c r="V116" i="77"/>
  <c r="V115" i="77"/>
  <c r="V114" i="77"/>
  <c r="U31" i="77"/>
  <c r="T8" i="80" l="1"/>
  <c r="T128" i="77"/>
  <c r="U118" i="77"/>
  <c r="U143" i="77"/>
  <c r="U141" i="77" s="1"/>
  <c r="U144" i="77" s="1"/>
  <c r="U149" i="77"/>
  <c r="U34" i="77"/>
  <c r="U44" i="77" s="1"/>
  <c r="T151" i="77"/>
  <c r="T129" i="77"/>
  <c r="T130" i="77" s="1"/>
  <c r="V133" i="77"/>
  <c r="W31" i="77"/>
  <c r="R13" i="79" l="1"/>
  <c r="U128" i="77"/>
  <c r="U151" i="77" s="1"/>
  <c r="Q13" i="79"/>
  <c r="T14" i="80"/>
  <c r="U8" i="80"/>
  <c r="T152" i="77"/>
  <c r="T153" i="77"/>
  <c r="W118" i="77"/>
  <c r="W34" i="77"/>
  <c r="W44" i="77" s="1"/>
  <c r="W149" i="77"/>
  <c r="W143" i="77"/>
  <c r="W141" i="77" s="1"/>
  <c r="W144" i="77" s="1"/>
  <c r="W14" i="75"/>
  <c r="V146" i="77"/>
  <c r="V145" i="77" s="1"/>
  <c r="V150" i="77" s="1"/>
  <c r="Q14" i="79" l="1"/>
  <c r="W8" i="80"/>
  <c r="AN12" i="82"/>
  <c r="W147" i="77"/>
  <c r="AN9" i="82"/>
  <c r="W128" i="77"/>
  <c r="W151" i="77" s="1"/>
  <c r="U49" i="77"/>
  <c r="U51" i="77"/>
  <c r="U134" i="77" s="1"/>
  <c r="U136" i="77" s="1"/>
  <c r="U137" i="77" s="1"/>
  <c r="V51" i="77"/>
  <c r="V134" i="77" s="1"/>
  <c r="V136" i="77" s="1"/>
  <c r="V137" i="77" s="1"/>
  <c r="V49" i="77"/>
  <c r="V153" i="77"/>
  <c r="V152" i="77"/>
  <c r="AN14" i="82"/>
  <c r="AM14" i="82"/>
  <c r="U9" i="75" l="1"/>
  <c r="AN13" i="82"/>
  <c r="U15" i="75"/>
  <c r="U10" i="75"/>
  <c r="W49" i="77"/>
  <c r="W51" i="77"/>
  <c r="W134" i="77" s="1"/>
  <c r="W136" i="77" s="1"/>
  <c r="W137" i="77" s="1"/>
  <c r="U146" i="77"/>
  <c r="U145" i="77" s="1"/>
  <c r="U150" i="77" s="1"/>
  <c r="U152" i="77" l="1"/>
  <c r="U153" i="77"/>
  <c r="U27" i="75"/>
  <c r="U20" i="75"/>
  <c r="W146" i="77"/>
  <c r="W145" i="77" s="1"/>
  <c r="W150" i="77" s="1"/>
  <c r="U28" i="75" l="1"/>
  <c r="U14" i="80"/>
  <c r="W152" i="77"/>
  <c r="W153" i="77"/>
  <c r="U24" i="75"/>
  <c r="W24" i="75" l="1"/>
  <c r="U25" i="75"/>
  <c r="V126" i="77"/>
  <c r="V30" i="75"/>
  <c r="U30" i="75"/>
  <c r="U126" i="77"/>
  <c r="V14" i="80" l="1"/>
  <c r="AJ7" i="76"/>
  <c r="R40" i="76"/>
  <c r="AK7" i="76"/>
  <c r="U129" i="77"/>
  <c r="U130" i="77" s="1"/>
  <c r="U127" i="77"/>
  <c r="U138" i="77" s="1"/>
  <c r="V127" i="77"/>
  <c r="V138" i="77" s="1"/>
  <c r="V129" i="77"/>
  <c r="V130" i="77" s="1"/>
  <c r="W14" i="80" l="1"/>
  <c r="AJ40" i="76"/>
  <c r="R64" i="76"/>
  <c r="AK40" i="76"/>
  <c r="AN8" i="82"/>
  <c r="V11" i="82"/>
  <c r="U17" i="82"/>
  <c r="AM8" i="82"/>
  <c r="U11" i="82"/>
  <c r="AK64" i="76" l="1"/>
  <c r="R66" i="76"/>
  <c r="AJ64" i="76"/>
  <c r="AM17" i="82"/>
  <c r="AM11" i="82"/>
  <c r="V7" i="82"/>
  <c r="U19" i="82"/>
  <c r="AN17" i="82"/>
  <c r="AN11" i="82"/>
  <c r="R14" i="79" l="1"/>
  <c r="AM19" i="82"/>
  <c r="AN19" i="82"/>
  <c r="V17" i="82"/>
  <c r="V19" i="82" l="1"/>
  <c r="W9" i="75" l="1"/>
  <c r="W25" i="75"/>
  <c r="W10" i="75" l="1"/>
  <c r="W15" i="75"/>
  <c r="W27" i="75" l="1"/>
  <c r="W20" i="75"/>
  <c r="W30" i="75"/>
  <c r="W126" i="77"/>
  <c r="W28" i="75" l="1"/>
  <c r="W127" i="77"/>
  <c r="W138" i="77" s="1"/>
  <c r="W129" i="77"/>
  <c r="W130" i="77" s="1"/>
  <c r="W11" i="82" l="1"/>
  <c r="W17" i="82"/>
  <c r="W19" i="82" l="1"/>
</calcChain>
</file>

<file path=xl/sharedStrings.xml><?xml version="1.0" encoding="utf-8"?>
<sst xmlns="http://schemas.openxmlformats.org/spreadsheetml/2006/main" count="540" uniqueCount="372">
  <si>
    <t>6M20</t>
  </si>
  <si>
    <t>6M21</t>
  </si>
  <si>
    <t>EBITDA (LTM)</t>
  </si>
  <si>
    <t>EBITDA</t>
  </si>
  <si>
    <t>12M20</t>
  </si>
  <si>
    <t>9M20</t>
  </si>
  <si>
    <t>EBIT</t>
  </si>
  <si>
    <t>Total DDGs (tons)</t>
  </si>
  <si>
    <t>Capex</t>
  </si>
  <si>
    <t>1Q20</t>
  </si>
  <si>
    <t>2Q20</t>
  </si>
  <si>
    <t>3Q20</t>
  </si>
  <si>
    <t>4Q20</t>
  </si>
  <si>
    <t>1Q21</t>
  </si>
  <si>
    <t>2Q21</t>
  </si>
  <si>
    <t>Cash and cash equivalents</t>
  </si>
  <si>
    <t>Financial investments</t>
  </si>
  <si>
    <t>Trade and other receivables</t>
  </si>
  <si>
    <t>Inventories</t>
  </si>
  <si>
    <t>Advances to suppliers</t>
  </si>
  <si>
    <t>Income tax and social contribution</t>
  </si>
  <si>
    <t>Prepaid expenses</t>
  </si>
  <si>
    <t>Biological assets</t>
  </si>
  <si>
    <t>Other credits</t>
  </si>
  <si>
    <t>Total current assets</t>
  </si>
  <si>
    <t>Deferred taxes assets</t>
  </si>
  <si>
    <t>Judicial deposits</t>
  </si>
  <si>
    <t>Total long-term assets</t>
  </si>
  <si>
    <t>Investments</t>
  </si>
  <si>
    <t>Property, plant and equipment</t>
  </si>
  <si>
    <t>Intangible assets</t>
  </si>
  <si>
    <t>Total non-current assets</t>
  </si>
  <si>
    <t>Trade payables</t>
  </si>
  <si>
    <t>Advances from customers</t>
  </si>
  <si>
    <t>Lease payables</t>
  </si>
  <si>
    <t>Taxes and contributions payable</t>
  </si>
  <si>
    <t>Payroll and related changes</t>
  </si>
  <si>
    <t>Total current liabilities</t>
  </si>
  <si>
    <t>Loans with related parties</t>
  </si>
  <si>
    <t>Deferred taxes liabilities</t>
  </si>
  <si>
    <t>Total non-current liabilities</t>
  </si>
  <si>
    <t>Capital</t>
  </si>
  <si>
    <t>Capital reserve</t>
  </si>
  <si>
    <t>Tax incentive reserve</t>
  </si>
  <si>
    <t>Total equity</t>
  </si>
  <si>
    <t>Total liabilities and equity</t>
  </si>
  <si>
    <t>Operational net revenue</t>
  </si>
  <si>
    <t xml:space="preserve">Cost of goods sold </t>
  </si>
  <si>
    <t>Gross profit</t>
  </si>
  <si>
    <t>gross margin</t>
  </si>
  <si>
    <t>Selling expenses</t>
  </si>
  <si>
    <t>Administrative expenses</t>
  </si>
  <si>
    <t>Other results</t>
  </si>
  <si>
    <t>Profit before net finance costs and taxes</t>
  </si>
  <si>
    <t>Finance income</t>
  </si>
  <si>
    <t>Finance costs</t>
  </si>
  <si>
    <t>Foreign exchange rate variations, net</t>
  </si>
  <si>
    <t>Net finance costs</t>
  </si>
  <si>
    <t>Profit (loss) before income and social contribuiton taxes</t>
  </si>
  <si>
    <t>Current income and social contribution taxes</t>
  </si>
  <si>
    <t>Deferred income and social contribution taxes</t>
  </si>
  <si>
    <t>Income tax incentives</t>
  </si>
  <si>
    <t>Net profit  / (loss) for the period</t>
  </si>
  <si>
    <t>net margin</t>
  </si>
  <si>
    <t>ebit margin</t>
  </si>
  <si>
    <t>ebitda margin</t>
  </si>
  <si>
    <t>Adjustment for:</t>
  </si>
  <si>
    <t>Income from financial investments</t>
  </si>
  <si>
    <t>Changes in:</t>
  </si>
  <si>
    <t>Cash flow from investing activities</t>
  </si>
  <si>
    <t>Interest charges paid over capitalized loans</t>
  </si>
  <si>
    <t>Cash flow from financing activities</t>
  </si>
  <si>
    <t>Cash and cash equivalents at the beginning of the period</t>
  </si>
  <si>
    <t>Cash and cash equivalents at the end of the period</t>
  </si>
  <si>
    <t>Operational data</t>
  </si>
  <si>
    <t>Corn crushed (tons)</t>
  </si>
  <si>
    <t>Biomass consumption (m³)</t>
  </si>
  <si>
    <t>Ethanol produced (m³)</t>
  </si>
  <si>
    <t>Anhydrous produced (m³)</t>
  </si>
  <si>
    <t>Hydrous produced (m³)</t>
  </si>
  <si>
    <t xml:space="preserve">DDGs produced (tons) </t>
  </si>
  <si>
    <t>DDG High-protein (tons)</t>
  </si>
  <si>
    <t>DDG High-fiber (tons)</t>
  </si>
  <si>
    <t>Wetcake (tons)</t>
  </si>
  <si>
    <t>Corn oil produced (tons)</t>
  </si>
  <si>
    <t>Anhydrous ethanol</t>
  </si>
  <si>
    <t>Hydrous ethanol</t>
  </si>
  <si>
    <t>DDG High-protein</t>
  </si>
  <si>
    <t>DDG High-fiber</t>
  </si>
  <si>
    <t>Wetcake</t>
  </si>
  <si>
    <t>Corn oil</t>
  </si>
  <si>
    <t>Total segment revenue</t>
  </si>
  <si>
    <t>Volume sales</t>
  </si>
  <si>
    <t>Ethanol sold (m3)</t>
  </si>
  <si>
    <t>Anhydrous ethanol sold (m3)</t>
  </si>
  <si>
    <t>Hydrous ethanol sold (m3)</t>
  </si>
  <si>
    <t>% anhydrous volume sold</t>
  </si>
  <si>
    <t>Animal nutrition</t>
  </si>
  <si>
    <t>Corn oil (tons)</t>
  </si>
  <si>
    <t>Energy cogenaration (MWh)</t>
  </si>
  <si>
    <t>Prices</t>
  </si>
  <si>
    <t>Debt</t>
  </si>
  <si>
    <t>Net debt</t>
  </si>
  <si>
    <t>Net debt / EBITDA (LTM)</t>
  </si>
  <si>
    <t>Debt profile</t>
  </si>
  <si>
    <t>Short term (%)</t>
  </si>
  <si>
    <t>Long term (%)</t>
  </si>
  <si>
    <t>Working capital debt</t>
  </si>
  <si>
    <t>Working capital debt (%)</t>
  </si>
  <si>
    <t>Foreign currency</t>
  </si>
  <si>
    <t>National currency</t>
  </si>
  <si>
    <t>Foreign currency (%)</t>
  </si>
  <si>
    <t>National currency (%)</t>
  </si>
  <si>
    <t>(in BRL thousands)</t>
  </si>
  <si>
    <t>Net cash from operation (used in) activities (a)</t>
  </si>
  <si>
    <t>Net cash used in investing activities (b)</t>
  </si>
  <si>
    <t>Net cash from financing activities (c)</t>
  </si>
  <si>
    <t>Short-term debt</t>
  </si>
  <si>
    <t>Long-term debt</t>
  </si>
  <si>
    <t>Project Finance</t>
  </si>
  <si>
    <t>Property, Plant, and Equipment - beginning of period (a)</t>
  </si>
  <si>
    <t>1Q21 ¹</t>
  </si>
  <si>
    <t>2Q21 ¹</t>
  </si>
  <si>
    <t>³ Maintenance Capex is calculated as the sum of additions, acquisitions, disposals and transfers for the following line items in the note to the financial statements entitled “Property, plant and equipment”: Buildings, Machinery and equipment, Furniture and computers, Vehicles, and Installations.</t>
  </si>
  <si>
    <t>Growth capex ² (b)</t>
  </si>
  <si>
    <t>Maintenance capex ³ (c)</t>
  </si>
  <si>
    <t>Project Finance (%)</t>
  </si>
  <si>
    <t>12M19</t>
  </si>
  <si>
    <t/>
  </si>
  <si>
    <t>Total Assets</t>
  </si>
  <si>
    <t>Adjustment to fair value - Cbios</t>
  </si>
  <si>
    <t>3Q21</t>
  </si>
  <si>
    <t>9M21</t>
  </si>
  <si>
    <t>3Q21 ¹</t>
  </si>
  <si>
    <t>Ethanol sold (BRL/ltr)</t>
  </si>
  <si>
    <t>Anhydrous ethanol sold (BRL/ltr)</t>
  </si>
  <si>
    <t>Hydrous ethanol sold (BRL/ltr)</t>
  </si>
  <si>
    <t>DDG High-protein (BRL/tons)</t>
  </si>
  <si>
    <t>DDG High-fiber (BRL/tons)</t>
  </si>
  <si>
    <t>Wetcake (BRL/tons)</t>
  </si>
  <si>
    <t>Corn oil (BRL/tons)</t>
  </si>
  <si>
    <t>Energy cogeneration (BRL/MWh)</t>
  </si>
  <si>
    <t>Cost of corn (BRL/sac)</t>
  </si>
  <si>
    <t>Cost of biomass (BRL/m³)</t>
  </si>
  <si>
    <t>Statement of cash flow</t>
  </si>
  <si>
    <t>Statements of financial position</t>
  </si>
  <si>
    <t>Statement of income</t>
  </si>
  <si>
    <t>Net Debt BoP</t>
  </si>
  <si>
    <t>Income Taxes paid</t>
  </si>
  <si>
    <t>CFO</t>
  </si>
  <si>
    <t>Net Debt EoP</t>
  </si>
  <si>
    <t>Change in Net Debt</t>
  </si>
  <si>
    <t>FY20</t>
  </si>
  <si>
    <t>Net Debt Cash Flow</t>
  </si>
  <si>
    <t>FY21</t>
  </si>
  <si>
    <t>4Q21</t>
  </si>
  <si>
    <t>Foreign currency translation adjustment (d)</t>
  </si>
  <si>
    <t>4Q21 ¹</t>
  </si>
  <si>
    <t>FY19</t>
  </si>
  <si>
    <t>12M21¹</t>
  </si>
  <si>
    <t>FY21
vs FY20</t>
  </si>
  <si>
    <t>FY20
vs FY19</t>
  </si>
  <si>
    <t>1Q22</t>
  </si>
  <si>
    <t>FY18</t>
  </si>
  <si>
    <t>12M18</t>
  </si>
  <si>
    <t>Dividends Paid / Tax Distribution</t>
  </si>
  <si>
    <t xml:space="preserve"> </t>
  </si>
  <si>
    <t>1Q21 LTM¹</t>
  </si>
  <si>
    <t>2Q21 LTM¹</t>
  </si>
  <si>
    <t>3Q21 LTM¹</t>
  </si>
  <si>
    <t>Others segment - Steam (BRL/ton)</t>
  </si>
  <si>
    <t>Others segment - Steam (tons)</t>
  </si>
  <si>
    <t>Others segment - Corn commercialization (tons)</t>
  </si>
  <si>
    <t>Steam</t>
  </si>
  <si>
    <t>Financial highlights</t>
  </si>
  <si>
    <t>Yield (Ltr/ton)</t>
  </si>
  <si>
    <t>Production</t>
  </si>
  <si>
    <t>Anhydrous total produced (m³)</t>
  </si>
  <si>
    <t>% anhydrous volume produced</t>
  </si>
  <si>
    <t>Maintenance capex</t>
  </si>
  <si>
    <t>EBITDA minus maintenance capex</t>
  </si>
  <si>
    <t>Basis (BRL/ltr)</t>
  </si>
  <si>
    <t>ESALQ Hydrous SP (BRL/ltr)</t>
  </si>
  <si>
    <t>EBITDA minus maintenance capex (BRL/ltr)</t>
  </si>
  <si>
    <t>EBITDA (BRL/ltr)</t>
  </si>
  <si>
    <r>
      <rPr>
        <b/>
        <sz val="7"/>
        <color rgb="FF5C6062"/>
        <rFont val="Symbol"/>
        <family val="1"/>
        <charset val="2"/>
      </rPr>
      <t>Delta:</t>
    </r>
    <r>
      <rPr>
        <b/>
        <sz val="7"/>
        <color rgb="FF5C6062"/>
        <rFont val="Montserrat"/>
      </rPr>
      <t xml:space="preserve"> EBITDA vs crush spread (BRL/ltr)</t>
    </r>
  </si>
  <si>
    <t>Ethanol sold (BRL/ltr) (a)</t>
  </si>
  <si>
    <t>Crush spread (BRL/ltr) (c) = (a-b)</t>
  </si>
  <si>
    <t>Animal coverage rate (%)</t>
  </si>
  <si>
    <t>1Q22 LTM</t>
  </si>
  <si>
    <t>2Q22</t>
  </si>
  <si>
    <t>6M22</t>
  </si>
  <si>
    <t>2Q22 LTM</t>
  </si>
  <si>
    <t>Animal nutrition + P&amp;L corn comercialization coverate ratio vs corn cost</t>
  </si>
  <si>
    <t xml:space="preserve"> Production cost - corn (d) </t>
  </si>
  <si>
    <t>Animal nutrition + P&amp;L corn comercialization (c = a + b)</t>
  </si>
  <si>
    <t>Adjustment to fair value - biological assets</t>
  </si>
  <si>
    <t>Foreign exchange rate (gains) or losses</t>
  </si>
  <si>
    <t>Proceeds from loans and borrowings</t>
  </si>
  <si>
    <t>Repayment of loans and borrowings</t>
  </si>
  <si>
    <t>Loans and borrowings</t>
  </si>
  <si>
    <t>Cumulative translation adjustment</t>
  </si>
  <si>
    <t>3Q22</t>
  </si>
  <si>
    <t>9M22</t>
  </si>
  <si>
    <t>3Q22 LTM</t>
  </si>
  <si>
    <t>Dividends payable</t>
  </si>
  <si>
    <t>Other comprehensive results</t>
  </si>
  <si>
    <t>Related parties loans</t>
  </si>
  <si>
    <t xml:space="preserve">Impact from FX, Derivatives and Others  </t>
  </si>
  <si>
    <t xml:space="preserve">Loans with related parties </t>
  </si>
  <si>
    <t>Working Capital</t>
  </si>
  <si>
    <t>Others segment - Corn marketing (BRL/sac)</t>
  </si>
  <si>
    <t>Cost of corn marketing (BRL/sac)</t>
  </si>
  <si>
    <t>¹ In 1Q21, 2Q21, 3Q21 and 4Q21 there was a change in the allocation criteria between the "Working Capital + Others" line and "FX and Derivat. Impact" line.</t>
  </si>
  <si>
    <t>FY22</t>
  </si>
  <si>
    <t>4Q22</t>
  </si>
  <si>
    <t>FY22
vs FY21</t>
  </si>
  <si>
    <t>12M22</t>
  </si>
  <si>
    <t xml:space="preserve"> Coverage rate (e) = (c / d) ¹</t>
  </si>
  <si>
    <t>Corn cost adjusted by animal nutrition (BRL/ltr) (b) ²</t>
  </si>
  <si>
    <t>² 16.67 conversion sac to ton</t>
  </si>
  <si>
    <t>¹ As of 1Q22, we started to consider the corn commercialization business segment and changed the formula for the animal nutrition coverage ratio.</t>
  </si>
  <si>
    <t>1Q23</t>
  </si>
  <si>
    <t>1Q23 LTM</t>
  </si>
  <si>
    <t>FS Indústria de Biocombustíveis Ltda (“FS Ltda") and FS I Indústria de Etanol S.A. (“FS S.A.”) 
(combined as "Company" or "FS") announce their consolidated results.</t>
  </si>
  <si>
    <t>2Q23</t>
  </si>
  <si>
    <t>6M23</t>
  </si>
  <si>
    <t>2Q23 LTM</t>
  </si>
  <si>
    <t>Gain on sale of assets</t>
  </si>
  <si>
    <t>Biological assets capex (d)</t>
  </si>
  <si>
    <t>Depreciation (f)</t>
  </si>
  <si>
    <t>¹ Includes acquisitions and transfers.</t>
  </si>
  <si>
    <t>² Growth Capex is calculated as the sum of additions, acquisitions disposals and transfers for the following line items in the note to the financial statements entitled “Property, plant and equipment”: Land, Construction in progress, Advances to suppliers, Right of use, Bearer plant, buildings, machinery and equipment and installations.</t>
  </si>
  <si>
    <t>Senior Secured Green Notes (Bond) and CPRF 1,2,3</t>
  </si>
  <si>
    <t>Certificate of Agribusiness and/or Real Estate Receivables (CRA/CRI)</t>
  </si>
  <si>
    <t>Other working capital lines 4</t>
  </si>
  <si>
    <t>Gross debt</t>
  </si>
  <si>
    <t>Total cash 3,5,6</t>
  </si>
  <si>
    <t>4 Issuance of BRL 1.5 billion of CPRF (Cédula de Produtor Rural Financeira) by FS, due the back-to-back transaction to transfer assets from FS LTDA to FS S.A.</t>
  </si>
  <si>
    <t xml:space="preserve">5 Financial instrument/application of BRL 1.5 billion between FS LTDA and financial institutions that mirrors the terms and cash flows of the CPRF issued by FS to cover the back-to-back transition. </t>
  </si>
  <si>
    <t>6 Includes cash and cash equivalents, financial investments, and restricted cash (short-term and long-term).</t>
  </si>
  <si>
    <t>P&amp;L corn marketing (b)</t>
  </si>
  <si>
    <t xml:space="preserve">Corn  ethanol production cost </t>
  </si>
  <si>
    <t>Maintenance CAPEX (d)</t>
  </si>
  <si>
    <t>Total net cost (a)</t>
  </si>
  <si>
    <t>Corn ethanol production cost (e) = (c + d)</t>
  </si>
  <si>
    <t>EBITDA minus Maintenance CAPEX</t>
  </si>
  <si>
    <t>Net Revenue³</t>
  </si>
  <si>
    <t>Ethanol³</t>
  </si>
  <si>
    <t>Cost of goods sold ³</t>
  </si>
  <si>
    <t>Selling, administrative and general expenses 4</t>
  </si>
  <si>
    <t>Depreciation and amortization 5</t>
  </si>
  <si>
    <t>Animal Nutrition and other segments ³,6</t>
  </si>
  <si>
    <t>Revenue ex-Animal Nutrition and other segments 6</t>
  </si>
  <si>
    <t>Net revenue from animal nutrition and other segments (b) 6</t>
  </si>
  <si>
    <t>Cash costs (+) expenses (-) anim. nutr. / others (c) = (a + b) 6</t>
  </si>
  <si>
    <t>³ The items (3) and (5) are divided by ethanol sold, and the Items (4), (b) and (d) are divided by ethanol produced. (6) Other segments include: energy co-generation, corn marketing and others.</t>
  </si>
  <si>
    <t>3Q23</t>
  </si>
  <si>
    <t>3Q23 LTM</t>
  </si>
  <si>
    <t>9M23</t>
  </si>
  <si>
    <t>Income tax and social contribution payable</t>
  </si>
  <si>
    <t>Net parent investment</t>
  </si>
  <si>
    <t>Dividends paid</t>
  </si>
  <si>
    <t>Net Interest</t>
  </si>
  <si>
    <t>Changes in Working Capital</t>
  </si>
  <si>
    <t>FY23</t>
  </si>
  <si>
    <t>4Q23</t>
  </si>
  <si>
    <t>FY23
vs FY22</t>
  </si>
  <si>
    <t>12M23</t>
  </si>
  <si>
    <t>.</t>
  </si>
  <si>
    <t>Trade and other receivables related parties</t>
  </si>
  <si>
    <t>Retained earnings</t>
  </si>
  <si>
    <t xml:space="preserve">Restricted cash </t>
  </si>
  <si>
    <t>Recoverable taxes</t>
  </si>
  <si>
    <t>Derivative financial instrument</t>
  </si>
  <si>
    <t>Restricted cash</t>
  </si>
  <si>
    <t xml:space="preserve">Recoverable taxes </t>
  </si>
  <si>
    <t>Derivative financial instruments</t>
  </si>
  <si>
    <t>Operational income/(expenses)</t>
  </si>
  <si>
    <t>Reversal losses on credit</t>
  </si>
  <si>
    <t>Proceeds from sale of property, plant and equipment</t>
  </si>
  <si>
    <t>1Q24</t>
  </si>
  <si>
    <t>1Q24 LTM</t>
  </si>
  <si>
    <t>Borrowing costs (debt charges)</t>
  </si>
  <si>
    <t>Trade and other receivables with parties loans</t>
  </si>
  <si>
    <t>Loan with related parties</t>
  </si>
  <si>
    <t>Other non-current payables</t>
  </si>
  <si>
    <t>Other assets</t>
  </si>
  <si>
    <t xml:space="preserve">Trade receivables </t>
  </si>
  <si>
    <t xml:space="preserve">Inventories </t>
  </si>
  <si>
    <t xml:space="preserve">Recoverables taxes </t>
  </si>
  <si>
    <t xml:space="preserve">Advances to suppliers </t>
  </si>
  <si>
    <t xml:space="preserve">Trade payables </t>
  </si>
  <si>
    <t xml:space="preserve">Advance from customers </t>
  </si>
  <si>
    <t xml:space="preserve">Payroll and related charges </t>
  </si>
  <si>
    <t xml:space="preserve">Taxes and contributions payable </t>
  </si>
  <si>
    <t xml:space="preserve">Interest and charges paid </t>
  </si>
  <si>
    <t>Interest redeemed from short-term investments</t>
  </si>
  <si>
    <t xml:space="preserve">Income tax paid </t>
  </si>
  <si>
    <t xml:space="preserve">Depreciation and amortization </t>
  </si>
  <si>
    <t>Adjustment to fair value</t>
  </si>
  <si>
    <t xml:space="preserve">Adjustments to present value </t>
  </si>
  <si>
    <t xml:space="preserve">Provision for interest on loans with related parties </t>
  </si>
  <si>
    <t xml:space="preserve">Provision for loss of advances to suppliers </t>
  </si>
  <si>
    <t xml:space="preserve">Acquisition of property, plant and equipment </t>
  </si>
  <si>
    <t>Proceeds from sale of biological assets, right of contracts and bear plants</t>
  </si>
  <si>
    <t xml:space="preserve">Biologic assets </t>
  </si>
  <si>
    <t xml:space="preserve">Acquisition of intangible assets </t>
  </si>
  <si>
    <t xml:space="preserve">Investments in parent company </t>
  </si>
  <si>
    <t>Acquisition of financial investments</t>
  </si>
  <si>
    <t>(Applications) redemptions of restricted cash</t>
  </si>
  <si>
    <t xml:space="preserve">Loans paid to related parties </t>
  </si>
  <si>
    <t>Exchange differences on conversion of foreign loans</t>
  </si>
  <si>
    <t xml:space="preserve">Lease paid </t>
  </si>
  <si>
    <t xml:space="preserve">Capital increase </t>
  </si>
  <si>
    <t xml:space="preserve">Derivative financial instruments paid </t>
  </si>
  <si>
    <t>Provision for contingencies</t>
  </si>
  <si>
    <t>Increase in cash and cash equivalents (e) = (a) + (b) + (c) + (d)</t>
  </si>
  <si>
    <t>¹ Initial issue of USD 680.0 million Senior Secured Green Notes - Bond - Notes by the subsidiary FS Luxembourg s.à.r.l., ("FS Lux"). Current balance of USD 511.7 million.</t>
  </si>
  <si>
    <t>² Issuance of USD 594.2 million of CPRF (Cédula de Produtor Rural Financeira) by FS, in connection with the Bond issued. Current balance of USD 340.8 million.</t>
  </si>
  <si>
    <t>³ Acquisition of rights over a TRS (Total Return Swap) of USD 594.2 million - The TRS is a financial instrument agreement between FS Lux and a financial institution that mirrors the terms and cash flows of the CPRF issued by FS. The TRS amount is fully deducted from the Gross Debt in order to eliminate the duplicate debt caused by the local issuance of a CPRF. Current balance of USD 340.8 million.</t>
  </si>
  <si>
    <t>Capex: (e) = (b) + (c) + (d)</t>
  </si>
  <si>
    <t>Property, plant and equipment - end of period (h) = (a) + (e) + (f) + (g)</t>
  </si>
  <si>
    <t>Ethanol production yield (Ltr/ton)</t>
  </si>
  <si>
    <t>Ethanol segment</t>
  </si>
  <si>
    <t>Animal nutrition segment</t>
  </si>
  <si>
    <t>Energy co-generation</t>
  </si>
  <si>
    <t>Energy</t>
  </si>
  <si>
    <t>Corn Marketing</t>
  </si>
  <si>
    <t>Energy resale</t>
  </si>
  <si>
    <t>Total net revenue from segments</t>
  </si>
  <si>
    <t>Net revenue from industrial segments</t>
  </si>
  <si>
    <t>Net revenue from marketing segments</t>
  </si>
  <si>
    <t>Reclassification - Freight on sales (industrial)</t>
  </si>
  <si>
    <t>Reclassification - Freight on sales (marketing)</t>
  </si>
  <si>
    <t>Total net revenue</t>
  </si>
  <si>
    <t>Assets sale and disposals (g)</t>
  </si>
  <si>
    <t>Cost of industrial product sold</t>
  </si>
  <si>
    <t xml:space="preserve">Net revenue from industrial segments (a) </t>
  </si>
  <si>
    <t xml:space="preserve">Variable cost (b) </t>
  </si>
  <si>
    <t xml:space="preserve"> Cost of corn crushed</t>
  </si>
  <si>
    <t xml:space="preserve"> Biomass costs </t>
  </si>
  <si>
    <t xml:space="preserve"> Chemicals and enzymes </t>
  </si>
  <si>
    <t xml:space="preserve">Fixed cost (c) </t>
  </si>
  <si>
    <t xml:space="preserve"> Maintenance </t>
  </si>
  <si>
    <t xml:space="preserve"> Labor </t>
  </si>
  <si>
    <t xml:space="preserve"> Depreciation </t>
  </si>
  <si>
    <t xml:space="preserve"> Other production costs </t>
  </si>
  <si>
    <t xml:space="preserve">Cost of industrial product sold (d) = (b) + (c) </t>
  </si>
  <si>
    <t>Gross profit of industrial product sold (e) = (a) + (d)</t>
  </si>
  <si>
    <t xml:space="preserve">Gross margin of industrial product sold (f) = (e) / (a) </t>
  </si>
  <si>
    <t xml:space="preserve"> Corn Crushed cost - in BRL per sac </t>
  </si>
  <si>
    <t xml:space="preserve"> Biomass cost - in BRL per m³ </t>
  </si>
  <si>
    <t>Cost of marketing good sold</t>
  </si>
  <si>
    <t>Total Cost</t>
  </si>
  <si>
    <t>Animal nutrition segment (a)</t>
  </si>
  <si>
    <t>Receita líquida do segmento de comercialização (g)</t>
  </si>
  <si>
    <t>Custo do produto comercializado (h)</t>
  </si>
  <si>
    <t>Custo do produto comercializado (milho)</t>
  </si>
  <si>
    <t>Custo do produto comercializado (energia)</t>
  </si>
  <si>
    <t>Lucro bruto do segmento de comercialização (i) = (g) + (h)</t>
  </si>
  <si>
    <t>Margem bruta segmento de comercialização (j) = (i) / (g)</t>
  </si>
  <si>
    <t>Resultados MTM do volume de milho contratado (k)</t>
  </si>
  <si>
    <t>Lucro bruto do segmento de comercialização com MTM (l) = (i) + (k)</t>
  </si>
  <si>
    <t>Receita líquida do segmento industrial (a)</t>
  </si>
  <si>
    <t>Reclassificação – Frete sobre vendas total (m)</t>
  </si>
  <si>
    <t>Receita líquida (n) = (a) + (g) + (m)</t>
  </si>
  <si>
    <t>Custo do produto industrial vendido (d)</t>
  </si>
  <si>
    <t>Resultado MTM do volume de milho contratado (k)</t>
  </si>
  <si>
    <t>Custo total  (o) = (d) + (h) + (k)</t>
  </si>
  <si>
    <t>Lucro bruto (p) = (n) + (o)</t>
  </si>
  <si>
    <t>Margem bruta (q) = (p) /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</si>
</sst>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_);_(* \(#,##0\);_(* &quot;-&quot;??_);_(@_)"/>
    <numFmt numFmtId="165" formatCode="0.0%_);\(0.0%\)"/>
    <numFmt numFmtId="166" formatCode="_-* #,##0_-;\-* #,##0_-;_-* &quot;-&quot;??_-;_-@_-"/>
    <numFmt numFmtId="167" formatCode="_-&quot;$&quot;* #,##0.00_-;\-&quot;$&quot;* #,##0.00_-;_-&quot;$&quot;* &quot;-&quot;??_-;_-@_-"/>
    <numFmt numFmtId="168" formatCode="0.0%"/>
    <numFmt numFmtId="169" formatCode="_(* #,##0.000_);_(* \(#,##0.000\);_(* &quot;-&quot;??_);_(@_)"/>
    <numFmt numFmtId="170" formatCode="_(* #,##0.0_);_(* \(#,##0.0\);_(* &quot;-&quot;??_);_(@_)"/>
    <numFmt numFmtId="171" formatCode="_-* #,##0.0_-;\-* #,##0.0_-;_-* &quot;-&quot;??_-;_-@_-"/>
    <numFmt numFmtId="172" formatCode="_(* #,##0.00&quot; x&quot;_);_(* \(#,##0.00\);_(* &quot;-&quot;??_);_(@_)"/>
  </numFmts>
  <fonts count="21" x14ac:knownFonts="1">
    <font>
      <sz val="11"/>
      <color theme="1"/>
      <name val="Calibri"/>
      <family val="2"/>
      <scheme val="minor"/>
    </font>
    <font>
      <sz val="10"/>
      <color theme="1"/>
      <name val="Calibri"/>
      <family val="2"/>
    </font>
    <font>
      <sz val="11"/>
      <color theme="1"/>
      <name val="Calibri"/>
      <family val="2"/>
      <scheme val="minor"/>
    </font>
    <font>
      <sz val="10"/>
      <name val="Arial"/>
      <family val="2"/>
    </font>
    <font>
      <b/>
      <sz val="8"/>
      <color rgb="FFFFFFFF"/>
      <name val="Montserrat"/>
    </font>
    <font>
      <sz val="7"/>
      <color rgb="FF5C6062"/>
      <name val="Montserrat"/>
    </font>
    <font>
      <b/>
      <sz val="7"/>
      <color rgb="FF5C6062"/>
      <name val="Montserrat"/>
    </font>
    <font>
      <sz val="11"/>
      <color theme="1"/>
      <name val="Montserrat"/>
    </font>
    <font>
      <sz val="8"/>
      <color theme="1"/>
      <name val="Montserrat"/>
    </font>
    <font>
      <b/>
      <sz val="8"/>
      <color theme="0"/>
      <name val="Montserrat"/>
    </font>
    <font>
      <i/>
      <sz val="8"/>
      <color rgb="FFFFFFFF"/>
      <name val="Montserrat"/>
    </font>
    <font>
      <sz val="7"/>
      <color theme="1"/>
      <name val="Montserrat"/>
    </font>
    <font>
      <i/>
      <sz val="7"/>
      <color rgb="FF5C6062"/>
      <name val="Montserrat"/>
    </font>
    <font>
      <sz val="9"/>
      <color theme="1"/>
      <name val="Montserrat"/>
    </font>
    <font>
      <b/>
      <sz val="11"/>
      <color theme="1"/>
      <name val="Montserrat"/>
    </font>
    <font>
      <sz val="8"/>
      <color rgb="FF5C6062"/>
      <name val="Montserrat"/>
    </font>
    <font>
      <sz val="8"/>
      <color rgb="FFFF0000"/>
      <name val="Montserrat"/>
    </font>
    <font>
      <sz val="8"/>
      <color theme="1"/>
      <name val="Calibri"/>
      <family val="2"/>
      <scheme val="minor"/>
    </font>
    <font>
      <sz val="10"/>
      <color theme="1"/>
      <name val="Calibri"/>
      <family val="2"/>
      <scheme val="minor"/>
    </font>
    <font>
      <sz val="8"/>
      <name val="Calibri"/>
      <family val="2"/>
      <scheme val="minor"/>
    </font>
    <font>
      <b/>
      <sz val="7"/>
      <color rgb="FF5C6062"/>
      <name val="Symbol"/>
      <family val="1"/>
      <charset val="2"/>
    </font>
  </fonts>
  <fills count="5">
    <fill>
      <patternFill patternType="none"/>
    </fill>
    <fill>
      <patternFill patternType="gray125"/>
    </fill>
    <fill>
      <patternFill patternType="solid">
        <fgColor theme="0"/>
        <bgColor indexed="64"/>
      </patternFill>
    </fill>
    <fill>
      <patternFill patternType="solid">
        <fgColor rgb="FF1B7754"/>
        <bgColor indexed="64"/>
      </patternFill>
    </fill>
    <fill>
      <patternFill patternType="solid">
        <fgColor rgb="FFFFFFFF"/>
        <bgColor indexed="64"/>
      </patternFill>
    </fill>
  </fills>
  <borders count="3">
    <border>
      <left/>
      <right/>
      <top/>
      <bottom/>
      <diagonal/>
    </border>
    <border>
      <left/>
      <right/>
      <top/>
      <bottom style="medium">
        <color rgb="FFA8D08D"/>
      </bottom>
      <diagonal/>
    </border>
    <border>
      <left/>
      <right/>
      <top style="medium">
        <color rgb="FFA8D08D"/>
      </top>
      <bottom style="medium">
        <color rgb="FFA8D08D"/>
      </bottom>
      <diagonal/>
    </border>
  </borders>
  <cellStyleXfs count="18">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44" fontId="2"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3" fillId="0" borderId="0"/>
  </cellStyleXfs>
  <cellXfs count="103">
    <xf numFmtId="0" fontId="0" fillId="0" borderId="0" xfId="0"/>
    <xf numFmtId="0" fontId="5" fillId="0" borderId="0" xfId="0" applyFont="1" applyAlignment="1">
      <alignment horizontal="justify" vertical="center"/>
    </xf>
    <xf numFmtId="0" fontId="7" fillId="0" borderId="0" xfId="0" applyFont="1"/>
    <xf numFmtId="0" fontId="8" fillId="0" borderId="0" xfId="0" applyFont="1"/>
    <xf numFmtId="164" fontId="6" fillId="0" borderId="0" xfId="1" applyNumberFormat="1" applyFont="1" applyFill="1" applyAlignment="1">
      <alignment vertical="center"/>
    </xf>
    <xf numFmtId="164" fontId="6" fillId="0" borderId="0" xfId="0" quotePrefix="1" applyNumberFormat="1" applyFont="1" applyAlignment="1">
      <alignment horizontal="left" vertical="center"/>
    </xf>
    <xf numFmtId="164" fontId="5" fillId="0" borderId="0" xfId="0" quotePrefix="1" applyNumberFormat="1" applyFont="1" applyAlignment="1">
      <alignment horizontal="left" vertical="center"/>
    </xf>
    <xf numFmtId="164" fontId="5" fillId="0" borderId="0" xfId="0" quotePrefix="1" applyNumberFormat="1" applyFont="1" applyAlignment="1">
      <alignment horizontal="left" vertical="center" indent="2"/>
    </xf>
    <xf numFmtId="164" fontId="6" fillId="0" borderId="1" xfId="0" quotePrefix="1" applyNumberFormat="1" applyFont="1" applyBorder="1" applyAlignment="1">
      <alignment horizontal="left" vertical="center"/>
    </xf>
    <xf numFmtId="164" fontId="6" fillId="0" borderId="2" xfId="0" quotePrefix="1" applyNumberFormat="1" applyFont="1" applyBorder="1" applyAlignment="1">
      <alignment horizontal="left" vertical="center"/>
    </xf>
    <xf numFmtId="164" fontId="6" fillId="0" borderId="2" xfId="1" applyNumberFormat="1" applyFont="1" applyFill="1" applyBorder="1" applyAlignment="1">
      <alignment vertical="center"/>
    </xf>
    <xf numFmtId="0" fontId="13" fillId="0" borderId="0" xfId="0" applyFont="1"/>
    <xf numFmtId="0" fontId="14" fillId="0" borderId="0" xfId="0" applyFont="1"/>
    <xf numFmtId="0" fontId="16" fillId="0" borderId="0" xfId="0" applyFont="1"/>
    <xf numFmtId="164" fontId="15" fillId="2" borderId="0" xfId="1" applyNumberFormat="1" applyFont="1" applyFill="1" applyAlignment="1"/>
    <xf numFmtId="164" fontId="6" fillId="0" borderId="0" xfId="1" applyNumberFormat="1" applyFont="1" applyFill="1" applyAlignment="1"/>
    <xf numFmtId="164" fontId="5" fillId="0" borderId="0" xfId="0" quotePrefix="1" applyNumberFormat="1" applyFont="1" applyAlignment="1">
      <alignment horizontal="left"/>
    </xf>
    <xf numFmtId="164" fontId="12" fillId="0" borderId="0" xfId="0" quotePrefix="1" applyNumberFormat="1" applyFont="1" applyAlignment="1">
      <alignment horizontal="right" vertical="center"/>
    </xf>
    <xf numFmtId="165" fontId="12" fillId="0" borderId="0" xfId="2" applyNumberFormat="1" applyFont="1" applyFill="1" applyBorder="1" applyAlignment="1">
      <alignment horizontal="right"/>
    </xf>
    <xf numFmtId="0" fontId="11" fillId="0" borderId="0" xfId="0" applyFont="1"/>
    <xf numFmtId="43" fontId="7" fillId="0" borderId="0" xfId="1" applyFont="1" applyAlignment="1">
      <alignment horizontal="center"/>
    </xf>
    <xf numFmtId="43" fontId="7" fillId="0" borderId="0" xfId="1" applyFont="1"/>
    <xf numFmtId="0" fontId="5" fillId="0" borderId="0" xfId="0" applyFont="1" applyAlignment="1">
      <alignment vertical="center"/>
    </xf>
    <xf numFmtId="170" fontId="6" fillId="0" borderId="0" xfId="1" applyNumberFormat="1" applyFont="1" applyFill="1" applyAlignment="1">
      <alignment vertical="center"/>
    </xf>
    <xf numFmtId="169" fontId="6" fillId="0" borderId="0" xfId="1" applyNumberFormat="1" applyFont="1" applyFill="1" applyAlignment="1">
      <alignment vertical="center"/>
    </xf>
    <xf numFmtId="164" fontId="5" fillId="0" borderId="0" xfId="0" quotePrefix="1" applyNumberFormat="1" applyFont="1" applyAlignment="1">
      <alignment horizontal="left" indent="2"/>
    </xf>
    <xf numFmtId="166" fontId="11" fillId="0" borderId="0" xfId="0" applyNumberFormat="1" applyFont="1"/>
    <xf numFmtId="166" fontId="11" fillId="0" borderId="0" xfId="1" applyNumberFormat="1" applyFont="1" applyFill="1" applyBorder="1"/>
    <xf numFmtId="166" fontId="11" fillId="0" borderId="0" xfId="1" applyNumberFormat="1" applyFont="1"/>
    <xf numFmtId="164" fontId="6" fillId="0" borderId="2" xfId="1" applyNumberFormat="1" applyFont="1" applyFill="1" applyBorder="1" applyAlignment="1">
      <alignment horizontal="right" vertical="center"/>
    </xf>
    <xf numFmtId="164" fontId="5" fillId="0" borderId="0" xfId="1" applyNumberFormat="1" applyFont="1" applyFill="1" applyAlignment="1">
      <alignment horizontal="right" vertical="center"/>
    </xf>
    <xf numFmtId="164" fontId="6" fillId="0" borderId="0" xfId="1" applyNumberFormat="1" applyFont="1" applyFill="1" applyAlignment="1">
      <alignment horizontal="right" vertical="center"/>
    </xf>
    <xf numFmtId="0" fontId="11" fillId="0" borderId="0" xfId="0" applyFont="1" applyAlignment="1">
      <alignment horizontal="right" vertical="center"/>
    </xf>
    <xf numFmtId="164" fontId="5" fillId="0" borderId="0" xfId="1" applyNumberFormat="1" applyFont="1" applyFill="1" applyBorder="1" applyAlignment="1">
      <alignment vertical="center"/>
    </xf>
    <xf numFmtId="164" fontId="5" fillId="2" borderId="0" xfId="1" applyNumberFormat="1" applyFont="1" applyFill="1" applyAlignment="1">
      <alignment horizontal="right" vertical="center"/>
    </xf>
    <xf numFmtId="164" fontId="6" fillId="0" borderId="1" xfId="1" applyNumberFormat="1" applyFont="1" applyFill="1" applyBorder="1" applyAlignment="1">
      <alignment horizontal="right" vertical="center"/>
    </xf>
    <xf numFmtId="0" fontId="6" fillId="0" borderId="0" xfId="0" applyFont="1" applyAlignment="1">
      <alignment vertical="center"/>
    </xf>
    <xf numFmtId="0" fontId="5" fillId="0" borderId="0" xfId="0" applyFont="1" applyAlignment="1">
      <alignment horizontal="left" vertical="center" indent="2"/>
    </xf>
    <xf numFmtId="0" fontId="17" fillId="0" borderId="0" xfId="0" applyFont="1" applyAlignment="1">
      <alignment horizontal="justify" vertical="center"/>
    </xf>
    <xf numFmtId="0" fontId="18" fillId="0" borderId="0" xfId="0" applyFont="1" applyAlignment="1">
      <alignment horizontal="justify" vertical="center"/>
    </xf>
    <xf numFmtId="0" fontId="11" fillId="0" borderId="0" xfId="0" applyFont="1" applyAlignment="1">
      <alignment vertical="center"/>
    </xf>
    <xf numFmtId="171" fontId="5" fillId="0" borderId="0" xfId="1" quotePrefix="1" applyNumberFormat="1" applyFont="1" applyFill="1" applyBorder="1" applyAlignment="1">
      <alignment horizontal="left" vertical="center"/>
    </xf>
    <xf numFmtId="164" fontId="5" fillId="2" borderId="0" xfId="1" applyNumberFormat="1" applyFont="1" applyFill="1" applyBorder="1" applyAlignment="1">
      <alignment vertical="center"/>
    </xf>
    <xf numFmtId="165" fontId="12" fillId="2" borderId="0" xfId="2" applyNumberFormat="1" applyFont="1" applyFill="1" applyBorder="1" applyAlignment="1">
      <alignment horizontal="center" vertical="center"/>
    </xf>
    <xf numFmtId="166" fontId="5" fillId="0" borderId="0" xfId="1" quotePrefix="1" applyNumberFormat="1" applyFont="1" applyFill="1" applyBorder="1" applyAlignment="1">
      <alignment horizontal="left" vertical="center"/>
    </xf>
    <xf numFmtId="164" fontId="5" fillId="0" borderId="0" xfId="1" applyNumberFormat="1" applyFont="1" applyFill="1" applyAlignment="1">
      <alignment vertical="center"/>
    </xf>
    <xf numFmtId="165" fontId="12" fillId="0" borderId="0" xfId="2" applyNumberFormat="1" applyFont="1" applyFill="1" applyBorder="1" applyAlignment="1">
      <alignment horizontal="right" vertical="center"/>
    </xf>
    <xf numFmtId="168" fontId="5" fillId="0" borderId="0" xfId="2" quotePrefix="1" applyNumberFormat="1" applyFont="1" applyFill="1" applyAlignment="1">
      <alignment horizontal="right" vertical="center"/>
    </xf>
    <xf numFmtId="168" fontId="12" fillId="2" borderId="0" xfId="2" quotePrefix="1" applyNumberFormat="1" applyFont="1" applyFill="1" applyAlignment="1">
      <alignment vertical="center"/>
    </xf>
    <xf numFmtId="169" fontId="5" fillId="0" borderId="0" xfId="0" quotePrefix="1" applyNumberFormat="1" applyFont="1" applyAlignment="1">
      <alignment horizontal="left" vertical="center"/>
    </xf>
    <xf numFmtId="170" fontId="5" fillId="0" borderId="0" xfId="0" quotePrefix="1" applyNumberFormat="1" applyFont="1" applyAlignment="1">
      <alignment horizontal="left" vertical="center"/>
    </xf>
    <xf numFmtId="0" fontId="7" fillId="0" borderId="0" xfId="0" applyFont="1" applyAlignment="1">
      <alignment vertical="center"/>
    </xf>
    <xf numFmtId="164" fontId="5" fillId="0" borderId="0" xfId="0" quotePrefix="1" applyNumberFormat="1" applyFont="1" applyAlignment="1">
      <alignment horizontal="left" vertical="center" indent="1"/>
    </xf>
    <xf numFmtId="166" fontId="5" fillId="0" borderId="0" xfId="1" quotePrefix="1" applyNumberFormat="1" applyFont="1" applyAlignment="1">
      <alignment horizontal="left" vertical="center"/>
    </xf>
    <xf numFmtId="164" fontId="6" fillId="0" borderId="0" xfId="0" quotePrefix="1" applyNumberFormat="1" applyFont="1" applyAlignment="1">
      <alignment horizontal="left" vertical="center" indent="1"/>
    </xf>
    <xf numFmtId="164" fontId="0" fillId="0" borderId="0" xfId="0" applyNumberFormat="1"/>
    <xf numFmtId="164" fontId="7" fillId="0" borderId="0" xfId="1" applyNumberFormat="1" applyFont="1"/>
    <xf numFmtId="164" fontId="16" fillId="2" borderId="0" xfId="1" applyNumberFormat="1" applyFont="1" applyFill="1" applyAlignment="1"/>
    <xf numFmtId="164" fontId="15" fillId="0" borderId="0" xfId="0" quotePrefix="1" applyNumberFormat="1" applyFont="1" applyAlignment="1">
      <alignment vertical="center" wrapText="1"/>
    </xf>
    <xf numFmtId="164" fontId="16" fillId="0" borderId="0" xfId="0" applyNumberFormat="1" applyFont="1"/>
    <xf numFmtId="43" fontId="0" fillId="0" borderId="0" xfId="0" applyNumberFormat="1"/>
    <xf numFmtId="169" fontId="5" fillId="0" borderId="0" xfId="1" applyNumberFormat="1" applyFont="1" applyFill="1" applyAlignment="1">
      <alignment vertical="center"/>
    </xf>
    <xf numFmtId="170" fontId="5" fillId="0" borderId="0" xfId="1" applyNumberFormat="1" applyFont="1" applyFill="1" applyAlignment="1">
      <alignment vertical="center"/>
    </xf>
    <xf numFmtId="164" fontId="6" fillId="0" borderId="0" xfId="1" applyNumberFormat="1" applyFont="1" applyFill="1" applyBorder="1" applyAlignment="1">
      <alignment vertical="center"/>
    </xf>
    <xf numFmtId="164" fontId="11" fillId="0" borderId="0" xfId="0" applyNumberFormat="1" applyFont="1"/>
    <xf numFmtId="0" fontId="14" fillId="0" borderId="0" xfId="0" quotePrefix="1" applyFont="1"/>
    <xf numFmtId="170" fontId="6" fillId="0" borderId="2" xfId="1" applyNumberFormat="1" applyFont="1" applyFill="1" applyBorder="1" applyAlignment="1">
      <alignment vertical="center"/>
    </xf>
    <xf numFmtId="172" fontId="5" fillId="0" borderId="0" xfId="1" applyNumberFormat="1" applyFont="1" applyFill="1" applyBorder="1" applyAlignment="1">
      <alignment vertical="center"/>
    </xf>
    <xf numFmtId="170" fontId="6" fillId="0" borderId="0" xfId="1" applyNumberFormat="1" applyFont="1" applyFill="1" applyBorder="1" applyAlignment="1">
      <alignment vertical="center"/>
    </xf>
    <xf numFmtId="169" fontId="6" fillId="0" borderId="0" xfId="0" applyNumberFormat="1" applyFont="1" applyAlignment="1">
      <alignment horizontal="right" vertical="center"/>
    </xf>
    <xf numFmtId="169" fontId="5" fillId="0" borderId="0" xfId="0" applyNumberFormat="1" applyFont="1" applyAlignment="1">
      <alignment horizontal="right" vertical="center"/>
    </xf>
    <xf numFmtId="169" fontId="6" fillId="0" borderId="0" xfId="1" applyNumberFormat="1" applyFont="1" applyFill="1" applyBorder="1" applyAlignment="1">
      <alignment vertical="center"/>
    </xf>
    <xf numFmtId="169" fontId="5" fillId="0" borderId="0" xfId="1" applyNumberFormat="1" applyFont="1" applyFill="1" applyBorder="1" applyAlignment="1">
      <alignment vertical="center"/>
    </xf>
    <xf numFmtId="165" fontId="12" fillId="0" borderId="0" xfId="2" applyNumberFormat="1" applyFont="1" applyFill="1" applyBorder="1" applyAlignment="1">
      <alignment horizontal="center" vertical="center"/>
    </xf>
    <xf numFmtId="164" fontId="5" fillId="0" borderId="0" xfId="0" applyNumberFormat="1" applyFont="1" applyAlignment="1">
      <alignment horizontal="right" vertical="center"/>
    </xf>
    <xf numFmtId="164" fontId="6" fillId="0" borderId="0" xfId="0" applyNumberFormat="1" applyFont="1" applyAlignment="1">
      <alignment horizontal="right" vertical="center"/>
    </xf>
    <xf numFmtId="43" fontId="7" fillId="0" borderId="0" xfId="1" applyFont="1" applyFill="1"/>
    <xf numFmtId="168" fontId="12" fillId="0" borderId="0" xfId="2" quotePrefix="1" applyNumberFormat="1" applyFont="1" applyFill="1" applyAlignment="1">
      <alignment vertical="center"/>
    </xf>
    <xf numFmtId="164" fontId="0" fillId="0" borderId="0" xfId="0" applyNumberFormat="1" applyAlignment="1">
      <alignment vertical="center"/>
    </xf>
    <xf numFmtId="43" fontId="7" fillId="0" borderId="0" xfId="1" applyFont="1" applyFill="1" applyAlignment="1">
      <alignment horizontal="center"/>
    </xf>
    <xf numFmtId="164" fontId="7" fillId="0" borderId="0" xfId="0" applyNumberFormat="1" applyFont="1"/>
    <xf numFmtId="169" fontId="7" fillId="0" borderId="0" xfId="1" applyNumberFormat="1" applyFont="1"/>
    <xf numFmtId="164" fontId="8" fillId="0" borderId="0" xfId="0" applyNumberFormat="1" applyFont="1"/>
    <xf numFmtId="0" fontId="4" fillId="3" borderId="0" xfId="0" applyFont="1" applyFill="1" applyAlignment="1">
      <alignment horizontal="center" vertical="center"/>
    </xf>
    <xf numFmtId="0" fontId="10" fillId="3" borderId="0" xfId="0" applyFont="1" applyFill="1" applyAlignment="1">
      <alignment horizontal="center" vertical="center"/>
    </xf>
    <xf numFmtId="171" fontId="5" fillId="0" borderId="0" xfId="1" quotePrefix="1" applyNumberFormat="1" applyFont="1" applyFill="1" applyAlignment="1">
      <alignment horizontal="left" vertical="center"/>
    </xf>
    <xf numFmtId="164" fontId="7" fillId="0" borderId="0" xfId="1" applyNumberFormat="1" applyFont="1" applyFill="1"/>
    <xf numFmtId="0" fontId="6" fillId="0" borderId="0" xfId="0" applyFont="1" applyAlignment="1">
      <alignment horizontal="right" vertical="center"/>
    </xf>
    <xf numFmtId="0" fontId="6" fillId="4" borderId="0" xfId="0" applyFont="1" applyFill="1" applyAlignment="1">
      <alignment horizontal="right" vertical="center"/>
    </xf>
    <xf numFmtId="43" fontId="6" fillId="0" borderId="0" xfId="1" applyFont="1" applyFill="1" applyAlignment="1">
      <alignment horizontal="right" vertical="center"/>
    </xf>
    <xf numFmtId="43" fontId="6" fillId="0" borderId="0" xfId="1" applyFont="1" applyAlignment="1">
      <alignment horizontal="right" vertical="center"/>
    </xf>
    <xf numFmtId="164" fontId="5" fillId="2" borderId="0" xfId="0" applyNumberFormat="1" applyFont="1" applyFill="1" applyAlignment="1">
      <alignment horizontal="right" vertical="center"/>
    </xf>
    <xf numFmtId="0" fontId="6" fillId="0" borderId="0" xfId="0" applyFont="1" applyAlignment="1">
      <alignment horizontal="left" vertical="center"/>
    </xf>
    <xf numFmtId="168" fontId="12" fillId="0" borderId="0" xfId="0" applyNumberFormat="1" applyFont="1" applyAlignment="1">
      <alignment horizontal="right" vertical="center"/>
    </xf>
    <xf numFmtId="0" fontId="12" fillId="0" borderId="0" xfId="0" applyFont="1" applyAlignment="1">
      <alignment horizontal="left" vertical="center"/>
    </xf>
    <xf numFmtId="0" fontId="5" fillId="0" borderId="0" xfId="0" applyFont="1" applyAlignment="1">
      <alignment horizontal="left" vertical="center"/>
    </xf>
    <xf numFmtId="43" fontId="6" fillId="0" borderId="0" xfId="1" applyFont="1" applyFill="1" applyBorder="1" applyAlignment="1">
      <alignment horizontal="right" vertical="center"/>
    </xf>
    <xf numFmtId="43" fontId="6" fillId="0" borderId="0" xfId="1" applyFont="1" applyBorder="1" applyAlignment="1">
      <alignment horizontal="right" vertical="center"/>
    </xf>
    <xf numFmtId="168" fontId="6" fillId="0" borderId="0" xfId="2" quotePrefix="1" applyNumberFormat="1" applyFont="1" applyFill="1" applyAlignment="1">
      <alignment horizontal="right" vertical="center"/>
    </xf>
    <xf numFmtId="14" fontId="9" fillId="3" borderId="0" xfId="0" applyNumberFormat="1" applyFont="1" applyFill="1" applyAlignment="1">
      <alignment horizontal="center" vertical="center" wrapText="1"/>
    </xf>
    <xf numFmtId="164" fontId="15" fillId="0" borderId="0" xfId="0" quotePrefix="1" applyNumberFormat="1" applyFont="1" applyAlignment="1">
      <alignment horizontal="right" vertical="center" wrapText="1"/>
    </xf>
    <xf numFmtId="0" fontId="4" fillId="3" borderId="0" xfId="0" applyFont="1" applyFill="1" applyAlignment="1">
      <alignment horizontal="center" vertical="center"/>
    </xf>
    <xf numFmtId="14" fontId="9" fillId="3" borderId="1" xfId="0" applyNumberFormat="1" applyFont="1" applyFill="1" applyBorder="1" applyAlignment="1">
      <alignment horizontal="center" vertical="center" wrapText="1"/>
    </xf>
  </cellXfs>
  <cellStyles count="18">
    <cellStyle name="Moeda 2" xfId="6" xr:uid="{00000000-0005-0000-0000-00002F000000}"/>
    <cellStyle name="Moeda 3" xfId="4" xr:uid="{00000000-0005-0000-0000-00002F000000}"/>
    <cellStyle name="Moeda 4" xfId="13" xr:uid="{2E2CC08E-8C7E-40A1-9091-3F7E5A705155}"/>
    <cellStyle name="Normal" xfId="0" builtinId="0"/>
    <cellStyle name="Normal 2" xfId="9" xr:uid="{4CD97EC4-EE02-4E3D-A640-6F42C2F3963A}"/>
    <cellStyle name="Normal 2 2" xfId="14" xr:uid="{404DF742-2B8C-404E-AD06-5A79D3610C41}"/>
    <cellStyle name="Normal 3" xfId="11" xr:uid="{6EBCF564-6A3C-470F-8E39-C7E39B2DDD0A}"/>
    <cellStyle name="Normal 3 2" xfId="8" xr:uid="{9380CED3-0D03-4038-9CB8-F31975F9EAEF}"/>
    <cellStyle name="Normal 3 3" xfId="15" xr:uid="{C3B1025A-5CE6-4C3B-8AD2-5243456B66CF}"/>
    <cellStyle name="Normale 2 2 3" xfId="17" xr:uid="{1E3495E4-0650-4C7C-95AA-059F276AF073}"/>
    <cellStyle name="Porcentagem" xfId="2" builtinId="5"/>
    <cellStyle name="Vírgula" xfId="1" builtinId="3"/>
    <cellStyle name="Vírgula 2" xfId="7" xr:uid="{74B67C2B-0575-477A-932D-5E3B697076AD}"/>
    <cellStyle name="Vírgula 3" xfId="5" xr:uid="{00000000-0005-0000-0000-000030000000}"/>
    <cellStyle name="Vírgula 4" xfId="3" xr:uid="{00000000-0005-0000-0000-000031000000}"/>
    <cellStyle name="Vírgula 5" xfId="12" xr:uid="{37A355FB-F3DA-412B-99B6-7E6D6BBDA006}"/>
    <cellStyle name="Vírgula 6" xfId="16" xr:uid="{17F9D104-65CB-461D-939E-1B6FF6B39A2A}"/>
    <cellStyle name="Vírgula 7" xfId="10" xr:uid="{602586CC-8EA8-487A-ACA7-22213B4C6D9B}"/>
  </cellStyles>
  <dxfs count="0"/>
  <tableStyles count="0" defaultTableStyle="TableStyleMedium2" defaultPivotStyle="PivotStyleLight16"/>
  <colors>
    <mruColors>
      <color rgb="FFF2F2F2"/>
      <color rgb="FF1B7754"/>
      <color rgb="FF1A7754"/>
      <color rgb="FFFBE216"/>
      <color rgb="FFA8D18E"/>
      <color rgb="FFFF6600"/>
      <color rgb="FFFFFFCC"/>
      <color rgb="FF5C6062"/>
      <color rgb="FFA8D08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hyperlink" Target="#'Statement of cash flow'!A1"/><Relationship Id="rId7" Type="http://schemas.openxmlformats.org/officeDocument/2006/relationships/hyperlink" Target="#'Net debt cash flow'!A1"/><Relationship Id="rId2" Type="http://schemas.openxmlformats.org/officeDocument/2006/relationships/hyperlink" Target="#'Statement of income'!A1"/><Relationship Id="rId1" Type="http://schemas.openxmlformats.org/officeDocument/2006/relationships/hyperlink" Target="#'Statements financial position'!A1"/><Relationship Id="rId6" Type="http://schemas.openxmlformats.org/officeDocument/2006/relationships/hyperlink" Target="#Capex!A1"/><Relationship Id="rId5" Type="http://schemas.openxmlformats.org/officeDocument/2006/relationships/hyperlink" Target="#Debt!A1"/><Relationship Id="rId4" Type="http://schemas.openxmlformats.org/officeDocument/2006/relationships/hyperlink" Target="#'Operational data'!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Results!A1"/><Relationship Id="rId1" Type="http://schemas.openxmlformats.org/officeDocument/2006/relationships/image" Target="../media/image2.jpe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Results!A1"/><Relationship Id="rId1" Type="http://schemas.openxmlformats.org/officeDocument/2006/relationships/image" Target="../media/image2.jpeg"/><Relationship Id="rId4" Type="http://schemas.openxmlformats.org/officeDocument/2006/relationships/image" Target="../media/image4.sv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Results!A1"/><Relationship Id="rId1" Type="http://schemas.openxmlformats.org/officeDocument/2006/relationships/image" Target="../media/image2.jpe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Results!A1"/><Relationship Id="rId1" Type="http://schemas.openxmlformats.org/officeDocument/2006/relationships/image" Target="../media/image5.jpe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Results!A1"/><Relationship Id="rId4" Type="http://schemas.openxmlformats.org/officeDocument/2006/relationships/image" Target="../media/image6.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Results!A1"/><Relationship Id="rId4" Type="http://schemas.openxmlformats.org/officeDocument/2006/relationships/image" Target="../media/image7.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Results!A1"/><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10</xdr:col>
      <xdr:colOff>294049</xdr:colOff>
      <xdr:row>1</xdr:row>
      <xdr:rowOff>134042</xdr:rowOff>
    </xdr:from>
    <xdr:to>
      <xdr:col>13</xdr:col>
      <xdr:colOff>330200</xdr:colOff>
      <xdr:row>3</xdr:row>
      <xdr:rowOff>69271</xdr:rowOff>
    </xdr:to>
    <xdr:sp macro="" textlink="">
      <xdr:nvSpPr>
        <xdr:cNvPr id="5" name="Retângulo: Cantos Arredondados 4">
          <a:hlinkClick xmlns:r="http://schemas.openxmlformats.org/officeDocument/2006/relationships" r:id="rId1"/>
          <a:extLst>
            <a:ext uri="{FF2B5EF4-FFF2-40B4-BE49-F238E27FC236}">
              <a16:creationId xmlns:a16="http://schemas.microsoft.com/office/drawing/2014/main" id="{3455DC64-1D74-468D-B88C-CF357FBCA95A}"/>
            </a:ext>
          </a:extLst>
        </xdr:cNvPr>
        <xdr:cNvSpPr/>
      </xdr:nvSpPr>
      <xdr:spPr>
        <a:xfrm>
          <a:off x="6675799" y="315017"/>
          <a:ext cx="1950676" cy="297179"/>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ea typeface="+mn-ea"/>
              <a:cs typeface="Times New Roman" panose="02020603050405020304" pitchFamily="18" charset="0"/>
            </a:rPr>
            <a:t>Statements of financial position</a:t>
          </a:r>
        </a:p>
      </xdr:txBody>
    </xdr:sp>
    <xdr:clientData/>
  </xdr:twoCellAnchor>
  <xdr:twoCellAnchor>
    <xdr:from>
      <xdr:col>10</xdr:col>
      <xdr:colOff>297224</xdr:colOff>
      <xdr:row>3</xdr:row>
      <xdr:rowOff>160949</xdr:rowOff>
    </xdr:from>
    <xdr:to>
      <xdr:col>13</xdr:col>
      <xdr:colOff>330371</xdr:colOff>
      <xdr:row>5</xdr:row>
      <xdr:rowOff>97576</xdr:rowOff>
    </xdr:to>
    <xdr:sp macro="" textlink="">
      <xdr:nvSpPr>
        <xdr:cNvPr id="6" name="Retângulo: Cantos Arredondados 5">
          <a:hlinkClick xmlns:r="http://schemas.openxmlformats.org/officeDocument/2006/relationships" r:id="rId2"/>
          <a:extLst>
            <a:ext uri="{FF2B5EF4-FFF2-40B4-BE49-F238E27FC236}">
              <a16:creationId xmlns:a16="http://schemas.microsoft.com/office/drawing/2014/main" id="{73A52E98-8143-43D5-B90E-3D2794B41178}"/>
            </a:ext>
          </a:extLst>
        </xdr:cNvPr>
        <xdr:cNvSpPr/>
      </xdr:nvSpPr>
      <xdr:spPr>
        <a:xfrm>
          <a:off x="6678974" y="703874"/>
          <a:ext cx="1947672" cy="298577"/>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rgbClr val="1B7754"/>
              </a:solidFill>
              <a:latin typeface="Montserrat" panose="00000500000000000000" pitchFamily="2" charset="0"/>
              <a:ea typeface="+mn-ea"/>
              <a:cs typeface="Times New Roman" panose="02020603050405020304" pitchFamily="18" charset="0"/>
            </a:rPr>
            <a:t>Statement of income</a:t>
          </a:r>
          <a:endParaRPr lang="pt-BR" sz="800" b="1">
            <a:solidFill>
              <a:srgbClr val="1B7754"/>
            </a:solidFill>
            <a:latin typeface="Montserrat" panose="00000500000000000000" pitchFamily="2" charset="0"/>
            <a:ea typeface="+mn-ea"/>
            <a:cs typeface="Times New Roman" panose="02020603050405020304" pitchFamily="18" charset="0"/>
          </a:endParaRPr>
        </a:p>
      </xdr:txBody>
    </xdr:sp>
    <xdr:clientData/>
  </xdr:twoCellAnchor>
  <xdr:twoCellAnchor>
    <xdr:from>
      <xdr:col>10</xdr:col>
      <xdr:colOff>297224</xdr:colOff>
      <xdr:row>6</xdr:row>
      <xdr:rowOff>18168</xdr:rowOff>
    </xdr:from>
    <xdr:to>
      <xdr:col>13</xdr:col>
      <xdr:colOff>330371</xdr:colOff>
      <xdr:row>7</xdr:row>
      <xdr:rowOff>132595</xdr:rowOff>
    </xdr:to>
    <xdr:sp macro="" textlink="">
      <xdr:nvSpPr>
        <xdr:cNvPr id="7" name="Retângulo: Cantos Arredondados 6">
          <a:hlinkClick xmlns:r="http://schemas.openxmlformats.org/officeDocument/2006/relationships" r:id="rId3"/>
          <a:extLst>
            <a:ext uri="{FF2B5EF4-FFF2-40B4-BE49-F238E27FC236}">
              <a16:creationId xmlns:a16="http://schemas.microsoft.com/office/drawing/2014/main" id="{BD4BE23B-A972-4C3F-803E-8A8F79EEDE0B}"/>
            </a:ext>
          </a:extLst>
        </xdr:cNvPr>
        <xdr:cNvSpPr/>
      </xdr:nvSpPr>
      <xdr:spPr>
        <a:xfrm>
          <a:off x="6678974" y="1104018"/>
          <a:ext cx="1947672" cy="29540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Statement of cash flow</a:t>
          </a:r>
        </a:p>
      </xdr:txBody>
    </xdr:sp>
    <xdr:clientData/>
  </xdr:twoCellAnchor>
  <xdr:twoCellAnchor>
    <xdr:from>
      <xdr:col>10</xdr:col>
      <xdr:colOff>304551</xdr:colOff>
      <xdr:row>12</xdr:row>
      <xdr:rowOff>124269</xdr:rowOff>
    </xdr:from>
    <xdr:to>
      <xdr:col>13</xdr:col>
      <xdr:colOff>334523</xdr:colOff>
      <xdr:row>14</xdr:row>
      <xdr:rowOff>64071</xdr:rowOff>
    </xdr:to>
    <xdr:sp macro="" textlink="">
      <xdr:nvSpPr>
        <xdr:cNvPr id="8" name="Retângulo: Cantos Arredondados 7">
          <a:hlinkClick xmlns:r="http://schemas.openxmlformats.org/officeDocument/2006/relationships" r:id="rId4"/>
          <a:extLst>
            <a:ext uri="{FF2B5EF4-FFF2-40B4-BE49-F238E27FC236}">
              <a16:creationId xmlns:a16="http://schemas.microsoft.com/office/drawing/2014/main" id="{49D3AC61-7277-4158-B16B-60E7F4AB3FE9}"/>
            </a:ext>
          </a:extLst>
        </xdr:cNvPr>
        <xdr:cNvSpPr/>
      </xdr:nvSpPr>
      <xdr:spPr>
        <a:xfrm>
          <a:off x="6686301" y="2295969"/>
          <a:ext cx="1944497" cy="30175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Operational data</a:t>
          </a:r>
        </a:p>
      </xdr:txBody>
    </xdr:sp>
    <xdr:clientData/>
  </xdr:twoCellAnchor>
  <xdr:twoCellAnchor>
    <xdr:from>
      <xdr:col>10</xdr:col>
      <xdr:colOff>304551</xdr:colOff>
      <xdr:row>10</xdr:row>
      <xdr:rowOff>64638</xdr:rowOff>
    </xdr:from>
    <xdr:to>
      <xdr:col>13</xdr:col>
      <xdr:colOff>334523</xdr:colOff>
      <xdr:row>12</xdr:row>
      <xdr:rowOff>7615</xdr:rowOff>
    </xdr:to>
    <xdr:sp macro="" textlink="">
      <xdr:nvSpPr>
        <xdr:cNvPr id="9" name="Retângulo: Cantos Arredondados 8">
          <a:hlinkClick xmlns:r="http://schemas.openxmlformats.org/officeDocument/2006/relationships" r:id="rId5"/>
          <a:extLst>
            <a:ext uri="{FF2B5EF4-FFF2-40B4-BE49-F238E27FC236}">
              <a16:creationId xmlns:a16="http://schemas.microsoft.com/office/drawing/2014/main" id="{1959873D-C3E8-4702-91BB-535EC2BFA3EB}"/>
            </a:ext>
          </a:extLst>
        </xdr:cNvPr>
        <xdr:cNvSpPr/>
      </xdr:nvSpPr>
      <xdr:spPr>
        <a:xfrm>
          <a:off x="6686301" y="1874388"/>
          <a:ext cx="1944497" cy="304927"/>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Debt</a:t>
          </a:r>
        </a:p>
      </xdr:txBody>
    </xdr:sp>
    <xdr:clientData/>
  </xdr:twoCellAnchor>
  <xdr:twoCellAnchor>
    <xdr:from>
      <xdr:col>10</xdr:col>
      <xdr:colOff>297224</xdr:colOff>
      <xdr:row>14</xdr:row>
      <xdr:rowOff>155166</xdr:rowOff>
    </xdr:from>
    <xdr:to>
      <xdr:col>13</xdr:col>
      <xdr:colOff>330371</xdr:colOff>
      <xdr:row>16</xdr:row>
      <xdr:rowOff>94968</xdr:rowOff>
    </xdr:to>
    <xdr:sp macro="" textlink="">
      <xdr:nvSpPr>
        <xdr:cNvPr id="10" name="Retângulo: Cantos Arredondados 9">
          <a:hlinkClick xmlns:r="http://schemas.openxmlformats.org/officeDocument/2006/relationships" r:id="rId6"/>
          <a:extLst>
            <a:ext uri="{FF2B5EF4-FFF2-40B4-BE49-F238E27FC236}">
              <a16:creationId xmlns:a16="http://schemas.microsoft.com/office/drawing/2014/main" id="{4885403C-5C74-4EB6-A07D-CF29C58B5D49}"/>
            </a:ext>
          </a:extLst>
        </xdr:cNvPr>
        <xdr:cNvSpPr/>
      </xdr:nvSpPr>
      <xdr:spPr>
        <a:xfrm>
          <a:off x="6678974" y="2688816"/>
          <a:ext cx="1947672" cy="30175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Capex</a:t>
          </a:r>
        </a:p>
      </xdr:txBody>
    </xdr:sp>
    <xdr:clientData/>
  </xdr:twoCellAnchor>
  <xdr:twoCellAnchor>
    <xdr:from>
      <xdr:col>0</xdr:col>
      <xdr:colOff>178374</xdr:colOff>
      <xdr:row>11</xdr:row>
      <xdr:rowOff>169100</xdr:rowOff>
    </xdr:from>
    <xdr:to>
      <xdr:col>3</xdr:col>
      <xdr:colOff>620877</xdr:colOff>
      <xdr:row>16</xdr:row>
      <xdr:rowOff>26200</xdr:rowOff>
    </xdr:to>
    <xdr:sp macro="" textlink="">
      <xdr:nvSpPr>
        <xdr:cNvPr id="3" name="Retângulo 2">
          <a:extLst>
            <a:ext uri="{FF2B5EF4-FFF2-40B4-BE49-F238E27FC236}">
              <a16:creationId xmlns:a16="http://schemas.microsoft.com/office/drawing/2014/main" id="{758F2860-47AA-42B4-8CA8-3767655EF98D}"/>
            </a:ext>
          </a:extLst>
        </xdr:cNvPr>
        <xdr:cNvSpPr/>
      </xdr:nvSpPr>
      <xdr:spPr>
        <a:xfrm>
          <a:off x="178374" y="2192341"/>
          <a:ext cx="2354072" cy="7767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700">
              <a:solidFill>
                <a:schemeClr val="bg1">
                  <a:lumMod val="50000"/>
                </a:schemeClr>
              </a:solidFill>
              <a:latin typeface="Montserrat" panose="00000500000000000000" pitchFamily="2" charset="0"/>
            </a:rPr>
            <a:t>FS Indústria de Biocombustíveis Ltda (“FS Ltda") and FS I Indústria de Etanol S.A. (“FS S.A.”) (combined as "Company" or "FS") announce their consolidated results.</a:t>
          </a:r>
        </a:p>
      </xdr:txBody>
    </xdr:sp>
    <xdr:clientData/>
  </xdr:twoCellAnchor>
  <xdr:twoCellAnchor>
    <xdr:from>
      <xdr:col>10</xdr:col>
      <xdr:colOff>296247</xdr:colOff>
      <xdr:row>8</xdr:row>
      <xdr:rowOff>37888</xdr:rowOff>
    </xdr:from>
    <xdr:to>
      <xdr:col>13</xdr:col>
      <xdr:colOff>326219</xdr:colOff>
      <xdr:row>9</xdr:row>
      <xdr:rowOff>161840</xdr:rowOff>
    </xdr:to>
    <xdr:sp macro="" textlink="">
      <xdr:nvSpPr>
        <xdr:cNvPr id="12" name="Retângulo: Cantos Arredondados 11">
          <a:hlinkClick xmlns:r="http://schemas.openxmlformats.org/officeDocument/2006/relationships" r:id="rId7"/>
          <a:extLst>
            <a:ext uri="{FF2B5EF4-FFF2-40B4-BE49-F238E27FC236}">
              <a16:creationId xmlns:a16="http://schemas.microsoft.com/office/drawing/2014/main" id="{BC0C1446-AD81-4430-9279-33C67D9A262C}"/>
            </a:ext>
          </a:extLst>
        </xdr:cNvPr>
        <xdr:cNvSpPr/>
      </xdr:nvSpPr>
      <xdr:spPr>
        <a:xfrm>
          <a:off x="6677997" y="1485688"/>
          <a:ext cx="1944497" cy="304927"/>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Net</a:t>
          </a:r>
          <a:r>
            <a:rPr lang="pt-BR" sz="800" b="1" baseline="0">
              <a:solidFill>
                <a:srgbClr val="1B7754"/>
              </a:solidFill>
              <a:latin typeface="Montserrat" panose="00000500000000000000" pitchFamily="2" charset="0"/>
              <a:cs typeface="Times New Roman" panose="02020603050405020304" pitchFamily="18" charset="0"/>
            </a:rPr>
            <a:t> debt cash flow</a:t>
          </a:r>
          <a:endParaRPr lang="pt-BR" sz="800" b="1">
            <a:solidFill>
              <a:srgbClr val="1B7754"/>
            </a:solidFill>
            <a:latin typeface="Montserrat" panose="00000500000000000000" pitchFamily="2" charset="0"/>
            <a:cs typeface="Times New Roman" panose="02020603050405020304" pitchFamily="18" charset="0"/>
          </a:endParaRPr>
        </a:p>
      </xdr:txBody>
    </xdr:sp>
    <xdr:clientData/>
  </xdr:twoCellAnchor>
  <xdr:twoCellAnchor editAs="oneCell">
    <xdr:from>
      <xdr:col>0</xdr:col>
      <xdr:colOff>178374</xdr:colOff>
      <xdr:row>2</xdr:row>
      <xdr:rowOff>183249</xdr:rowOff>
    </xdr:from>
    <xdr:to>
      <xdr:col>3</xdr:col>
      <xdr:colOff>173978</xdr:colOff>
      <xdr:row>11</xdr:row>
      <xdr:rowOff>182271</xdr:rowOff>
    </xdr:to>
    <xdr:pic>
      <xdr:nvPicPr>
        <xdr:cNvPr id="20" name="Imagem 19">
          <a:extLst>
            <a:ext uri="{FF2B5EF4-FFF2-40B4-BE49-F238E27FC236}">
              <a16:creationId xmlns:a16="http://schemas.microsoft.com/office/drawing/2014/main" id="{8B72F4CF-DD5A-4285-97C6-67D808AB29D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78374" y="551111"/>
          <a:ext cx="1907173" cy="1654401"/>
        </a:xfrm>
        <a:prstGeom prst="rect">
          <a:avLst/>
        </a:prstGeom>
      </xdr:spPr>
    </xdr:pic>
    <xdr:clientData/>
  </xdr:twoCellAnchor>
  <xdr:twoCellAnchor>
    <xdr:from>
      <xdr:col>0</xdr:col>
      <xdr:colOff>0</xdr:colOff>
      <xdr:row>17</xdr:row>
      <xdr:rowOff>137453</xdr:rowOff>
    </xdr:from>
    <xdr:to>
      <xdr:col>13</xdr:col>
      <xdr:colOff>622788</xdr:colOff>
      <xdr:row>17</xdr:row>
      <xdr:rowOff>183172</xdr:rowOff>
    </xdr:to>
    <xdr:grpSp>
      <xdr:nvGrpSpPr>
        <xdr:cNvPr id="23" name="Agrupar 22">
          <a:extLst>
            <a:ext uri="{FF2B5EF4-FFF2-40B4-BE49-F238E27FC236}">
              <a16:creationId xmlns:a16="http://schemas.microsoft.com/office/drawing/2014/main" id="{04BC8DC2-D053-4FD1-A244-4A95CF654E3B}"/>
            </a:ext>
          </a:extLst>
        </xdr:cNvPr>
        <xdr:cNvGrpSpPr/>
      </xdr:nvGrpSpPr>
      <xdr:grpSpPr>
        <a:xfrm>
          <a:off x="0" y="3363253"/>
          <a:ext cx="8519013" cy="48894"/>
          <a:chOff x="0" y="3119766"/>
          <a:chExt cx="7625953" cy="99976"/>
        </a:xfrm>
      </xdr:grpSpPr>
      <xdr:sp macro="" textlink="">
        <xdr:nvSpPr>
          <xdr:cNvPr id="16" name="Paralelogramo 15">
            <a:extLst>
              <a:ext uri="{FF2B5EF4-FFF2-40B4-BE49-F238E27FC236}">
                <a16:creationId xmlns:a16="http://schemas.microsoft.com/office/drawing/2014/main" id="{023E5086-68F2-47DC-B960-DB610C4A0836}"/>
              </a:ext>
            </a:extLst>
          </xdr:cNvPr>
          <xdr:cNvSpPr/>
        </xdr:nvSpPr>
        <xdr:spPr>
          <a:xfrm>
            <a:off x="0" y="3121801"/>
            <a:ext cx="3488928"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7" name="Paralelogramo 16">
            <a:extLst>
              <a:ext uri="{FF2B5EF4-FFF2-40B4-BE49-F238E27FC236}">
                <a16:creationId xmlns:a16="http://schemas.microsoft.com/office/drawing/2014/main" id="{B2C0C479-DEB1-48DF-AAA5-F8C4E1D143CB}"/>
              </a:ext>
            </a:extLst>
          </xdr:cNvPr>
          <xdr:cNvSpPr/>
        </xdr:nvSpPr>
        <xdr:spPr>
          <a:xfrm>
            <a:off x="3345518" y="3121801"/>
            <a:ext cx="1503800" cy="97941"/>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8" name="Paralelogramo 17">
            <a:extLst>
              <a:ext uri="{FF2B5EF4-FFF2-40B4-BE49-F238E27FC236}">
                <a16:creationId xmlns:a16="http://schemas.microsoft.com/office/drawing/2014/main" id="{0AD008AB-472F-4EE8-A0EC-99706A167D52}"/>
              </a:ext>
            </a:extLst>
          </xdr:cNvPr>
          <xdr:cNvSpPr/>
        </xdr:nvSpPr>
        <xdr:spPr>
          <a:xfrm>
            <a:off x="4707925" y="3121801"/>
            <a:ext cx="1453196" cy="97941"/>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9" name="Paralelogramo 18">
            <a:extLst>
              <a:ext uri="{FF2B5EF4-FFF2-40B4-BE49-F238E27FC236}">
                <a16:creationId xmlns:a16="http://schemas.microsoft.com/office/drawing/2014/main" id="{71892F17-A564-42A9-A617-CFF05343CA28}"/>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1" name="Retângulo 20">
            <a:extLst>
              <a:ext uri="{FF2B5EF4-FFF2-40B4-BE49-F238E27FC236}">
                <a16:creationId xmlns:a16="http://schemas.microsoft.com/office/drawing/2014/main" id="{91CE3971-F826-476B-B639-1D7E1D2D3A6F}"/>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2" name="Retângulo 21">
            <a:extLst>
              <a:ext uri="{FF2B5EF4-FFF2-40B4-BE49-F238E27FC236}">
                <a16:creationId xmlns:a16="http://schemas.microsoft.com/office/drawing/2014/main" id="{A43C6A1D-FF5C-4845-9F48-5072F036D5FD}"/>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xdr:from>
      <xdr:col>4</xdr:col>
      <xdr:colOff>427099</xdr:colOff>
      <xdr:row>2</xdr:row>
      <xdr:rowOff>67626</xdr:rowOff>
    </xdr:from>
    <xdr:to>
      <xdr:col>10</xdr:col>
      <xdr:colOff>179329</xdr:colOff>
      <xdr:row>16</xdr:row>
      <xdr:rowOff>28794</xdr:rowOff>
    </xdr:to>
    <xdr:grpSp>
      <xdr:nvGrpSpPr>
        <xdr:cNvPr id="33" name="Agrupar 32">
          <a:extLst>
            <a:ext uri="{FF2B5EF4-FFF2-40B4-BE49-F238E27FC236}">
              <a16:creationId xmlns:a16="http://schemas.microsoft.com/office/drawing/2014/main" id="{BE56F605-9625-4BE1-8AD9-B027E5007C52}"/>
            </a:ext>
          </a:extLst>
        </xdr:cNvPr>
        <xdr:cNvGrpSpPr/>
      </xdr:nvGrpSpPr>
      <xdr:grpSpPr>
        <a:xfrm>
          <a:off x="2868674" y="451801"/>
          <a:ext cx="3409830" cy="2621818"/>
          <a:chOff x="3343969" y="325204"/>
          <a:chExt cx="3581714" cy="2536338"/>
        </a:xfrm>
      </xdr:grpSpPr>
      <xdr:sp macro="" textlink="">
        <xdr:nvSpPr>
          <xdr:cNvPr id="24" name="Retângulo: Cantos Arredondados 23">
            <a:extLst>
              <a:ext uri="{FF2B5EF4-FFF2-40B4-BE49-F238E27FC236}">
                <a16:creationId xmlns:a16="http://schemas.microsoft.com/office/drawing/2014/main" id="{A4C9F645-CC91-462C-82B9-9E334DB4247E}"/>
              </a:ext>
            </a:extLst>
          </xdr:cNvPr>
          <xdr:cNvSpPr/>
        </xdr:nvSpPr>
        <xdr:spPr>
          <a:xfrm>
            <a:off x="3343969" y="325204"/>
            <a:ext cx="3483519" cy="1392710"/>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50000"/>
              </a:lnSpc>
              <a:spcBef>
                <a:spcPts val="0"/>
              </a:spcBef>
              <a:spcAft>
                <a:spcPts val="0"/>
              </a:spcAft>
            </a:pPr>
            <a:r>
              <a:rPr lang="en-US" sz="800" b="1" u="sng">
                <a:solidFill>
                  <a:srgbClr val="1A7754"/>
                </a:solidFill>
                <a:effectLst/>
                <a:latin typeface="Montserrat" panose="00000500000000000000" pitchFamily="2" charset="0"/>
                <a:ea typeface="Calibri" panose="020F0502020204030204" pitchFamily="34" charset="0"/>
                <a:cs typeface="Calibri" panose="020F0502020204030204" pitchFamily="34" charset="0"/>
              </a:rPr>
              <a:t>Periods Definition</a:t>
            </a: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FY18:</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April 2017 to March 2018</a:t>
            </a: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FY19: April 2018 to March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1Q20: April to June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2Q20: July to September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3Q20: October to December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4Q20: January to March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FY20: April 2019 to March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1Q21: April to June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2Q21: July to September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3Q21: October to December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4Q21: January to March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FY21:</a:t>
            </a:r>
            <a:r>
              <a:rPr lang="en-US" sz="700">
                <a:solidFill>
                  <a:schemeClr val="lt1"/>
                </a:solidFill>
                <a:effectLst/>
                <a:latin typeface="Montserrat" panose="00000500000000000000" pitchFamily="2" charset="0"/>
                <a:ea typeface="+mn-ea"/>
                <a:cs typeface="+mn-cs"/>
              </a:rPr>
              <a:t> </a:t>
            </a: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April 2020 to March 2021</a:t>
            </a: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sp macro="" textlink="">
        <xdr:nvSpPr>
          <xdr:cNvPr id="25" name="Retângulo: Cantos Arredondados 24">
            <a:extLst>
              <a:ext uri="{FF2B5EF4-FFF2-40B4-BE49-F238E27FC236}">
                <a16:creationId xmlns:a16="http://schemas.microsoft.com/office/drawing/2014/main" id="{45F1D780-1243-40F9-BA23-185D94BF6CFA}"/>
              </a:ext>
            </a:extLst>
          </xdr:cNvPr>
          <xdr:cNvSpPr/>
        </xdr:nvSpPr>
        <xdr:spPr>
          <a:xfrm>
            <a:off x="5132590" y="713182"/>
            <a:ext cx="1793093" cy="2148360"/>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1Q22: April to June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2Q22: July to September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3Q22: October to December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4Q22: January to March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22: April 2021 to March 2022 </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1Q23: April to June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2Q23: July</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to September 2022</a:t>
            </a: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3Q23: October to December 2022</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4Q23: January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23: April 2022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1Q24: April 2023 to June 2023</a:t>
            </a: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grpSp>
    <xdr:clientData/>
  </xdr:twoCellAnchor>
  <xdr:twoCellAnchor>
    <xdr:from>
      <xdr:col>4</xdr:col>
      <xdr:colOff>171493</xdr:colOff>
      <xdr:row>3</xdr:row>
      <xdr:rowOff>154695</xdr:rowOff>
    </xdr:from>
    <xdr:to>
      <xdr:col>4</xdr:col>
      <xdr:colOff>207687</xdr:colOff>
      <xdr:row>15</xdr:row>
      <xdr:rowOff>19398</xdr:rowOff>
    </xdr:to>
    <xdr:grpSp>
      <xdr:nvGrpSpPr>
        <xdr:cNvPr id="26" name="Agrupar 25">
          <a:extLst>
            <a:ext uri="{FF2B5EF4-FFF2-40B4-BE49-F238E27FC236}">
              <a16:creationId xmlns:a16="http://schemas.microsoft.com/office/drawing/2014/main" id="{A0328EB5-AA55-475E-BBC3-E6769B54361E}"/>
            </a:ext>
          </a:extLst>
        </xdr:cNvPr>
        <xdr:cNvGrpSpPr/>
      </xdr:nvGrpSpPr>
      <xdr:grpSpPr>
        <a:xfrm rot="5400000">
          <a:off x="1552638" y="1783450"/>
          <a:ext cx="2150703" cy="36194"/>
          <a:chOff x="0" y="3119766"/>
          <a:chExt cx="7625953" cy="99979"/>
        </a:xfrm>
      </xdr:grpSpPr>
      <xdr:sp macro="" textlink="">
        <xdr:nvSpPr>
          <xdr:cNvPr id="27" name="Paralelogramo 26">
            <a:extLst>
              <a:ext uri="{FF2B5EF4-FFF2-40B4-BE49-F238E27FC236}">
                <a16:creationId xmlns:a16="http://schemas.microsoft.com/office/drawing/2014/main" id="{F7A2DE21-D156-4A61-B8C7-A4FE3C526229}"/>
              </a:ext>
            </a:extLst>
          </xdr:cNvPr>
          <xdr:cNvSpPr/>
        </xdr:nvSpPr>
        <xdr:spPr>
          <a:xfrm>
            <a:off x="28221" y="3121802"/>
            <a:ext cx="3488930"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8" name="Paralelogramo 27">
            <a:extLst>
              <a:ext uri="{FF2B5EF4-FFF2-40B4-BE49-F238E27FC236}">
                <a16:creationId xmlns:a16="http://schemas.microsoft.com/office/drawing/2014/main" id="{9658ADF6-48D3-4460-A9F6-C76EEEF7E83B}"/>
              </a:ext>
            </a:extLst>
          </xdr:cNvPr>
          <xdr:cNvSpPr/>
        </xdr:nvSpPr>
        <xdr:spPr>
          <a:xfrm>
            <a:off x="3315419" y="3121802"/>
            <a:ext cx="1503799" cy="97943"/>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9" name="Paralelogramo 28">
            <a:extLst>
              <a:ext uri="{FF2B5EF4-FFF2-40B4-BE49-F238E27FC236}">
                <a16:creationId xmlns:a16="http://schemas.microsoft.com/office/drawing/2014/main" id="{202373F0-E541-42F9-AC57-661C291A8FB4}"/>
              </a:ext>
            </a:extLst>
          </xdr:cNvPr>
          <xdr:cNvSpPr/>
        </xdr:nvSpPr>
        <xdr:spPr>
          <a:xfrm>
            <a:off x="4677823" y="3121802"/>
            <a:ext cx="1453195" cy="97942"/>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30" name="Paralelogramo 29">
            <a:extLst>
              <a:ext uri="{FF2B5EF4-FFF2-40B4-BE49-F238E27FC236}">
                <a16:creationId xmlns:a16="http://schemas.microsoft.com/office/drawing/2014/main" id="{0074F4E0-4D07-4EC7-B49F-544F1D6DE57F}"/>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31" name="Retângulo 30">
            <a:extLst>
              <a:ext uri="{FF2B5EF4-FFF2-40B4-BE49-F238E27FC236}">
                <a16:creationId xmlns:a16="http://schemas.microsoft.com/office/drawing/2014/main" id="{81B76A46-8A88-4DFB-9C59-E83202D5142E}"/>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2" name="Retângulo 31">
            <a:extLst>
              <a:ext uri="{FF2B5EF4-FFF2-40B4-BE49-F238E27FC236}">
                <a16:creationId xmlns:a16="http://schemas.microsoft.com/office/drawing/2014/main" id="{82C8B2C7-2365-4561-B0C0-9B220AFBF555}"/>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8281</xdr:colOff>
      <xdr:row>0</xdr:row>
      <xdr:rowOff>0</xdr:rowOff>
    </xdr:from>
    <xdr:to>
      <xdr:col>1</xdr:col>
      <xdr:colOff>1553058</xdr:colOff>
      <xdr:row>3</xdr:row>
      <xdr:rowOff>82826</xdr:rowOff>
    </xdr:to>
    <xdr:pic>
      <xdr:nvPicPr>
        <xdr:cNvPr id="4" name="Imagem 3">
          <a:extLst>
            <a:ext uri="{FF2B5EF4-FFF2-40B4-BE49-F238E27FC236}">
              <a16:creationId xmlns:a16="http://schemas.microsoft.com/office/drawing/2014/main" id="{73D1E6BF-12E0-4723-A027-04977FC13F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931" y="0"/>
          <a:ext cx="1544777" cy="616226"/>
        </a:xfrm>
        <a:prstGeom prst="rect">
          <a:avLst/>
        </a:prstGeom>
      </xdr:spPr>
    </xdr:pic>
    <xdr:clientData/>
  </xdr:twoCellAnchor>
  <xdr:twoCellAnchor editAs="oneCell">
    <xdr:from>
      <xdr:col>1</xdr:col>
      <xdr:colOff>2724150</xdr:colOff>
      <xdr:row>0</xdr:row>
      <xdr:rowOff>28574</xdr:rowOff>
    </xdr:from>
    <xdr:to>
      <xdr:col>1</xdr:col>
      <xdr:colOff>3409950</xdr:colOff>
      <xdr:row>3</xdr:row>
      <xdr:rowOff>175257</xdr:rowOff>
    </xdr:to>
    <xdr:pic>
      <xdr:nvPicPr>
        <xdr:cNvPr id="5" name="Gráfico 4" descr="Seta de linha: girar para a esquerda">
          <a:hlinkClick xmlns:r="http://schemas.openxmlformats.org/officeDocument/2006/relationships" r:id="rId2"/>
          <a:extLst>
            <a:ext uri="{FF2B5EF4-FFF2-40B4-BE49-F238E27FC236}">
              <a16:creationId xmlns:a16="http://schemas.microsoft.com/office/drawing/2014/main" id="{E1A4CD50-9620-49A3-8BDF-C950BFAB21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847975" y="28574"/>
          <a:ext cx="685800" cy="6896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xdr:col>
      <xdr:colOff>1563827</xdr:colOff>
      <xdr:row>3</xdr:row>
      <xdr:rowOff>92351</xdr:rowOff>
    </xdr:to>
    <xdr:pic>
      <xdr:nvPicPr>
        <xdr:cNvPr id="6" name="Imagem 5">
          <a:extLst>
            <a:ext uri="{FF2B5EF4-FFF2-40B4-BE49-F238E27FC236}">
              <a16:creationId xmlns:a16="http://schemas.microsoft.com/office/drawing/2014/main" id="{EA990CE5-D838-4268-9AB0-5956B1D9B2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0"/>
          <a:ext cx="1544777" cy="625751"/>
        </a:xfrm>
        <a:prstGeom prst="rect">
          <a:avLst/>
        </a:prstGeom>
      </xdr:spPr>
    </xdr:pic>
    <xdr:clientData/>
  </xdr:twoCellAnchor>
  <xdr:twoCellAnchor editAs="oneCell">
    <xdr:from>
      <xdr:col>1</xdr:col>
      <xdr:colOff>3111499</xdr:colOff>
      <xdr:row>0</xdr:row>
      <xdr:rowOff>19050</xdr:rowOff>
    </xdr:from>
    <xdr:to>
      <xdr:col>1</xdr:col>
      <xdr:colOff>3797299</xdr:colOff>
      <xdr:row>3</xdr:row>
      <xdr:rowOff>165175</xdr:rowOff>
    </xdr:to>
    <xdr:pic>
      <xdr:nvPicPr>
        <xdr:cNvPr id="4" name="Gráfico 3" descr="Seta de linha: girar para a esquerda">
          <a:hlinkClick xmlns:r="http://schemas.openxmlformats.org/officeDocument/2006/relationships" r:id="rId2"/>
          <a:extLst>
            <a:ext uri="{FF2B5EF4-FFF2-40B4-BE49-F238E27FC236}">
              <a16:creationId xmlns:a16="http://schemas.microsoft.com/office/drawing/2014/main" id="{A487D594-1C08-4456-B2BC-41CA562CB3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35324" y="19050"/>
          <a:ext cx="685800" cy="689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16564</xdr:colOff>
      <xdr:row>0</xdr:row>
      <xdr:rowOff>0</xdr:rowOff>
    </xdr:from>
    <xdr:to>
      <xdr:col>1</xdr:col>
      <xdr:colOff>1561341</xdr:colOff>
      <xdr:row>3</xdr:row>
      <xdr:rowOff>82826</xdr:rowOff>
    </xdr:to>
    <xdr:pic>
      <xdr:nvPicPr>
        <xdr:cNvPr id="5" name="Imagem 4">
          <a:extLst>
            <a:ext uri="{FF2B5EF4-FFF2-40B4-BE49-F238E27FC236}">
              <a16:creationId xmlns:a16="http://schemas.microsoft.com/office/drawing/2014/main" id="{549227CB-414E-4D4D-875C-E3F18ED531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521" y="0"/>
          <a:ext cx="1544777" cy="629478"/>
        </a:xfrm>
        <a:prstGeom prst="rect">
          <a:avLst/>
        </a:prstGeom>
      </xdr:spPr>
    </xdr:pic>
    <xdr:clientData/>
  </xdr:twoCellAnchor>
  <xdr:twoCellAnchor editAs="oneCell">
    <xdr:from>
      <xdr:col>1</xdr:col>
      <xdr:colOff>3117849</xdr:colOff>
      <xdr:row>0</xdr:row>
      <xdr:rowOff>31748</xdr:rowOff>
    </xdr:from>
    <xdr:to>
      <xdr:col>1</xdr:col>
      <xdr:colOff>3803649</xdr:colOff>
      <xdr:row>3</xdr:row>
      <xdr:rowOff>171450</xdr:rowOff>
    </xdr:to>
    <xdr:pic>
      <xdr:nvPicPr>
        <xdr:cNvPr id="6" name="Gráfico 5" descr="Seta de linha: girar para a esquerda">
          <a:hlinkClick xmlns:r="http://schemas.openxmlformats.org/officeDocument/2006/relationships" r:id="rId2"/>
          <a:extLst>
            <a:ext uri="{FF2B5EF4-FFF2-40B4-BE49-F238E27FC236}">
              <a16:creationId xmlns:a16="http://schemas.microsoft.com/office/drawing/2014/main" id="{FEF88450-BA5C-4205-9797-692B1F1F9E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41674" y="31748"/>
          <a:ext cx="685800" cy="6826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16564</xdr:colOff>
      <xdr:row>0</xdr:row>
      <xdr:rowOff>0</xdr:rowOff>
    </xdr:from>
    <xdr:to>
      <xdr:col>1</xdr:col>
      <xdr:colOff>1561341</xdr:colOff>
      <xdr:row>3</xdr:row>
      <xdr:rowOff>63776</xdr:rowOff>
    </xdr:to>
    <xdr:pic>
      <xdr:nvPicPr>
        <xdr:cNvPr id="3" name="Imagem 2">
          <a:extLst>
            <a:ext uri="{FF2B5EF4-FFF2-40B4-BE49-F238E27FC236}">
              <a16:creationId xmlns:a16="http://schemas.microsoft.com/office/drawing/2014/main" id="{C84F2038-2420-4FE0-8648-A7B9F91E92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864" y="0"/>
          <a:ext cx="1544777" cy="625751"/>
        </a:xfrm>
        <a:prstGeom prst="rect">
          <a:avLst/>
        </a:prstGeom>
      </xdr:spPr>
    </xdr:pic>
    <xdr:clientData/>
  </xdr:twoCellAnchor>
  <xdr:twoCellAnchor editAs="oneCell">
    <xdr:from>
      <xdr:col>1</xdr:col>
      <xdr:colOff>3086100</xdr:colOff>
      <xdr:row>0</xdr:row>
      <xdr:rowOff>9525</xdr:rowOff>
    </xdr:from>
    <xdr:to>
      <xdr:col>1</xdr:col>
      <xdr:colOff>3768725</xdr:colOff>
      <xdr:row>3</xdr:row>
      <xdr:rowOff>150059</xdr:rowOff>
    </xdr:to>
    <xdr:pic>
      <xdr:nvPicPr>
        <xdr:cNvPr id="4" name="Gráfico 3" descr="Seta de linha: girar para a esquerda">
          <a:hlinkClick xmlns:r="http://schemas.openxmlformats.org/officeDocument/2006/relationships" r:id="rId2"/>
          <a:extLst>
            <a:ext uri="{FF2B5EF4-FFF2-40B4-BE49-F238E27FC236}">
              <a16:creationId xmlns:a16="http://schemas.microsoft.com/office/drawing/2014/main" id="{1AAF63AA-A622-4418-9469-5BA486F6C4C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09925" y="9525"/>
          <a:ext cx="682625" cy="6834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3171825</xdr:colOff>
      <xdr:row>0</xdr:row>
      <xdr:rowOff>0</xdr:rowOff>
    </xdr:from>
    <xdr:to>
      <xdr:col>2</xdr:col>
      <xdr:colOff>0</xdr:colOff>
      <xdr:row>3</xdr:row>
      <xdr:rowOff>123825</xdr:rowOff>
    </xdr:to>
    <xdr:pic>
      <xdr:nvPicPr>
        <xdr:cNvPr id="4" name="Gráfico 3" descr="Seta de linha: girar para a esquerda">
          <a:hlinkClick xmlns:r="http://schemas.openxmlformats.org/officeDocument/2006/relationships" r:id="rId1"/>
          <a:extLst>
            <a:ext uri="{FF2B5EF4-FFF2-40B4-BE49-F238E27FC236}">
              <a16:creationId xmlns:a16="http://schemas.microsoft.com/office/drawing/2014/main" id="{22F37F4F-F2FC-44FD-A9D8-CAEF4C4E7D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95650" y="0"/>
          <a:ext cx="685800" cy="666750"/>
        </a:xfrm>
        <a:prstGeom prst="rect">
          <a:avLst/>
        </a:prstGeom>
      </xdr:spPr>
    </xdr:pic>
    <xdr:clientData/>
  </xdr:twoCellAnchor>
  <xdr:twoCellAnchor editAs="oneCell">
    <xdr:from>
      <xdr:col>1</xdr:col>
      <xdr:colOff>24847</xdr:colOff>
      <xdr:row>0</xdr:row>
      <xdr:rowOff>0</xdr:rowOff>
    </xdr:from>
    <xdr:to>
      <xdr:col>1</xdr:col>
      <xdr:colOff>1572799</xdr:colOff>
      <xdr:row>3</xdr:row>
      <xdr:rowOff>86001</xdr:rowOff>
    </xdr:to>
    <xdr:pic>
      <xdr:nvPicPr>
        <xdr:cNvPr id="5" name="Imagem 4">
          <a:extLst>
            <a:ext uri="{FF2B5EF4-FFF2-40B4-BE49-F238E27FC236}">
              <a16:creationId xmlns:a16="http://schemas.microsoft.com/office/drawing/2014/main" id="{C01263C6-DD38-4B8D-947F-B483A2FF3ED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0804" y="0"/>
          <a:ext cx="1544777" cy="6294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2895600</xdr:colOff>
      <xdr:row>0</xdr:row>
      <xdr:rowOff>9527</xdr:rowOff>
    </xdr:from>
    <xdr:to>
      <xdr:col>1</xdr:col>
      <xdr:colOff>3572256</xdr:colOff>
      <xdr:row>3</xdr:row>
      <xdr:rowOff>141003</xdr:rowOff>
    </xdr:to>
    <xdr:pic>
      <xdr:nvPicPr>
        <xdr:cNvPr id="3" name="Gráfico 2" descr="Seta de linha: girar para a esquerda">
          <a:hlinkClick xmlns:r="http://schemas.openxmlformats.org/officeDocument/2006/relationships" r:id="rId1"/>
          <a:extLst>
            <a:ext uri="{FF2B5EF4-FFF2-40B4-BE49-F238E27FC236}">
              <a16:creationId xmlns:a16="http://schemas.microsoft.com/office/drawing/2014/main" id="{DAC6CF87-5BD7-4252-9011-035803E25F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019425" y="9527"/>
          <a:ext cx="676656" cy="674401"/>
        </a:xfrm>
        <a:prstGeom prst="rect">
          <a:avLst/>
        </a:prstGeom>
      </xdr:spPr>
    </xdr:pic>
    <xdr:clientData/>
  </xdr:twoCellAnchor>
  <xdr:twoCellAnchor editAs="oneCell">
    <xdr:from>
      <xdr:col>1</xdr:col>
      <xdr:colOff>24847</xdr:colOff>
      <xdr:row>0</xdr:row>
      <xdr:rowOff>0</xdr:rowOff>
    </xdr:from>
    <xdr:to>
      <xdr:col>1</xdr:col>
      <xdr:colOff>1569624</xdr:colOff>
      <xdr:row>3</xdr:row>
      <xdr:rowOff>63776</xdr:rowOff>
    </xdr:to>
    <xdr:pic>
      <xdr:nvPicPr>
        <xdr:cNvPr id="4" name="Imagem 3">
          <a:extLst>
            <a:ext uri="{FF2B5EF4-FFF2-40B4-BE49-F238E27FC236}">
              <a16:creationId xmlns:a16="http://schemas.microsoft.com/office/drawing/2014/main" id="{BF7BF6CB-D8E6-48BA-9A0F-5F59B09D79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0804" y="0"/>
          <a:ext cx="1544777" cy="6294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3035301</xdr:colOff>
      <xdr:row>0</xdr:row>
      <xdr:rowOff>0</xdr:rowOff>
    </xdr:from>
    <xdr:to>
      <xdr:col>1</xdr:col>
      <xdr:colOff>3721668</xdr:colOff>
      <xdr:row>3</xdr:row>
      <xdr:rowOff>142875</xdr:rowOff>
    </xdr:to>
    <xdr:pic>
      <xdr:nvPicPr>
        <xdr:cNvPr id="3" name="Gráfico 2" descr="Seta de linha: girar para a esquerda">
          <a:hlinkClick xmlns:r="http://schemas.openxmlformats.org/officeDocument/2006/relationships" r:id="rId1"/>
          <a:extLst>
            <a:ext uri="{FF2B5EF4-FFF2-40B4-BE49-F238E27FC236}">
              <a16:creationId xmlns:a16="http://schemas.microsoft.com/office/drawing/2014/main" id="{A3975E11-7920-4C7F-AF96-7AA0607166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59126" y="0"/>
          <a:ext cx="686367" cy="685800"/>
        </a:xfrm>
        <a:prstGeom prst="rect">
          <a:avLst/>
        </a:prstGeom>
      </xdr:spPr>
    </xdr:pic>
    <xdr:clientData/>
  </xdr:twoCellAnchor>
  <xdr:twoCellAnchor editAs="oneCell">
    <xdr:from>
      <xdr:col>1</xdr:col>
      <xdr:colOff>33130</xdr:colOff>
      <xdr:row>0</xdr:row>
      <xdr:rowOff>0</xdr:rowOff>
    </xdr:from>
    <xdr:to>
      <xdr:col>1</xdr:col>
      <xdr:colOff>1574732</xdr:colOff>
      <xdr:row>3</xdr:row>
      <xdr:rowOff>86001</xdr:rowOff>
    </xdr:to>
    <xdr:pic>
      <xdr:nvPicPr>
        <xdr:cNvPr id="4" name="Imagem 3">
          <a:extLst>
            <a:ext uri="{FF2B5EF4-FFF2-40B4-BE49-F238E27FC236}">
              <a16:creationId xmlns:a16="http://schemas.microsoft.com/office/drawing/2014/main" id="{5447AD0F-DC61-4E4C-A206-416D2C60A0B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9087" y="0"/>
          <a:ext cx="1544777" cy="629478"/>
        </a:xfrm>
        <a:prstGeom prst="rect">
          <a:avLst/>
        </a:prstGeom>
      </xdr:spPr>
    </xdr:pic>
    <xdr:clientData/>
  </xdr:twoCellAnchor>
</xdr:wsDr>
</file>

<file path=xl/theme/theme1.xml><?xml version="1.0" encoding="utf-8"?>
<a:theme xmlns:a="http://schemas.openxmlformats.org/drawingml/2006/main" name="Office Theme">
  <a:themeElements>
    <a:clrScheme name="Verde">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368C4-DDEF-4288-BEED-A425A288AD68}">
  <sheetPr>
    <tabColor rgb="FF1B7754"/>
  </sheetPr>
  <dimension ref="A1:N18"/>
  <sheetViews>
    <sheetView showGridLines="0" tabSelected="1" zoomScaleNormal="100" workbookViewId="0"/>
  </sheetViews>
  <sheetFormatPr defaultColWidth="0" defaultRowHeight="15" zeroHeight="1" x14ac:dyDescent="0.25"/>
  <cols>
    <col min="1" max="13" width="9.140625" customWidth="1"/>
    <col min="14" max="14" width="8.85546875" customWidth="1"/>
    <col min="15" max="16" width="9.140625" hidden="1" customWidth="1"/>
    <col min="17" max="16384" width="9.140625" hidden="1"/>
  </cols>
  <sheetData>
    <row r="1" spans="1:1" x14ac:dyDescent="0.25">
      <c r="A1" t="s">
        <v>166</v>
      </c>
    </row>
    <row r="2" spans="1:1" x14ac:dyDescent="0.25"/>
    <row r="3" spans="1:1" x14ac:dyDescent="0.25"/>
    <row r="4" spans="1:1" x14ac:dyDescent="0.25"/>
    <row r="5" spans="1:1" x14ac:dyDescent="0.25"/>
    <row r="6" spans="1:1" x14ac:dyDescent="0.25"/>
    <row r="7" spans="1:1" x14ac:dyDescent="0.25"/>
    <row r="8" spans="1:1" x14ac:dyDescent="0.25"/>
    <row r="9" spans="1:1" x14ac:dyDescent="0.25"/>
    <row r="10" spans="1:1" x14ac:dyDescent="0.25"/>
    <row r="11" spans="1:1" x14ac:dyDescent="0.25"/>
    <row r="12" spans="1:1" x14ac:dyDescent="0.25"/>
    <row r="13" spans="1:1" x14ac:dyDescent="0.25"/>
    <row r="14" spans="1:1" x14ac:dyDescent="0.25"/>
    <row r="15" spans="1:1" x14ac:dyDescent="0.25"/>
    <row r="16" spans="1:1" ht="14.25" customHeight="1" x14ac:dyDescent="0.25"/>
    <row r="17" ht="14.25" customHeight="1" x14ac:dyDescent="0.25"/>
    <row r="18" x14ac:dyDescent="0.25"/>
  </sheetData>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8F06F-BE0C-4A4D-8BC6-9FA711914143}">
  <sheetPr>
    <tabColor rgb="FF1B7754"/>
    <outlinePr summaryRight="0"/>
  </sheetPr>
  <dimension ref="B2:W66"/>
  <sheetViews>
    <sheetView showGridLines="0" zoomScaleNormal="100" workbookViewId="0"/>
  </sheetViews>
  <sheetFormatPr defaultColWidth="9.140625" defaultRowHeight="14.25" customHeight="1" x14ac:dyDescent="0.35"/>
  <cols>
    <col min="1" max="1" width="1.7109375" style="2" customWidth="1"/>
    <col min="2" max="2" width="50.5703125" style="2" customWidth="1" collapsed="1"/>
    <col min="3" max="4" width="10.5703125" style="2" customWidth="1"/>
    <col min="5" max="5" width="10.5703125" style="2" customWidth="1" collapsed="1"/>
    <col min="6" max="21" width="10.5703125" style="2" customWidth="1"/>
    <col min="22" max="24" width="10.7109375" style="2" customWidth="1"/>
    <col min="25" max="16384" width="9.140625" style="2"/>
  </cols>
  <sheetData>
    <row r="2" spans="2:23" ht="14.25" customHeight="1" x14ac:dyDescent="0.35">
      <c r="O2" s="100" t="s">
        <v>224</v>
      </c>
      <c r="P2" s="100"/>
      <c r="Q2" s="100"/>
      <c r="R2" s="100"/>
      <c r="S2" s="100"/>
      <c r="T2" s="100"/>
      <c r="U2" s="100"/>
    </row>
    <row r="3" spans="2:23" ht="14.25" customHeight="1" x14ac:dyDescent="0.35">
      <c r="O3" s="100"/>
      <c r="P3" s="100"/>
      <c r="Q3" s="100"/>
      <c r="R3" s="100"/>
      <c r="S3" s="100"/>
      <c r="T3" s="100"/>
      <c r="U3" s="100"/>
    </row>
    <row r="5" spans="2:23" s="11" customFormat="1" ht="14.25" customHeight="1" x14ac:dyDescent="0.25">
      <c r="B5" s="83" t="s">
        <v>145</v>
      </c>
      <c r="C5" s="99" t="s">
        <v>163</v>
      </c>
      <c r="D5" s="99" t="s">
        <v>158</v>
      </c>
      <c r="E5" s="99" t="s">
        <v>9</v>
      </c>
      <c r="F5" s="99" t="s">
        <v>10</v>
      </c>
      <c r="G5" s="99" t="s">
        <v>11</v>
      </c>
      <c r="H5" s="99" t="s">
        <v>152</v>
      </c>
      <c r="I5" s="99" t="s">
        <v>13</v>
      </c>
      <c r="J5" s="99" t="s">
        <v>14</v>
      </c>
      <c r="K5" s="99" t="s">
        <v>131</v>
      </c>
      <c r="L5" s="99" t="s">
        <v>154</v>
      </c>
      <c r="M5" s="99" t="s">
        <v>162</v>
      </c>
      <c r="N5" s="99" t="s">
        <v>190</v>
      </c>
      <c r="O5" s="99" t="s">
        <v>202</v>
      </c>
      <c r="P5" s="99" t="s">
        <v>214</v>
      </c>
      <c r="Q5" s="99" t="s">
        <v>222</v>
      </c>
      <c r="R5" s="99" t="s">
        <v>225</v>
      </c>
      <c r="S5" s="99" t="s">
        <v>257</v>
      </c>
      <c r="T5" s="99" t="s">
        <v>265</v>
      </c>
      <c r="U5" s="99" t="s">
        <v>281</v>
      </c>
    </row>
    <row r="6" spans="2:23" ht="14.25" customHeight="1" x14ac:dyDescent="0.35">
      <c r="B6" s="84" t="s">
        <v>113</v>
      </c>
      <c r="C6" s="99"/>
      <c r="D6" s="99"/>
      <c r="E6" s="99"/>
      <c r="F6" s="99"/>
      <c r="G6" s="99"/>
      <c r="H6" s="99"/>
      <c r="I6" s="99"/>
      <c r="J6" s="99"/>
      <c r="K6" s="99"/>
      <c r="L6" s="99"/>
      <c r="M6" s="99"/>
      <c r="N6" s="99"/>
      <c r="O6" s="99"/>
      <c r="P6" s="99"/>
      <c r="Q6" s="99"/>
      <c r="R6" s="99"/>
      <c r="S6" s="99"/>
      <c r="T6" s="99"/>
      <c r="U6" s="99"/>
    </row>
    <row r="7" spans="2:23" ht="14.25" customHeight="1" x14ac:dyDescent="0.35">
      <c r="B7" s="33" t="s">
        <v>15</v>
      </c>
      <c r="C7" s="33">
        <v>9521</v>
      </c>
      <c r="D7" s="30">
        <v>11283</v>
      </c>
      <c r="E7" s="30">
        <v>41291.904000000002</v>
      </c>
      <c r="F7" s="30">
        <v>31696.824000000001</v>
      </c>
      <c r="G7" s="30">
        <v>18772.257000000001</v>
      </c>
      <c r="H7" s="30">
        <v>310001</v>
      </c>
      <c r="I7" s="30">
        <v>230993</v>
      </c>
      <c r="J7" s="30">
        <v>499024</v>
      </c>
      <c r="K7" s="30">
        <v>593832</v>
      </c>
      <c r="L7" s="30">
        <v>948613</v>
      </c>
      <c r="M7" s="30">
        <v>859818</v>
      </c>
      <c r="N7" s="30">
        <v>689438</v>
      </c>
      <c r="O7" s="30">
        <v>1057322</v>
      </c>
      <c r="P7" s="30">
        <v>1719194</v>
      </c>
      <c r="Q7" s="30">
        <v>2891822.1</v>
      </c>
      <c r="R7" s="30">
        <v>1589854</v>
      </c>
      <c r="S7" s="30">
        <v>844178</v>
      </c>
      <c r="T7" s="30">
        <v>1374855</v>
      </c>
      <c r="U7" s="30">
        <v>2159077</v>
      </c>
    </row>
    <row r="8" spans="2:23" ht="14.25" customHeight="1" x14ac:dyDescent="0.35">
      <c r="B8" s="6" t="s">
        <v>16</v>
      </c>
      <c r="C8" s="6">
        <v>209432</v>
      </c>
      <c r="D8" s="30">
        <v>16814</v>
      </c>
      <c r="E8" s="30">
        <v>27417.026999999998</v>
      </c>
      <c r="F8" s="30">
        <v>49306.574999999997</v>
      </c>
      <c r="G8" s="30">
        <v>129221.743</v>
      </c>
      <c r="H8" s="30">
        <v>79586</v>
      </c>
      <c r="I8" s="30">
        <v>41</v>
      </c>
      <c r="J8" s="30">
        <v>81</v>
      </c>
      <c r="K8" s="30">
        <v>13540</v>
      </c>
      <c r="L8" s="30">
        <v>97716</v>
      </c>
      <c r="M8" s="30">
        <v>15160</v>
      </c>
      <c r="N8" s="30">
        <v>97633</v>
      </c>
      <c r="O8" s="30">
        <v>16299</v>
      </c>
      <c r="P8" s="30">
        <v>216598</v>
      </c>
      <c r="Q8" s="30">
        <v>14880</v>
      </c>
      <c r="R8" s="30">
        <v>96958</v>
      </c>
      <c r="S8" s="30">
        <v>3115697</v>
      </c>
      <c r="T8" s="30">
        <v>3109084</v>
      </c>
      <c r="U8" s="30">
        <v>1652881</v>
      </c>
    </row>
    <row r="9" spans="2:23" ht="14.25" customHeight="1" x14ac:dyDescent="0.35">
      <c r="B9" s="6" t="s">
        <v>272</v>
      </c>
      <c r="C9" s="6">
        <v>15514</v>
      </c>
      <c r="D9" s="30">
        <v>22462</v>
      </c>
      <c r="E9" s="30">
        <v>27163.43</v>
      </c>
      <c r="F9" s="30">
        <v>42853.536999999997</v>
      </c>
      <c r="G9" s="30">
        <v>60664</v>
      </c>
      <c r="H9" s="30">
        <v>75818</v>
      </c>
      <c r="I9" s="30">
        <v>665534</v>
      </c>
      <c r="J9" s="30">
        <v>251044</v>
      </c>
      <c r="K9" s="30">
        <v>70528</v>
      </c>
      <c r="L9" s="30">
        <v>28876</v>
      </c>
      <c r="M9" s="30">
        <v>171105</v>
      </c>
      <c r="N9" s="30">
        <v>115617</v>
      </c>
      <c r="O9" s="30">
        <v>76425</v>
      </c>
      <c r="P9" s="30">
        <v>383976</v>
      </c>
      <c r="Q9" s="30">
        <v>342392</v>
      </c>
      <c r="R9" s="30">
        <v>2051740</v>
      </c>
      <c r="S9" s="30">
        <v>2131340</v>
      </c>
      <c r="T9" s="30">
        <v>2256928</v>
      </c>
      <c r="U9" s="30">
        <v>2274857</v>
      </c>
    </row>
    <row r="10" spans="2:23" ht="14.25" customHeight="1" x14ac:dyDescent="0.35">
      <c r="B10" s="6" t="s">
        <v>17</v>
      </c>
      <c r="C10" s="6">
        <v>25325</v>
      </c>
      <c r="D10" s="30">
        <v>37721</v>
      </c>
      <c r="E10" s="30">
        <v>46921.228000000003</v>
      </c>
      <c r="F10" s="30">
        <v>37421.749000000003</v>
      </c>
      <c r="G10" s="30">
        <v>72329</v>
      </c>
      <c r="H10" s="30">
        <v>104197</v>
      </c>
      <c r="I10" s="30">
        <v>126236</v>
      </c>
      <c r="J10" s="30">
        <v>45051</v>
      </c>
      <c r="K10" s="30">
        <v>120590</v>
      </c>
      <c r="L10" s="30">
        <v>111610</v>
      </c>
      <c r="M10" s="30">
        <v>154986</v>
      </c>
      <c r="N10" s="30">
        <v>167976</v>
      </c>
      <c r="O10" s="30">
        <v>181596</v>
      </c>
      <c r="P10" s="30">
        <v>284931</v>
      </c>
      <c r="Q10" s="30">
        <v>271101</v>
      </c>
      <c r="R10" s="30">
        <v>310801</v>
      </c>
      <c r="S10" s="30">
        <v>491912</v>
      </c>
      <c r="T10" s="30">
        <v>271314</v>
      </c>
      <c r="U10" s="30">
        <v>50477</v>
      </c>
    </row>
    <row r="11" spans="2:23" ht="14.25" customHeight="1" x14ac:dyDescent="0.35">
      <c r="B11" s="6" t="s">
        <v>270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30">
        <v>166435</v>
      </c>
      <c r="U11" s="30">
        <v>25409</v>
      </c>
    </row>
    <row r="12" spans="2:23" ht="14.25" customHeight="1" x14ac:dyDescent="0.35">
      <c r="B12" s="6" t="s">
        <v>18</v>
      </c>
      <c r="C12" s="6">
        <v>36798</v>
      </c>
      <c r="D12" s="30">
        <v>122651</v>
      </c>
      <c r="E12" s="30">
        <v>182194.44</v>
      </c>
      <c r="F12" s="30">
        <v>440491.13400000002</v>
      </c>
      <c r="G12" s="30">
        <v>428359</v>
      </c>
      <c r="H12" s="30">
        <v>305176</v>
      </c>
      <c r="I12" s="30">
        <v>345076</v>
      </c>
      <c r="J12" s="30">
        <v>802138</v>
      </c>
      <c r="K12" s="30">
        <v>781916</v>
      </c>
      <c r="L12" s="30">
        <v>469883</v>
      </c>
      <c r="M12" s="30">
        <v>706838</v>
      </c>
      <c r="N12" s="30">
        <v>1977124</v>
      </c>
      <c r="O12" s="30">
        <v>1405513</v>
      </c>
      <c r="P12" s="30">
        <v>786727</v>
      </c>
      <c r="Q12" s="30">
        <v>1486067</v>
      </c>
      <c r="R12" s="30">
        <v>2377212</v>
      </c>
      <c r="S12" s="30">
        <v>1921435</v>
      </c>
      <c r="T12" s="30">
        <v>1067026</v>
      </c>
      <c r="U12" s="30">
        <v>1505010</v>
      </c>
    </row>
    <row r="13" spans="2:23" ht="14.25" customHeight="1" x14ac:dyDescent="0.35">
      <c r="B13" s="6" t="s">
        <v>19</v>
      </c>
      <c r="C13" s="6">
        <v>5709</v>
      </c>
      <c r="D13" s="30">
        <v>6817</v>
      </c>
      <c r="E13" s="30">
        <v>14483.656999999999</v>
      </c>
      <c r="F13" s="30">
        <v>7135.482</v>
      </c>
      <c r="G13" s="30">
        <v>58464</v>
      </c>
      <c r="H13" s="30">
        <v>60652</v>
      </c>
      <c r="I13" s="30">
        <v>15654</v>
      </c>
      <c r="J13" s="30">
        <v>10462</v>
      </c>
      <c r="K13" s="30">
        <v>24904</v>
      </c>
      <c r="L13" s="30">
        <v>26967</v>
      </c>
      <c r="M13" s="30">
        <v>18878</v>
      </c>
      <c r="N13" s="30">
        <v>26889</v>
      </c>
      <c r="O13" s="30">
        <v>55516</v>
      </c>
      <c r="P13" s="30">
        <v>48997</v>
      </c>
      <c r="Q13" s="30">
        <v>11334</v>
      </c>
      <c r="R13" s="30">
        <v>56811</v>
      </c>
      <c r="S13" s="30">
        <v>41529</v>
      </c>
      <c r="T13" s="30">
        <v>53143</v>
      </c>
      <c r="U13" s="30">
        <v>0</v>
      </c>
    </row>
    <row r="14" spans="2:23" ht="14.25" customHeight="1" x14ac:dyDescent="0.35">
      <c r="B14" s="6" t="s">
        <v>20</v>
      </c>
      <c r="C14" s="6">
        <v>0</v>
      </c>
      <c r="D14" s="30">
        <v>14906</v>
      </c>
      <c r="E14" s="30">
        <v>22586.064999999999</v>
      </c>
      <c r="F14" s="30">
        <v>15994.828</v>
      </c>
      <c r="G14" s="30">
        <v>2363</v>
      </c>
      <c r="H14" s="30">
        <v>3881</v>
      </c>
      <c r="I14" s="30">
        <v>2551</v>
      </c>
      <c r="J14" s="30">
        <v>2551</v>
      </c>
      <c r="K14" s="30">
        <v>2589</v>
      </c>
      <c r="L14" s="30">
        <v>169</v>
      </c>
      <c r="M14" s="30">
        <v>0</v>
      </c>
      <c r="N14" s="30">
        <v>17142</v>
      </c>
      <c r="O14" s="30">
        <v>0</v>
      </c>
      <c r="P14" s="30">
        <v>0</v>
      </c>
      <c r="Q14" s="30">
        <v>0</v>
      </c>
      <c r="R14" s="30">
        <v>0</v>
      </c>
      <c r="S14" s="30">
        <v>0</v>
      </c>
      <c r="T14" s="30">
        <v>0</v>
      </c>
      <c r="U14" s="30">
        <v>0</v>
      </c>
    </row>
    <row r="15" spans="2:23" ht="14.25" customHeight="1" x14ac:dyDescent="0.35">
      <c r="B15" s="6" t="s">
        <v>273</v>
      </c>
      <c r="C15" s="6">
        <v>669</v>
      </c>
      <c r="D15" s="30">
        <v>8415</v>
      </c>
      <c r="E15" s="30">
        <v>14618.511</v>
      </c>
      <c r="F15" s="30">
        <v>32199.746999999999</v>
      </c>
      <c r="G15" s="30">
        <v>52797</v>
      </c>
      <c r="H15" s="30">
        <v>64412</v>
      </c>
      <c r="I15" s="30">
        <v>60575</v>
      </c>
      <c r="J15" s="30">
        <v>127207</v>
      </c>
      <c r="K15" s="30">
        <v>133168</v>
      </c>
      <c r="L15" s="30">
        <v>110345</v>
      </c>
      <c r="M15" s="30">
        <v>145628</v>
      </c>
      <c r="N15" s="30">
        <v>268086</v>
      </c>
      <c r="O15" s="30">
        <v>66903</v>
      </c>
      <c r="P15" s="30">
        <v>122332</v>
      </c>
      <c r="Q15" s="30">
        <v>165940.80489</v>
      </c>
      <c r="R15" s="30">
        <v>236883</v>
      </c>
      <c r="S15" s="30">
        <v>281818</v>
      </c>
      <c r="T15" s="30">
        <v>383452</v>
      </c>
      <c r="U15" s="30">
        <v>324036</v>
      </c>
    </row>
    <row r="16" spans="2:23" ht="14.25" customHeight="1" x14ac:dyDescent="0.35">
      <c r="B16" s="6" t="s">
        <v>21</v>
      </c>
      <c r="C16" s="6">
        <v>740</v>
      </c>
      <c r="D16" s="30">
        <v>1075</v>
      </c>
      <c r="E16" s="30">
        <v>623.68700000000001</v>
      </c>
      <c r="F16" s="30">
        <v>4620.3100000000004</v>
      </c>
      <c r="G16" s="30">
        <v>3559</v>
      </c>
      <c r="H16" s="30">
        <v>2909</v>
      </c>
      <c r="I16" s="30">
        <v>9212</v>
      </c>
      <c r="J16" s="30">
        <v>12318</v>
      </c>
      <c r="K16" s="30">
        <v>7423</v>
      </c>
      <c r="L16" s="30">
        <v>17356</v>
      </c>
      <c r="M16" s="30">
        <v>28478</v>
      </c>
      <c r="N16" s="30">
        <v>42604</v>
      </c>
      <c r="O16" s="30">
        <v>29202</v>
      </c>
      <c r="P16" s="30">
        <v>24642</v>
      </c>
      <c r="Q16" s="30">
        <v>51915</v>
      </c>
      <c r="R16" s="30">
        <v>53448</v>
      </c>
      <c r="S16" s="30">
        <v>49553</v>
      </c>
      <c r="T16" s="30">
        <v>40915</v>
      </c>
      <c r="U16" s="30">
        <v>66894</v>
      </c>
      <c r="W16" s="2" t="s">
        <v>269</v>
      </c>
    </row>
    <row r="17" spans="2:21" ht="14.25" customHeight="1" x14ac:dyDescent="0.35">
      <c r="B17" s="6" t="s">
        <v>22</v>
      </c>
      <c r="C17" s="6">
        <v>0</v>
      </c>
      <c r="D17" s="30">
        <v>0</v>
      </c>
      <c r="E17" s="30">
        <v>0</v>
      </c>
      <c r="F17" s="30">
        <v>0</v>
      </c>
      <c r="G17" s="30">
        <v>0</v>
      </c>
      <c r="H17" s="30">
        <v>5564</v>
      </c>
      <c r="I17" s="30">
        <v>4665</v>
      </c>
      <c r="J17" s="30">
        <v>4665</v>
      </c>
      <c r="K17" s="30">
        <v>19462</v>
      </c>
      <c r="L17" s="30">
        <v>6093</v>
      </c>
      <c r="M17" s="30">
        <v>6093</v>
      </c>
      <c r="N17" s="30">
        <v>6093</v>
      </c>
      <c r="O17" s="30">
        <v>6093</v>
      </c>
      <c r="P17" s="30">
        <v>3760</v>
      </c>
      <c r="Q17" s="30">
        <v>3760</v>
      </c>
      <c r="R17" s="30">
        <v>5621</v>
      </c>
      <c r="S17" s="30">
        <v>3060</v>
      </c>
      <c r="T17" s="30">
        <v>984</v>
      </c>
      <c r="U17" s="30">
        <v>617</v>
      </c>
    </row>
    <row r="18" spans="2:21" ht="14.25" customHeight="1" x14ac:dyDescent="0.35">
      <c r="B18" s="6" t="s">
        <v>274</v>
      </c>
      <c r="C18" s="6">
        <v>0</v>
      </c>
      <c r="D18" s="30">
        <v>0</v>
      </c>
      <c r="E18" s="30">
        <v>11539.162</v>
      </c>
      <c r="F18" s="30">
        <v>3303.348</v>
      </c>
      <c r="G18" s="30">
        <v>14863</v>
      </c>
      <c r="H18" s="30">
        <v>24049</v>
      </c>
      <c r="I18" s="30">
        <v>23397</v>
      </c>
      <c r="J18" s="30">
        <v>21381</v>
      </c>
      <c r="K18" s="30">
        <v>10723</v>
      </c>
      <c r="L18" s="30">
        <v>13351</v>
      </c>
      <c r="M18" s="30">
        <v>276</v>
      </c>
      <c r="N18" s="30">
        <v>13804</v>
      </c>
      <c r="O18" s="30">
        <v>43179</v>
      </c>
      <c r="P18" s="30">
        <v>75063</v>
      </c>
      <c r="Q18" s="30">
        <v>92771</v>
      </c>
      <c r="R18" s="30">
        <v>35357</v>
      </c>
      <c r="S18" s="30">
        <v>11689</v>
      </c>
      <c r="T18" s="30">
        <v>40478</v>
      </c>
      <c r="U18" s="30">
        <v>117314</v>
      </c>
    </row>
    <row r="19" spans="2:21" ht="14.25" customHeight="1" x14ac:dyDescent="0.35">
      <c r="B19" s="6" t="s">
        <v>23</v>
      </c>
      <c r="C19" s="6">
        <v>0</v>
      </c>
      <c r="D19" s="30">
        <v>387</v>
      </c>
      <c r="E19" s="30">
        <v>670.14700000000005</v>
      </c>
      <c r="F19" s="30">
        <v>2777.1019999999999</v>
      </c>
      <c r="G19" s="30">
        <v>14313</v>
      </c>
      <c r="H19" s="30">
        <v>387</v>
      </c>
      <c r="I19" s="30">
        <v>516</v>
      </c>
      <c r="J19" s="30">
        <v>1118</v>
      </c>
      <c r="K19" s="30">
        <v>964</v>
      </c>
      <c r="L19" s="30">
        <v>1598</v>
      </c>
      <c r="M19" s="30">
        <v>1992</v>
      </c>
      <c r="N19" s="30">
        <v>1895</v>
      </c>
      <c r="O19" s="30">
        <v>1573</v>
      </c>
      <c r="P19" s="30">
        <v>9019</v>
      </c>
      <c r="Q19" s="30">
        <v>13412</v>
      </c>
      <c r="R19" s="30">
        <v>16702</v>
      </c>
      <c r="S19" s="30">
        <v>63085</v>
      </c>
      <c r="T19" s="30">
        <v>36466</v>
      </c>
      <c r="U19" s="30">
        <v>10794</v>
      </c>
    </row>
    <row r="20" spans="2:21" s="12" customFormat="1" ht="14.25" customHeight="1" x14ac:dyDescent="0.35">
      <c r="B20" s="5" t="s">
        <v>24</v>
      </c>
      <c r="C20" s="31">
        <v>303708</v>
      </c>
      <c r="D20" s="31">
        <v>242531</v>
      </c>
      <c r="E20" s="31">
        <v>389509.25799999997</v>
      </c>
      <c r="F20" s="31">
        <v>667800.63599999994</v>
      </c>
      <c r="G20" s="31">
        <v>855705</v>
      </c>
      <c r="H20" s="31">
        <v>1036632</v>
      </c>
      <c r="I20" s="31">
        <v>1484450</v>
      </c>
      <c r="J20" s="31">
        <v>1777040</v>
      </c>
      <c r="K20" s="31">
        <v>1779639</v>
      </c>
      <c r="L20" s="31">
        <v>1832577</v>
      </c>
      <c r="M20" s="31">
        <v>2109252</v>
      </c>
      <c r="N20" s="31">
        <v>3424301</v>
      </c>
      <c r="O20" s="31">
        <v>2939621</v>
      </c>
      <c r="P20" s="31">
        <v>3675239</v>
      </c>
      <c r="Q20" s="31">
        <v>5345394.9048899999</v>
      </c>
      <c r="R20" s="31">
        <v>6831387</v>
      </c>
      <c r="S20" s="31">
        <v>8955296</v>
      </c>
      <c r="T20" s="31">
        <v>8801080</v>
      </c>
      <c r="U20" s="31">
        <f>SUM(U7:U19)</f>
        <v>8187366</v>
      </c>
    </row>
    <row r="21" spans="2:21" ht="14.1" customHeight="1" x14ac:dyDescent="0.35">
      <c r="B21" s="6" t="s">
        <v>16</v>
      </c>
      <c r="C21" s="6">
        <v>0</v>
      </c>
      <c r="D21" s="30">
        <v>0</v>
      </c>
      <c r="E21" s="30">
        <v>0</v>
      </c>
      <c r="F21" s="30">
        <v>0</v>
      </c>
      <c r="G21" s="30">
        <v>0</v>
      </c>
      <c r="H21" s="30">
        <v>0</v>
      </c>
      <c r="I21" s="30">
        <v>0</v>
      </c>
      <c r="J21" s="30">
        <v>0</v>
      </c>
      <c r="K21" s="30">
        <v>2810640</v>
      </c>
      <c r="L21" s="30">
        <v>3385056</v>
      </c>
      <c r="M21" s="30">
        <v>2972066</v>
      </c>
      <c r="N21" s="30">
        <v>3231825</v>
      </c>
      <c r="O21" s="30">
        <v>3318748</v>
      </c>
      <c r="P21" s="30">
        <v>2817419</v>
      </c>
      <c r="Q21" s="30">
        <v>3114900</v>
      </c>
      <c r="R21" s="30">
        <v>3212337</v>
      </c>
      <c r="S21" s="30">
        <v>0</v>
      </c>
      <c r="T21" s="30">
        <v>0</v>
      </c>
      <c r="U21" s="30">
        <v>0</v>
      </c>
    </row>
    <row r="22" spans="2:21" ht="14.25" customHeight="1" x14ac:dyDescent="0.35">
      <c r="B22" s="6" t="s">
        <v>25</v>
      </c>
      <c r="C22" s="6">
        <v>0</v>
      </c>
      <c r="D22" s="30">
        <v>0</v>
      </c>
      <c r="E22" s="30">
        <v>0</v>
      </c>
      <c r="F22" s="30">
        <v>0</v>
      </c>
      <c r="G22" s="30">
        <v>0</v>
      </c>
      <c r="H22" s="30">
        <v>115536</v>
      </c>
      <c r="I22" s="30">
        <v>138424</v>
      </c>
      <c r="J22" s="30">
        <v>86698</v>
      </c>
      <c r="K22" s="30">
        <v>0</v>
      </c>
      <c r="L22" s="30">
        <v>0</v>
      </c>
      <c r="M22" s="30">
        <v>0</v>
      </c>
      <c r="N22" s="30">
        <v>0</v>
      </c>
      <c r="O22" s="30">
        <v>0</v>
      </c>
      <c r="P22" s="30">
        <v>0</v>
      </c>
      <c r="Q22" s="30">
        <v>0</v>
      </c>
      <c r="R22" s="30">
        <v>0</v>
      </c>
      <c r="S22" s="30">
        <v>0</v>
      </c>
      <c r="T22" s="30">
        <v>0</v>
      </c>
      <c r="U22" s="30">
        <v>0</v>
      </c>
    </row>
    <row r="23" spans="2:21" ht="14.25" customHeight="1" x14ac:dyDescent="0.35">
      <c r="B23" s="6" t="s">
        <v>275</v>
      </c>
      <c r="C23" s="30">
        <v>0</v>
      </c>
      <c r="D23" s="30">
        <v>0</v>
      </c>
      <c r="E23" s="30">
        <v>0</v>
      </c>
      <c r="F23" s="30">
        <v>0</v>
      </c>
      <c r="G23" s="30">
        <v>0</v>
      </c>
      <c r="H23" s="30">
        <v>0</v>
      </c>
      <c r="I23" s="30">
        <v>0</v>
      </c>
      <c r="J23" s="30">
        <v>0</v>
      </c>
      <c r="K23" s="30">
        <v>0</v>
      </c>
      <c r="L23" s="30">
        <v>0</v>
      </c>
      <c r="M23" s="30">
        <v>0</v>
      </c>
      <c r="N23" s="30">
        <v>0</v>
      </c>
      <c r="O23" s="30">
        <v>16227</v>
      </c>
      <c r="P23" s="30">
        <v>16547</v>
      </c>
      <c r="Q23" s="30">
        <v>17045</v>
      </c>
      <c r="R23" s="30">
        <v>16908</v>
      </c>
      <c r="S23" s="30">
        <v>42694</v>
      </c>
      <c r="T23" s="30">
        <v>39246</v>
      </c>
      <c r="U23" s="30">
        <v>35529</v>
      </c>
    </row>
    <row r="24" spans="2:21" ht="14.25" customHeight="1" x14ac:dyDescent="0.35">
      <c r="B24" s="6" t="s">
        <v>19</v>
      </c>
      <c r="C24" s="6">
        <v>1841</v>
      </c>
      <c r="D24" s="30">
        <v>6883</v>
      </c>
      <c r="E24" s="30">
        <v>8575.7970000000005</v>
      </c>
      <c r="F24" s="30">
        <v>11053.165000000001</v>
      </c>
      <c r="G24" s="30">
        <v>9106</v>
      </c>
      <c r="H24" s="30">
        <v>9106</v>
      </c>
      <c r="I24" s="30">
        <v>9106</v>
      </c>
      <c r="J24" s="30">
        <v>12967</v>
      </c>
      <c r="K24" s="30">
        <v>12968</v>
      </c>
      <c r="L24" s="30">
        <v>12968</v>
      </c>
      <c r="M24" s="30">
        <v>12968</v>
      </c>
      <c r="N24" s="30">
        <v>20029</v>
      </c>
      <c r="O24" s="30">
        <v>27435</v>
      </c>
      <c r="P24" s="30">
        <v>55497</v>
      </c>
      <c r="Q24" s="30">
        <v>88618</v>
      </c>
      <c r="R24" s="30">
        <v>112114</v>
      </c>
      <c r="S24" s="30">
        <v>92866</v>
      </c>
      <c r="T24" s="30">
        <v>49603</v>
      </c>
      <c r="U24" s="30">
        <v>179932</v>
      </c>
    </row>
    <row r="25" spans="2:21" ht="14.25" customHeight="1" x14ac:dyDescent="0.35">
      <c r="B25" s="6" t="s">
        <v>276</v>
      </c>
      <c r="C25" s="30">
        <v>0</v>
      </c>
      <c r="D25" s="30">
        <v>0</v>
      </c>
      <c r="E25" s="30">
        <v>0</v>
      </c>
      <c r="F25" s="30">
        <v>0</v>
      </c>
      <c r="G25" s="30">
        <v>0</v>
      </c>
      <c r="H25" s="30">
        <v>0</v>
      </c>
      <c r="I25" s="30">
        <v>0</v>
      </c>
      <c r="J25" s="30">
        <v>0</v>
      </c>
      <c r="K25" s="30">
        <v>0</v>
      </c>
      <c r="L25" s="30">
        <v>0</v>
      </c>
      <c r="M25" s="30">
        <v>0</v>
      </c>
      <c r="N25" s="30">
        <v>0</v>
      </c>
      <c r="O25" s="30">
        <v>186705</v>
      </c>
      <c r="P25" s="30">
        <v>129842</v>
      </c>
      <c r="Q25" s="30">
        <v>132915</v>
      </c>
      <c r="R25" s="30">
        <v>289949</v>
      </c>
      <c r="S25" s="30">
        <v>314852</v>
      </c>
      <c r="T25" s="30">
        <v>245805</v>
      </c>
      <c r="U25" s="30">
        <v>378074</v>
      </c>
    </row>
    <row r="26" spans="2:21" ht="14.25" customHeight="1" x14ac:dyDescent="0.35">
      <c r="B26" s="6" t="s">
        <v>274</v>
      </c>
      <c r="C26" s="6">
        <v>0</v>
      </c>
      <c r="D26" s="30">
        <v>0</v>
      </c>
      <c r="E26" s="30">
        <v>0</v>
      </c>
      <c r="F26" s="30">
        <v>0</v>
      </c>
      <c r="G26" s="30">
        <v>0</v>
      </c>
      <c r="H26" s="30">
        <v>0</v>
      </c>
      <c r="I26" s="30">
        <v>0</v>
      </c>
      <c r="J26" s="30">
        <v>0</v>
      </c>
      <c r="K26" s="30">
        <v>0</v>
      </c>
      <c r="L26" s="30">
        <v>0</v>
      </c>
      <c r="M26" s="30">
        <v>0</v>
      </c>
      <c r="N26" s="30">
        <v>0</v>
      </c>
      <c r="O26" s="30">
        <v>0</v>
      </c>
      <c r="P26" s="30">
        <v>2560</v>
      </c>
      <c r="Q26" s="30">
        <v>0</v>
      </c>
      <c r="R26" s="30">
        <v>16503</v>
      </c>
      <c r="S26" s="30">
        <v>16281</v>
      </c>
      <c r="T26" s="30">
        <v>0</v>
      </c>
      <c r="U26" s="30">
        <v>42197</v>
      </c>
    </row>
    <row r="27" spans="2:21" ht="14.25" customHeight="1" x14ac:dyDescent="0.35">
      <c r="B27" s="6" t="s">
        <v>207</v>
      </c>
      <c r="C27" s="30">
        <v>0</v>
      </c>
      <c r="D27" s="30">
        <v>0</v>
      </c>
      <c r="E27" s="30">
        <v>0</v>
      </c>
      <c r="F27" s="30">
        <v>0</v>
      </c>
      <c r="G27" s="30">
        <v>0</v>
      </c>
      <c r="H27" s="30">
        <v>0</v>
      </c>
      <c r="I27" s="30">
        <v>0</v>
      </c>
      <c r="J27" s="30">
        <v>0</v>
      </c>
      <c r="K27" s="30">
        <v>0</v>
      </c>
      <c r="L27" s="30">
        <v>0</v>
      </c>
      <c r="M27" s="30">
        <v>0</v>
      </c>
      <c r="N27" s="30">
        <v>0</v>
      </c>
      <c r="O27" s="30">
        <v>293587</v>
      </c>
      <c r="P27" s="30">
        <v>251035</v>
      </c>
      <c r="Q27" s="30">
        <v>282142</v>
      </c>
      <c r="R27" s="30">
        <v>296143</v>
      </c>
      <c r="S27" s="30">
        <v>290543</v>
      </c>
      <c r="T27" s="30">
        <v>288452</v>
      </c>
      <c r="U27" s="30">
        <v>277356</v>
      </c>
    </row>
    <row r="28" spans="2:21" ht="14.25" customHeight="1" x14ac:dyDescent="0.35">
      <c r="B28" s="6" t="s">
        <v>22</v>
      </c>
      <c r="C28" s="6">
        <v>0</v>
      </c>
      <c r="D28" s="30">
        <v>0</v>
      </c>
      <c r="E28" s="30">
        <v>0</v>
      </c>
      <c r="F28" s="30">
        <v>0</v>
      </c>
      <c r="G28" s="30">
        <v>0</v>
      </c>
      <c r="H28" s="30">
        <v>10042</v>
      </c>
      <c r="I28" s="30">
        <v>10042</v>
      </c>
      <c r="J28" s="30">
        <v>20109</v>
      </c>
      <c r="K28" s="30">
        <v>4509</v>
      </c>
      <c r="L28" s="30">
        <v>22090</v>
      </c>
      <c r="M28" s="30">
        <v>18009</v>
      </c>
      <c r="N28" s="30">
        <v>19484</v>
      </c>
      <c r="O28" s="30">
        <v>22732</v>
      </c>
      <c r="P28" s="30">
        <v>42337</v>
      </c>
      <c r="Q28" s="30">
        <v>46543</v>
      </c>
      <c r="R28" s="30">
        <v>55561</v>
      </c>
      <c r="S28" s="30">
        <v>0</v>
      </c>
      <c r="T28" s="30">
        <v>0</v>
      </c>
      <c r="U28" s="30">
        <v>0</v>
      </c>
    </row>
    <row r="29" spans="2:21" ht="14.25" customHeight="1" x14ac:dyDescent="0.35">
      <c r="B29" s="6" t="s">
        <v>26</v>
      </c>
      <c r="C29" s="6">
        <v>0</v>
      </c>
      <c r="D29" s="30">
        <v>3354</v>
      </c>
      <c r="E29" s="30">
        <v>3353.5450000000001</v>
      </c>
      <c r="F29" s="30">
        <v>3353.5450000000001</v>
      </c>
      <c r="G29" s="30">
        <v>3353.5450000000001</v>
      </c>
      <c r="H29" s="30">
        <v>3580</v>
      </c>
      <c r="I29" s="30">
        <v>3571</v>
      </c>
      <c r="J29" s="30">
        <v>3571</v>
      </c>
      <c r="K29" s="30">
        <v>3571</v>
      </c>
      <c r="L29" s="30">
        <v>3652</v>
      </c>
      <c r="M29" s="30">
        <v>3710</v>
      </c>
      <c r="N29" s="30">
        <v>3734</v>
      </c>
      <c r="O29" s="30">
        <v>3775</v>
      </c>
      <c r="P29" s="30">
        <v>3775</v>
      </c>
      <c r="Q29" s="30">
        <v>3854</v>
      </c>
      <c r="R29" s="30">
        <v>3964</v>
      </c>
      <c r="S29" s="30">
        <v>4108</v>
      </c>
      <c r="T29" s="30">
        <v>4177</v>
      </c>
      <c r="U29" s="30">
        <v>4817</v>
      </c>
    </row>
    <row r="30" spans="2:21" s="12" customFormat="1" ht="14.25" customHeight="1" x14ac:dyDescent="0.35">
      <c r="B30" s="5" t="s">
        <v>27</v>
      </c>
      <c r="C30" s="31">
        <v>1841</v>
      </c>
      <c r="D30" s="31">
        <v>10237</v>
      </c>
      <c r="E30" s="31">
        <v>11929.342000000001</v>
      </c>
      <c r="F30" s="31">
        <v>14406.710000000001</v>
      </c>
      <c r="G30" s="31">
        <v>12459.545</v>
      </c>
      <c r="H30" s="31">
        <v>138264</v>
      </c>
      <c r="I30" s="31">
        <v>161143</v>
      </c>
      <c r="J30" s="31">
        <v>123345</v>
      </c>
      <c r="K30" s="31">
        <v>2831688</v>
      </c>
      <c r="L30" s="31">
        <v>3423766</v>
      </c>
      <c r="M30" s="31">
        <v>3006753</v>
      </c>
      <c r="N30" s="31">
        <v>3275072</v>
      </c>
      <c r="O30" s="31">
        <v>3869209</v>
      </c>
      <c r="P30" s="31">
        <v>3319012</v>
      </c>
      <c r="Q30" s="31">
        <v>3686017</v>
      </c>
      <c r="R30" s="31">
        <v>4003479</v>
      </c>
      <c r="S30" s="31">
        <v>761344</v>
      </c>
      <c r="T30" s="31">
        <v>627283</v>
      </c>
      <c r="U30" s="31">
        <f>SUM(U21:U29)</f>
        <v>917905</v>
      </c>
    </row>
    <row r="31" spans="2:21" ht="14.25" customHeight="1" x14ac:dyDescent="0.35">
      <c r="B31" s="6" t="s">
        <v>28</v>
      </c>
      <c r="C31" s="6">
        <v>0</v>
      </c>
      <c r="D31" s="30">
        <v>0</v>
      </c>
      <c r="E31" s="30">
        <v>0</v>
      </c>
      <c r="F31" s="30">
        <v>0</v>
      </c>
      <c r="G31" s="30">
        <v>0</v>
      </c>
      <c r="H31" s="30">
        <v>0</v>
      </c>
      <c r="I31" s="30">
        <v>0</v>
      </c>
      <c r="J31" s="30">
        <v>0</v>
      </c>
      <c r="K31" s="30">
        <v>0</v>
      </c>
      <c r="L31" s="30">
        <v>0</v>
      </c>
      <c r="M31" s="30">
        <v>0</v>
      </c>
      <c r="N31" s="30">
        <v>0</v>
      </c>
      <c r="O31" s="30">
        <v>0</v>
      </c>
      <c r="P31" s="30">
        <v>0</v>
      </c>
      <c r="Q31" s="30">
        <v>0</v>
      </c>
      <c r="R31" s="30">
        <v>0</v>
      </c>
      <c r="S31" s="30">
        <v>0</v>
      </c>
      <c r="T31" s="30">
        <v>0</v>
      </c>
      <c r="U31" s="30">
        <v>0</v>
      </c>
    </row>
    <row r="32" spans="2:21" ht="14.25" customHeight="1" x14ac:dyDescent="0.35">
      <c r="B32" s="6" t="s">
        <v>29</v>
      </c>
      <c r="C32" s="6">
        <v>433424</v>
      </c>
      <c r="D32" s="30">
        <v>939544</v>
      </c>
      <c r="E32" s="30">
        <v>1208407.875</v>
      </c>
      <c r="F32" s="30">
        <v>1511290.737</v>
      </c>
      <c r="G32" s="30">
        <v>1908778</v>
      </c>
      <c r="H32" s="30">
        <v>2190785</v>
      </c>
      <c r="I32" s="30">
        <v>2407206</v>
      </c>
      <c r="J32" s="30">
        <v>2621496</v>
      </c>
      <c r="K32" s="30">
        <v>2765280</v>
      </c>
      <c r="L32" s="30">
        <v>2879404</v>
      </c>
      <c r="M32" s="30">
        <v>2921751</v>
      </c>
      <c r="N32" s="30">
        <v>2996223</v>
      </c>
      <c r="O32" s="30">
        <v>3157775</v>
      </c>
      <c r="P32" s="30">
        <v>3329098</v>
      </c>
      <c r="Q32" s="30">
        <v>3711837.4800399998</v>
      </c>
      <c r="R32" s="30">
        <v>4147584</v>
      </c>
      <c r="S32" s="30">
        <v>4521472</v>
      </c>
      <c r="T32" s="30">
        <v>4994520</v>
      </c>
      <c r="U32" s="30">
        <v>5335943</v>
      </c>
    </row>
    <row r="33" spans="2:21" ht="14.25" customHeight="1" x14ac:dyDescent="0.35">
      <c r="B33" s="6" t="s">
        <v>30</v>
      </c>
      <c r="C33" s="6">
        <v>876</v>
      </c>
      <c r="D33" s="30">
        <v>3917</v>
      </c>
      <c r="E33" s="30">
        <v>5618.3280000000004</v>
      </c>
      <c r="F33" s="30">
        <v>5559.4830000000002</v>
      </c>
      <c r="G33" s="30">
        <v>5997</v>
      </c>
      <c r="H33" s="30">
        <v>8209</v>
      </c>
      <c r="I33" s="30">
        <v>8269</v>
      </c>
      <c r="J33" s="30">
        <v>8377</v>
      </c>
      <c r="K33" s="30">
        <v>9544</v>
      </c>
      <c r="L33" s="30">
        <v>12759</v>
      </c>
      <c r="M33" s="30">
        <v>13012</v>
      </c>
      <c r="N33" s="30">
        <v>14615</v>
      </c>
      <c r="O33" s="30">
        <v>14691</v>
      </c>
      <c r="P33" s="30">
        <v>15435</v>
      </c>
      <c r="Q33" s="30">
        <v>16191</v>
      </c>
      <c r="R33" s="30">
        <v>16985</v>
      </c>
      <c r="S33" s="30">
        <v>17887</v>
      </c>
      <c r="T33" s="30">
        <v>19752</v>
      </c>
      <c r="U33" s="30">
        <v>19973</v>
      </c>
    </row>
    <row r="34" spans="2:21" s="12" customFormat="1" ht="14.25" customHeight="1" thickBot="1" x14ac:dyDescent="0.4">
      <c r="B34" s="5" t="s">
        <v>31</v>
      </c>
      <c r="C34" s="31">
        <v>436141</v>
      </c>
      <c r="D34" s="31">
        <v>953698</v>
      </c>
      <c r="E34" s="31">
        <v>1225955.5449999999</v>
      </c>
      <c r="F34" s="31">
        <v>1531256.93</v>
      </c>
      <c r="G34" s="31">
        <v>1927234.5449999999</v>
      </c>
      <c r="H34" s="31">
        <v>2337258</v>
      </c>
      <c r="I34" s="31">
        <v>2576618</v>
      </c>
      <c r="J34" s="31">
        <v>2753218</v>
      </c>
      <c r="K34" s="31">
        <v>5606512</v>
      </c>
      <c r="L34" s="31">
        <v>6315929</v>
      </c>
      <c r="M34" s="31">
        <v>5941516</v>
      </c>
      <c r="N34" s="31">
        <v>6285910</v>
      </c>
      <c r="O34" s="31">
        <v>7041675</v>
      </c>
      <c r="P34" s="31">
        <v>6663545</v>
      </c>
      <c r="Q34" s="31">
        <v>7414045.4800399998</v>
      </c>
      <c r="R34" s="31">
        <v>8168048</v>
      </c>
      <c r="S34" s="31">
        <v>5300703</v>
      </c>
      <c r="T34" s="31">
        <v>5641555</v>
      </c>
      <c r="U34" s="31">
        <f t="shared" ref="U34" si="0">U30+U31+U32+U33</f>
        <v>6273821</v>
      </c>
    </row>
    <row r="35" spans="2:21" ht="14.25" customHeight="1" thickBot="1" x14ac:dyDescent="0.4">
      <c r="B35" s="9" t="s">
        <v>129</v>
      </c>
      <c r="C35" s="29">
        <v>739849</v>
      </c>
      <c r="D35" s="29">
        <v>1196229</v>
      </c>
      <c r="E35" s="29">
        <v>1615464.8029999998</v>
      </c>
      <c r="F35" s="29">
        <v>2199057.5659999996</v>
      </c>
      <c r="G35" s="29">
        <v>2782939.5449999999</v>
      </c>
      <c r="H35" s="29">
        <v>3373890</v>
      </c>
      <c r="I35" s="29">
        <v>4061068</v>
      </c>
      <c r="J35" s="29">
        <v>4530258</v>
      </c>
      <c r="K35" s="29">
        <v>7386151</v>
      </c>
      <c r="L35" s="29">
        <v>8148506</v>
      </c>
      <c r="M35" s="29">
        <v>8050768</v>
      </c>
      <c r="N35" s="29">
        <v>9710211</v>
      </c>
      <c r="O35" s="29">
        <v>9981296</v>
      </c>
      <c r="P35" s="29">
        <v>10338784</v>
      </c>
      <c r="Q35" s="29">
        <v>12759440.38493</v>
      </c>
      <c r="R35" s="29">
        <v>14999435</v>
      </c>
      <c r="S35" s="29">
        <v>14255999</v>
      </c>
      <c r="T35" s="29">
        <v>14442635</v>
      </c>
      <c r="U35" s="29">
        <f>U34+U20</f>
        <v>14461187</v>
      </c>
    </row>
    <row r="36" spans="2:21" ht="14.25" customHeight="1" x14ac:dyDescent="0.35">
      <c r="B36" s="6"/>
      <c r="C36" s="6"/>
      <c r="D36" s="30"/>
      <c r="E36" s="30"/>
      <c r="F36" s="30"/>
      <c r="G36" s="30"/>
      <c r="H36" s="30"/>
      <c r="I36" s="30"/>
      <c r="J36" s="30"/>
      <c r="K36" s="30"/>
      <c r="L36" s="30"/>
      <c r="M36" s="30"/>
      <c r="N36" s="30"/>
      <c r="O36" s="30"/>
      <c r="P36" s="30"/>
      <c r="Q36" s="30"/>
      <c r="R36" s="30"/>
      <c r="S36" s="30"/>
      <c r="T36" s="30"/>
      <c r="U36" s="30"/>
    </row>
    <row r="37" spans="2:21" ht="14.25" customHeight="1" x14ac:dyDescent="0.35">
      <c r="B37" s="6" t="s">
        <v>32</v>
      </c>
      <c r="C37" s="6">
        <v>20324</v>
      </c>
      <c r="D37" s="30">
        <v>102390.39999999999</v>
      </c>
      <c r="E37" s="30">
        <v>211931.52799999999</v>
      </c>
      <c r="F37" s="30">
        <v>265794.96500000003</v>
      </c>
      <c r="G37" s="30">
        <v>243743</v>
      </c>
      <c r="H37" s="30">
        <v>233508</v>
      </c>
      <c r="I37" s="30">
        <v>470671</v>
      </c>
      <c r="J37" s="30">
        <v>736496</v>
      </c>
      <c r="K37" s="30">
        <v>398013</v>
      </c>
      <c r="L37" s="30">
        <v>264487</v>
      </c>
      <c r="M37" s="30">
        <v>723728</v>
      </c>
      <c r="N37" s="30">
        <v>1044269</v>
      </c>
      <c r="O37" s="30">
        <v>560491</v>
      </c>
      <c r="P37" s="30">
        <v>403228</v>
      </c>
      <c r="Q37" s="30">
        <v>1898422</v>
      </c>
      <c r="R37" s="30">
        <v>2276455</v>
      </c>
      <c r="S37" s="30">
        <v>1906245</v>
      </c>
      <c r="T37" s="30">
        <v>1198945</v>
      </c>
      <c r="U37" s="30">
        <v>2192510</v>
      </c>
    </row>
    <row r="38" spans="2:21" ht="14.25" customHeight="1" x14ac:dyDescent="0.35">
      <c r="B38" s="6" t="s">
        <v>200</v>
      </c>
      <c r="C38" s="6">
        <v>12154</v>
      </c>
      <c r="D38" s="30">
        <v>66638.399999999994</v>
      </c>
      <c r="E38" s="30">
        <v>108858.755</v>
      </c>
      <c r="F38" s="30">
        <v>291622.87099999998</v>
      </c>
      <c r="G38" s="30">
        <v>412957</v>
      </c>
      <c r="H38" s="30">
        <v>538943</v>
      </c>
      <c r="I38" s="30">
        <v>649182</v>
      </c>
      <c r="J38" s="30">
        <v>694724</v>
      </c>
      <c r="K38" s="30">
        <v>867389</v>
      </c>
      <c r="L38" s="30">
        <v>751890</v>
      </c>
      <c r="M38" s="30">
        <v>457209</v>
      </c>
      <c r="N38" s="30">
        <v>936187</v>
      </c>
      <c r="O38" s="30">
        <v>974300</v>
      </c>
      <c r="P38" s="30">
        <v>955552</v>
      </c>
      <c r="Q38" s="30">
        <v>640538</v>
      </c>
      <c r="R38" s="30">
        <v>1264321</v>
      </c>
      <c r="S38" s="30">
        <v>3906946</v>
      </c>
      <c r="T38" s="30">
        <v>4271074</v>
      </c>
      <c r="U38" s="30">
        <v>2978091</v>
      </c>
    </row>
    <row r="39" spans="2:21" ht="14.25" customHeight="1" x14ac:dyDescent="0.35">
      <c r="B39" s="6" t="s">
        <v>33</v>
      </c>
      <c r="C39" s="6">
        <v>8854</v>
      </c>
      <c r="D39" s="30">
        <v>10787</v>
      </c>
      <c r="E39" s="30">
        <v>18080.793000000001</v>
      </c>
      <c r="F39" s="30">
        <v>17135.958999999999</v>
      </c>
      <c r="G39" s="30">
        <v>46459</v>
      </c>
      <c r="H39" s="30">
        <v>29326</v>
      </c>
      <c r="I39" s="30">
        <v>15135</v>
      </c>
      <c r="J39" s="30">
        <v>16396</v>
      </c>
      <c r="K39" s="30">
        <v>28131</v>
      </c>
      <c r="L39" s="30">
        <v>20887</v>
      </c>
      <c r="M39" s="30">
        <v>21012</v>
      </c>
      <c r="N39" s="30">
        <v>25398</v>
      </c>
      <c r="O39" s="30">
        <v>76103</v>
      </c>
      <c r="P39" s="30">
        <v>26967</v>
      </c>
      <c r="Q39" s="30">
        <v>27946</v>
      </c>
      <c r="R39" s="30">
        <v>61711</v>
      </c>
      <c r="S39" s="30">
        <v>41289</v>
      </c>
      <c r="T39" s="30">
        <v>40308</v>
      </c>
      <c r="U39" s="30">
        <v>42325</v>
      </c>
    </row>
    <row r="40" spans="2:21" ht="14.25" customHeight="1" x14ac:dyDescent="0.35">
      <c r="B40" s="6" t="s">
        <v>34</v>
      </c>
      <c r="C40" s="6">
        <v>0</v>
      </c>
      <c r="D40" s="30">
        <v>0</v>
      </c>
      <c r="E40" s="30">
        <v>0</v>
      </c>
      <c r="F40" s="30">
        <v>0</v>
      </c>
      <c r="G40" s="32">
        <v>0</v>
      </c>
      <c r="H40" s="30">
        <v>0</v>
      </c>
      <c r="I40" s="30">
        <v>1329</v>
      </c>
      <c r="J40" s="30">
        <v>1304</v>
      </c>
      <c r="K40" s="30">
        <v>199</v>
      </c>
      <c r="L40" s="30">
        <v>2636</v>
      </c>
      <c r="M40" s="30">
        <v>8373</v>
      </c>
      <c r="N40" s="30">
        <v>18413</v>
      </c>
      <c r="O40" s="30">
        <v>20943</v>
      </c>
      <c r="P40" s="30">
        <v>20528</v>
      </c>
      <c r="Q40" s="30">
        <v>15324</v>
      </c>
      <c r="R40" s="30">
        <v>16910</v>
      </c>
      <c r="S40" s="30">
        <v>14839</v>
      </c>
      <c r="T40" s="30">
        <v>26965</v>
      </c>
      <c r="U40" s="30">
        <v>34671</v>
      </c>
    </row>
    <row r="41" spans="2:21" ht="14.25" customHeight="1" x14ac:dyDescent="0.35">
      <c r="B41" s="6" t="s">
        <v>260</v>
      </c>
      <c r="C41" s="6">
        <v>5057</v>
      </c>
      <c r="D41" s="30">
        <v>4091</v>
      </c>
      <c r="E41" s="30">
        <v>1824.9580000000001</v>
      </c>
      <c r="F41" s="30">
        <v>102.901</v>
      </c>
      <c r="G41" s="30">
        <v>226</v>
      </c>
      <c r="H41" s="30">
        <v>0</v>
      </c>
      <c r="I41" s="30">
        <v>0</v>
      </c>
      <c r="J41" s="30">
        <v>0</v>
      </c>
      <c r="K41" s="30">
        <v>0</v>
      </c>
      <c r="L41" s="30">
        <v>0</v>
      </c>
      <c r="M41" s="30">
        <v>23604</v>
      </c>
      <c r="N41" s="30">
        <v>0</v>
      </c>
      <c r="O41" s="30">
        <v>22920</v>
      </c>
      <c r="P41" s="30">
        <v>68645</v>
      </c>
      <c r="Q41" s="30">
        <v>85256</v>
      </c>
      <c r="R41" s="30">
        <v>91582</v>
      </c>
      <c r="S41" s="30">
        <v>6902</v>
      </c>
      <c r="T41" s="30">
        <v>59816</v>
      </c>
      <c r="U41" s="30">
        <v>0</v>
      </c>
    </row>
    <row r="42" spans="2:21" ht="14.25" customHeight="1" x14ac:dyDescent="0.35">
      <c r="B42" s="6" t="s">
        <v>35</v>
      </c>
      <c r="C42" s="6">
        <v>5410</v>
      </c>
      <c r="D42" s="30">
        <v>5391</v>
      </c>
      <c r="E42" s="30">
        <v>4453.8620000000001</v>
      </c>
      <c r="F42" s="30">
        <v>4116.2929999999997</v>
      </c>
      <c r="G42" s="30">
        <v>16067</v>
      </c>
      <c r="H42" s="30">
        <v>9323</v>
      </c>
      <c r="I42" s="30">
        <v>16747</v>
      </c>
      <c r="J42" s="30">
        <v>24925</v>
      </c>
      <c r="K42" s="30">
        <v>4145</v>
      </c>
      <c r="L42" s="30">
        <v>13671</v>
      </c>
      <c r="M42" s="30">
        <v>9695</v>
      </c>
      <c r="N42" s="30">
        <v>13973</v>
      </c>
      <c r="O42" s="30">
        <v>13351</v>
      </c>
      <c r="P42" s="30">
        <v>19863</v>
      </c>
      <c r="Q42" s="30">
        <v>23058</v>
      </c>
      <c r="R42" s="30">
        <v>13607</v>
      </c>
      <c r="S42" s="30">
        <v>15387</v>
      </c>
      <c r="T42" s="30">
        <v>14964</v>
      </c>
      <c r="U42" s="30">
        <v>25564</v>
      </c>
    </row>
    <row r="43" spans="2:21" ht="14.25" customHeight="1" x14ac:dyDescent="0.35">
      <c r="B43" s="6" t="s">
        <v>36</v>
      </c>
      <c r="C43" s="6">
        <v>2661</v>
      </c>
      <c r="D43" s="30">
        <v>5740</v>
      </c>
      <c r="E43" s="30">
        <v>8473.9989999999998</v>
      </c>
      <c r="F43" s="30">
        <v>13263.353999999999</v>
      </c>
      <c r="G43" s="30">
        <v>14434</v>
      </c>
      <c r="H43" s="30">
        <v>23885</v>
      </c>
      <c r="I43" s="30">
        <v>29396</v>
      </c>
      <c r="J43" s="30">
        <v>37084</v>
      </c>
      <c r="K43" s="30">
        <v>22437</v>
      </c>
      <c r="L43" s="30">
        <v>28526</v>
      </c>
      <c r="M43" s="30">
        <v>25830</v>
      </c>
      <c r="N43" s="30">
        <v>30117</v>
      </c>
      <c r="O43" s="30">
        <v>37212</v>
      </c>
      <c r="P43" s="30">
        <v>47668</v>
      </c>
      <c r="Q43" s="30">
        <v>38332</v>
      </c>
      <c r="R43" s="30">
        <v>41856</v>
      </c>
      <c r="S43" s="30">
        <v>53954</v>
      </c>
      <c r="T43" s="30">
        <v>67041</v>
      </c>
      <c r="U43" s="30">
        <v>58327</v>
      </c>
    </row>
    <row r="44" spans="2:21" ht="14.25" customHeight="1" x14ac:dyDescent="0.35">
      <c r="B44" s="6" t="s">
        <v>205</v>
      </c>
      <c r="C44" s="30">
        <v>0</v>
      </c>
      <c r="D44" s="30">
        <v>0</v>
      </c>
      <c r="E44" s="30">
        <v>0</v>
      </c>
      <c r="F44" s="30">
        <v>0</v>
      </c>
      <c r="G44" s="30">
        <v>0</v>
      </c>
      <c r="H44" s="30">
        <v>0</v>
      </c>
      <c r="I44" s="30">
        <v>0</v>
      </c>
      <c r="J44" s="30">
        <v>0</v>
      </c>
      <c r="K44" s="30">
        <v>0</v>
      </c>
      <c r="L44" s="30">
        <v>0</v>
      </c>
      <c r="M44" s="30">
        <v>0</v>
      </c>
      <c r="N44" s="30">
        <v>0</v>
      </c>
      <c r="O44" s="30">
        <v>5697</v>
      </c>
      <c r="P44" s="30">
        <v>0</v>
      </c>
      <c r="Q44" s="30">
        <v>0</v>
      </c>
      <c r="R44" s="30">
        <v>0</v>
      </c>
      <c r="S44" s="30">
        <v>0</v>
      </c>
      <c r="T44" s="30">
        <v>0</v>
      </c>
      <c r="U44" s="30">
        <v>0</v>
      </c>
    </row>
    <row r="45" spans="2:21" ht="14.25" customHeight="1" x14ac:dyDescent="0.35">
      <c r="B45" s="6" t="s">
        <v>277</v>
      </c>
      <c r="C45" s="6">
        <v>0</v>
      </c>
      <c r="D45" s="30">
        <v>23443</v>
      </c>
      <c r="E45" s="30">
        <v>7390.5320000000002</v>
      </c>
      <c r="F45" s="30">
        <v>34513.521000000001</v>
      </c>
      <c r="G45" s="30">
        <v>3158</v>
      </c>
      <c r="H45" s="30">
        <v>35474</v>
      </c>
      <c r="I45" s="30">
        <v>14655</v>
      </c>
      <c r="J45" s="30">
        <v>42</v>
      </c>
      <c r="K45" s="30">
        <v>15709</v>
      </c>
      <c r="L45" s="30">
        <v>59068</v>
      </c>
      <c r="M45" s="30">
        <v>278537</v>
      </c>
      <c r="N45" s="30">
        <v>291461</v>
      </c>
      <c r="O45" s="30">
        <v>302882</v>
      </c>
      <c r="P45" s="30">
        <v>584884</v>
      </c>
      <c r="Q45" s="30">
        <v>465443</v>
      </c>
      <c r="R45" s="30">
        <v>431717</v>
      </c>
      <c r="S45" s="30">
        <v>343126</v>
      </c>
      <c r="T45" s="30">
        <v>407908</v>
      </c>
      <c r="U45" s="30">
        <v>371066</v>
      </c>
    </row>
    <row r="46" spans="2:21" s="12" customFormat="1" ht="14.25" customHeight="1" x14ac:dyDescent="0.35">
      <c r="B46" s="5" t="s">
        <v>37</v>
      </c>
      <c r="C46" s="31">
        <v>54460</v>
      </c>
      <c r="D46" s="31">
        <v>218480.8</v>
      </c>
      <c r="E46" s="31">
        <v>361014.42700000003</v>
      </c>
      <c r="F46" s="31">
        <v>626549.86399999994</v>
      </c>
      <c r="G46" s="31">
        <v>737044</v>
      </c>
      <c r="H46" s="31">
        <v>870459</v>
      </c>
      <c r="I46" s="31">
        <v>1197115</v>
      </c>
      <c r="J46" s="31">
        <v>1510971</v>
      </c>
      <c r="K46" s="31">
        <v>1336023</v>
      </c>
      <c r="L46" s="31">
        <v>1141165</v>
      </c>
      <c r="M46" s="31">
        <v>1547988</v>
      </c>
      <c r="N46" s="31">
        <v>2359818</v>
      </c>
      <c r="O46" s="31">
        <v>2013899</v>
      </c>
      <c r="P46" s="31">
        <v>2127335</v>
      </c>
      <c r="Q46" s="31">
        <v>3194319</v>
      </c>
      <c r="R46" s="31">
        <v>4198159</v>
      </c>
      <c r="S46" s="31">
        <v>6288688</v>
      </c>
      <c r="T46" s="31">
        <v>6087021</v>
      </c>
      <c r="U46" s="31">
        <f t="shared" ref="U46" si="1">SUM(U37:U45)</f>
        <v>5702554</v>
      </c>
    </row>
    <row r="47" spans="2:21" ht="14.25" customHeight="1" x14ac:dyDescent="0.35">
      <c r="B47" s="6" t="s">
        <v>32</v>
      </c>
      <c r="C47" s="6">
        <v>0</v>
      </c>
      <c r="D47" s="30">
        <v>17563</v>
      </c>
      <c r="E47" s="30">
        <v>17539.424999999999</v>
      </c>
      <c r="F47" s="30">
        <v>9307.0249999999996</v>
      </c>
      <c r="G47" s="30">
        <v>9170</v>
      </c>
      <c r="H47" s="30">
        <v>3565</v>
      </c>
      <c r="I47" s="30">
        <v>5794</v>
      </c>
      <c r="J47" s="30">
        <v>42828</v>
      </c>
      <c r="K47" s="30">
        <v>46599</v>
      </c>
      <c r="L47" s="30">
        <v>20501</v>
      </c>
      <c r="M47" s="30">
        <v>20874</v>
      </c>
      <c r="N47" s="30">
        <v>21201</v>
      </c>
      <c r="O47" s="30">
        <v>18893</v>
      </c>
      <c r="P47" s="30">
        <v>31217</v>
      </c>
      <c r="Q47" s="30">
        <v>20059</v>
      </c>
      <c r="R47" s="30">
        <v>43835</v>
      </c>
      <c r="S47" s="30">
        <v>44677</v>
      </c>
      <c r="T47" s="30">
        <v>18795</v>
      </c>
      <c r="U47" s="30">
        <v>17342</v>
      </c>
    </row>
    <row r="48" spans="2:21" ht="14.25" customHeight="1" x14ac:dyDescent="0.35">
      <c r="B48" s="6" t="s">
        <v>200</v>
      </c>
      <c r="C48" s="6">
        <v>425776</v>
      </c>
      <c r="D48" s="30">
        <v>679847</v>
      </c>
      <c r="E48" s="30">
        <v>886875.48100000003</v>
      </c>
      <c r="F48" s="30">
        <v>1316383.5889999999</v>
      </c>
      <c r="G48" s="30">
        <v>1668028</v>
      </c>
      <c r="H48" s="30">
        <v>2498230</v>
      </c>
      <c r="I48" s="30">
        <v>2898066</v>
      </c>
      <c r="J48" s="30">
        <v>2895089</v>
      </c>
      <c r="K48" s="30">
        <v>5692883</v>
      </c>
      <c r="L48" s="30">
        <v>6680483</v>
      </c>
      <c r="M48" s="30">
        <v>5894379</v>
      </c>
      <c r="N48" s="30">
        <v>6813521</v>
      </c>
      <c r="O48" s="30">
        <v>7279229</v>
      </c>
      <c r="P48" s="30">
        <v>7239741</v>
      </c>
      <c r="Q48" s="30">
        <v>9035038</v>
      </c>
      <c r="R48" s="30">
        <v>10318718</v>
      </c>
      <c r="S48" s="30">
        <v>7293466</v>
      </c>
      <c r="T48" s="30">
        <v>7351156</v>
      </c>
      <c r="U48" s="30">
        <v>8178610</v>
      </c>
    </row>
    <row r="49" spans="2:21" ht="14.25" customHeight="1" x14ac:dyDescent="0.35">
      <c r="B49" s="6" t="s">
        <v>34</v>
      </c>
      <c r="C49" s="6">
        <v>0</v>
      </c>
      <c r="D49" s="30">
        <v>0</v>
      </c>
      <c r="E49" s="30">
        <v>0</v>
      </c>
      <c r="F49" s="30">
        <v>0</v>
      </c>
      <c r="G49" s="30">
        <v>0</v>
      </c>
      <c r="H49" s="30">
        <v>0</v>
      </c>
      <c r="I49" s="30">
        <v>8781</v>
      </c>
      <c r="J49" s="30">
        <v>8850</v>
      </c>
      <c r="K49" s="30">
        <v>15262</v>
      </c>
      <c r="L49" s="30">
        <v>27224</v>
      </c>
      <c r="M49" s="30">
        <v>36562</v>
      </c>
      <c r="N49" s="30">
        <v>69546</v>
      </c>
      <c r="O49" s="30">
        <v>94669</v>
      </c>
      <c r="P49" s="30">
        <v>112801</v>
      </c>
      <c r="Q49" s="30">
        <v>110940</v>
      </c>
      <c r="R49" s="30">
        <v>60961</v>
      </c>
      <c r="S49" s="30">
        <v>49710</v>
      </c>
      <c r="T49" s="30">
        <v>189462</v>
      </c>
      <c r="U49" s="30">
        <v>301873</v>
      </c>
    </row>
    <row r="50" spans="2:21" ht="14.25" customHeight="1" x14ac:dyDescent="0.35">
      <c r="B50" s="6" t="s">
        <v>277</v>
      </c>
      <c r="C50" s="6">
        <v>0</v>
      </c>
      <c r="D50" s="30">
        <v>0</v>
      </c>
      <c r="E50" s="30">
        <v>0</v>
      </c>
      <c r="F50" s="30">
        <v>0</v>
      </c>
      <c r="G50" s="30">
        <v>0</v>
      </c>
      <c r="H50" s="30">
        <v>0</v>
      </c>
      <c r="I50" s="30">
        <v>0</v>
      </c>
      <c r="J50" s="30">
        <v>0</v>
      </c>
      <c r="K50" s="30">
        <v>0</v>
      </c>
      <c r="L50" s="30">
        <v>0</v>
      </c>
      <c r="M50" s="30">
        <v>0</v>
      </c>
      <c r="N50" s="30">
        <v>0</v>
      </c>
      <c r="O50" s="30">
        <v>0</v>
      </c>
      <c r="P50" s="30">
        <v>191007</v>
      </c>
      <c r="Q50" s="30">
        <v>77299</v>
      </c>
      <c r="R50" s="30">
        <v>76048</v>
      </c>
      <c r="S50" s="30">
        <v>1360</v>
      </c>
      <c r="T50" s="30">
        <v>0</v>
      </c>
      <c r="U50" s="30">
        <v>0</v>
      </c>
    </row>
    <row r="51" spans="2:21" ht="14.25" customHeight="1" x14ac:dyDescent="0.35">
      <c r="B51" s="6" t="s">
        <v>38</v>
      </c>
      <c r="C51" s="6">
        <v>83677</v>
      </c>
      <c r="D51" s="30">
        <v>78032</v>
      </c>
      <c r="E51" s="30">
        <v>78353.339000000007</v>
      </c>
      <c r="F51" s="30">
        <v>74552.426000000007</v>
      </c>
      <c r="G51" s="30">
        <v>64559</v>
      </c>
      <c r="H51" s="30">
        <v>59416</v>
      </c>
      <c r="I51" s="30">
        <v>60898</v>
      </c>
      <c r="J51" s="30">
        <v>62418</v>
      </c>
      <c r="K51" s="30">
        <v>461</v>
      </c>
      <c r="L51" s="30">
        <v>0</v>
      </c>
      <c r="M51" s="30">
        <v>0</v>
      </c>
      <c r="N51" s="30">
        <v>0</v>
      </c>
      <c r="O51" s="30">
        <v>0</v>
      </c>
      <c r="P51" s="30">
        <v>0</v>
      </c>
      <c r="Q51" s="30">
        <v>0</v>
      </c>
      <c r="R51" s="30">
        <v>0</v>
      </c>
      <c r="S51" s="30">
        <v>0</v>
      </c>
      <c r="T51" s="30">
        <v>0</v>
      </c>
      <c r="U51" s="30">
        <v>0</v>
      </c>
    </row>
    <row r="52" spans="2:21" ht="14.25" customHeight="1" x14ac:dyDescent="0.35">
      <c r="B52" s="6" t="s">
        <v>39</v>
      </c>
      <c r="C52" s="6">
        <v>25166</v>
      </c>
      <c r="D52" s="30">
        <v>12277</v>
      </c>
      <c r="E52" s="30">
        <v>33375.345000000001</v>
      </c>
      <c r="F52" s="30">
        <v>3400.0219999999999</v>
      </c>
      <c r="G52" s="30">
        <v>41764</v>
      </c>
      <c r="H52" s="30">
        <v>0</v>
      </c>
      <c r="I52" s="30">
        <v>0</v>
      </c>
      <c r="J52" s="30">
        <v>0</v>
      </c>
      <c r="K52" s="30">
        <v>32832</v>
      </c>
      <c r="L52" s="30">
        <v>9151</v>
      </c>
      <c r="M52" s="30">
        <v>32326</v>
      </c>
      <c r="N52" s="30">
        <v>59453</v>
      </c>
      <c r="O52" s="30">
        <v>124337</v>
      </c>
      <c r="P52" s="30">
        <v>61007</v>
      </c>
      <c r="Q52" s="30">
        <v>7950.3368335999257</v>
      </c>
      <c r="R52" s="30">
        <v>11603</v>
      </c>
      <c r="S52" s="30">
        <v>70919</v>
      </c>
      <c r="T52" s="30">
        <v>59445</v>
      </c>
      <c r="U52" s="30">
        <v>63903</v>
      </c>
    </row>
    <row r="53" spans="2:21" ht="14.1" customHeight="1" x14ac:dyDescent="0.35">
      <c r="B53" s="6" t="s">
        <v>316</v>
      </c>
      <c r="C53" s="6">
        <v>3324</v>
      </c>
      <c r="D53" s="30">
        <v>13805</v>
      </c>
      <c r="E53" s="30">
        <v>13142.79</v>
      </c>
      <c r="F53" s="30">
        <v>14575.397000000001</v>
      </c>
      <c r="G53" s="30">
        <v>23685</v>
      </c>
      <c r="H53" s="30">
        <v>30544</v>
      </c>
      <c r="I53" s="30">
        <v>32172</v>
      </c>
      <c r="J53" s="30">
        <v>33139</v>
      </c>
      <c r="K53" s="30">
        <v>30531</v>
      </c>
      <c r="L53" s="30">
        <v>33472</v>
      </c>
      <c r="M53" s="30">
        <v>29388</v>
      </c>
      <c r="N53" s="30">
        <v>31952</v>
      </c>
      <c r="O53" s="30">
        <v>32786</v>
      </c>
      <c r="P53" s="30">
        <v>27828</v>
      </c>
      <c r="Q53" s="30">
        <v>0</v>
      </c>
      <c r="R53" s="30">
        <v>0</v>
      </c>
      <c r="S53" s="30">
        <v>0</v>
      </c>
      <c r="T53" s="30">
        <v>0</v>
      </c>
      <c r="U53" s="30">
        <v>398</v>
      </c>
    </row>
    <row r="54" spans="2:21" s="12" customFormat="1" ht="14.1" customHeight="1" x14ac:dyDescent="0.35">
      <c r="B54" s="5" t="s">
        <v>40</v>
      </c>
      <c r="C54" s="31">
        <v>537943</v>
      </c>
      <c r="D54" s="31">
        <v>801524</v>
      </c>
      <c r="E54" s="31">
        <v>1029286.3800000001</v>
      </c>
      <c r="F54" s="31">
        <v>1418218.459</v>
      </c>
      <c r="G54" s="31">
        <v>1807206</v>
      </c>
      <c r="H54" s="31">
        <v>2591755</v>
      </c>
      <c r="I54" s="31">
        <v>3005711</v>
      </c>
      <c r="J54" s="31">
        <v>3042324</v>
      </c>
      <c r="K54" s="31">
        <v>5818568</v>
      </c>
      <c r="L54" s="31">
        <v>6770831</v>
      </c>
      <c r="M54" s="31">
        <v>6013529</v>
      </c>
      <c r="N54" s="31">
        <v>6995673</v>
      </c>
      <c r="O54" s="31">
        <v>7549914</v>
      </c>
      <c r="P54" s="31">
        <v>7663601</v>
      </c>
      <c r="Q54" s="31">
        <v>9251286.3368336</v>
      </c>
      <c r="R54" s="31">
        <v>10511165</v>
      </c>
      <c r="S54" s="31">
        <v>7460132</v>
      </c>
      <c r="T54" s="31">
        <v>7618858</v>
      </c>
      <c r="U54" s="31">
        <f>SUM(U47:U53)</f>
        <v>8562126</v>
      </c>
    </row>
    <row r="55" spans="2:21" ht="14.25" customHeight="1" x14ac:dyDescent="0.35">
      <c r="B55" s="6" t="s">
        <v>41</v>
      </c>
      <c r="C55" s="6">
        <v>83381</v>
      </c>
      <c r="D55" s="30">
        <v>83381</v>
      </c>
      <c r="E55" s="30">
        <v>83380.928</v>
      </c>
      <c r="F55" s="30">
        <v>83380.928</v>
      </c>
      <c r="G55" s="30">
        <v>83381</v>
      </c>
      <c r="H55" s="30">
        <v>83381</v>
      </c>
      <c r="I55" s="30">
        <v>83381</v>
      </c>
      <c r="J55" s="30">
        <v>83381</v>
      </c>
      <c r="K55" s="30">
        <v>87806</v>
      </c>
      <c r="L55" s="30">
        <v>87806</v>
      </c>
      <c r="M55" s="30">
        <v>87806</v>
      </c>
      <c r="N55" s="30">
        <v>87806</v>
      </c>
      <c r="O55" s="30">
        <v>87806</v>
      </c>
      <c r="P55" s="30">
        <v>87806</v>
      </c>
      <c r="Q55" s="30">
        <v>87806</v>
      </c>
      <c r="R55" s="30">
        <v>0</v>
      </c>
      <c r="S55" s="30">
        <v>0</v>
      </c>
      <c r="T55" s="30">
        <v>0</v>
      </c>
      <c r="U55" s="30">
        <v>0</v>
      </c>
    </row>
    <row r="56" spans="2:21" ht="14.25" customHeight="1" x14ac:dyDescent="0.35">
      <c r="B56" s="6" t="s">
        <v>261</v>
      </c>
      <c r="C56" s="30">
        <v>0</v>
      </c>
      <c r="D56" s="30">
        <v>0</v>
      </c>
      <c r="E56" s="30">
        <v>0</v>
      </c>
      <c r="F56" s="30">
        <v>0</v>
      </c>
      <c r="G56" s="30">
        <v>0</v>
      </c>
      <c r="H56" s="30">
        <v>0</v>
      </c>
      <c r="I56" s="30">
        <v>0</v>
      </c>
      <c r="J56" s="30">
        <v>0</v>
      </c>
      <c r="K56" s="30">
        <v>0</v>
      </c>
      <c r="L56" s="30">
        <v>0</v>
      </c>
      <c r="M56" s="30">
        <v>0</v>
      </c>
      <c r="N56" s="30">
        <v>0</v>
      </c>
      <c r="O56" s="30">
        <v>0</v>
      </c>
      <c r="P56" s="30">
        <v>0</v>
      </c>
      <c r="Q56" s="30">
        <v>0</v>
      </c>
      <c r="R56" s="30">
        <v>290110.99999999988</v>
      </c>
      <c r="S56" s="30">
        <v>507179</v>
      </c>
      <c r="T56" s="30">
        <v>736756</v>
      </c>
      <c r="U56" s="30">
        <v>196507</v>
      </c>
    </row>
    <row r="57" spans="2:21" ht="14.25" customHeight="1" x14ac:dyDescent="0.35">
      <c r="B57" s="6" t="s">
        <v>42</v>
      </c>
      <c r="C57" s="6">
        <v>45761</v>
      </c>
      <c r="D57" s="30">
        <v>26579</v>
      </c>
      <c r="E57" s="30">
        <v>24246.131000000001</v>
      </c>
      <c r="F57" s="30">
        <v>18040.309000000001</v>
      </c>
      <c r="G57" s="30">
        <v>6345</v>
      </c>
      <c r="H57" s="30">
        <v>612</v>
      </c>
      <c r="I57" s="30">
        <v>596</v>
      </c>
      <c r="J57" s="30">
        <v>580</v>
      </c>
      <c r="K57" s="30">
        <v>112</v>
      </c>
      <c r="L57" s="30">
        <v>0</v>
      </c>
      <c r="M57" s="30">
        <v>0</v>
      </c>
      <c r="N57" s="30">
        <v>0</v>
      </c>
      <c r="O57" s="30">
        <v>0</v>
      </c>
      <c r="P57" s="30">
        <v>0</v>
      </c>
      <c r="Q57" s="30">
        <v>0</v>
      </c>
      <c r="R57" s="30">
        <v>0</v>
      </c>
      <c r="S57" s="30">
        <v>0</v>
      </c>
      <c r="T57" s="30">
        <v>0</v>
      </c>
      <c r="U57" s="30">
        <v>0</v>
      </c>
    </row>
    <row r="58" spans="2:21" ht="14.25" customHeight="1" x14ac:dyDescent="0.35">
      <c r="B58" s="6" t="s">
        <v>43</v>
      </c>
      <c r="C58" s="6">
        <v>0</v>
      </c>
      <c r="D58" s="30">
        <v>22777</v>
      </c>
      <c r="E58" s="30">
        <v>21683</v>
      </c>
      <c r="F58" s="30">
        <v>16892.746999999999</v>
      </c>
      <c r="G58" s="30">
        <v>28395</v>
      </c>
      <c r="H58" s="30">
        <v>16741</v>
      </c>
      <c r="I58" s="30">
        <v>16741</v>
      </c>
      <c r="J58" s="30">
        <v>63187</v>
      </c>
      <c r="K58" s="30">
        <v>95424</v>
      </c>
      <c r="L58" s="30">
        <v>126581.16616000001</v>
      </c>
      <c r="M58" s="30">
        <v>139557</v>
      </c>
      <c r="N58" s="30">
        <v>157198</v>
      </c>
      <c r="O58" s="30">
        <v>194611</v>
      </c>
      <c r="P58" s="30">
        <v>313558.66628999996</v>
      </c>
      <c r="Q58" s="30">
        <v>313558.66628999996</v>
      </c>
      <c r="R58" s="30">
        <v>0</v>
      </c>
      <c r="S58" s="30">
        <v>0</v>
      </c>
      <c r="T58" s="30">
        <v>0</v>
      </c>
      <c r="U58" s="30">
        <v>0</v>
      </c>
    </row>
    <row r="59" spans="2:21" ht="14.25" customHeight="1" x14ac:dyDescent="0.35">
      <c r="B59" s="6" t="s">
        <v>271</v>
      </c>
      <c r="C59" s="6">
        <v>18304</v>
      </c>
      <c r="D59" s="30">
        <v>43487</v>
      </c>
      <c r="E59" s="30">
        <v>95854</v>
      </c>
      <c r="F59" s="30">
        <v>35975.258999999998</v>
      </c>
      <c r="G59" s="30">
        <v>120569</v>
      </c>
      <c r="H59" s="30">
        <v>-189058</v>
      </c>
      <c r="I59" s="30">
        <v>-242476</v>
      </c>
      <c r="J59" s="30">
        <v>-170185</v>
      </c>
      <c r="K59" s="30">
        <v>48218</v>
      </c>
      <c r="L59" s="30">
        <v>22275.833839999977</v>
      </c>
      <c r="M59" s="30">
        <v>261614</v>
      </c>
      <c r="N59" s="30">
        <v>109481</v>
      </c>
      <c r="O59" s="30">
        <v>193850</v>
      </c>
      <c r="P59" s="30">
        <v>176651.33370999992</v>
      </c>
      <c r="Q59" s="30">
        <v>66399.536206399905</v>
      </c>
      <c r="R59" s="30">
        <v>0</v>
      </c>
      <c r="S59" s="30">
        <v>0</v>
      </c>
      <c r="T59" s="30">
        <v>0</v>
      </c>
      <c r="U59" s="30">
        <v>0</v>
      </c>
    </row>
    <row r="60" spans="2:21" ht="14.25" customHeight="1" x14ac:dyDescent="0.35">
      <c r="B60" s="6" t="s">
        <v>201</v>
      </c>
      <c r="C60" s="6">
        <v>0</v>
      </c>
      <c r="D60" s="30">
        <v>0</v>
      </c>
      <c r="E60" s="30">
        <v>0</v>
      </c>
      <c r="F60" s="30">
        <v>0</v>
      </c>
      <c r="G60" s="30">
        <v>0</v>
      </c>
      <c r="H60" s="30">
        <v>0</v>
      </c>
      <c r="I60" s="30">
        <v>0</v>
      </c>
      <c r="J60" s="30">
        <v>0</v>
      </c>
      <c r="K60" s="30">
        <v>0</v>
      </c>
      <c r="L60" s="30">
        <v>-153</v>
      </c>
      <c r="M60" s="30">
        <v>274</v>
      </c>
      <c r="N60" s="30">
        <v>235</v>
      </c>
      <c r="O60" s="30">
        <v>0</v>
      </c>
      <c r="P60" s="30">
        <v>0</v>
      </c>
      <c r="Q60" s="30">
        <v>0</v>
      </c>
      <c r="R60" s="30">
        <v>0</v>
      </c>
      <c r="S60" s="30">
        <v>0</v>
      </c>
      <c r="T60" s="30">
        <v>0</v>
      </c>
      <c r="U60" s="30">
        <v>0</v>
      </c>
    </row>
    <row r="61" spans="2:21" ht="14.25" customHeight="1" x14ac:dyDescent="0.35">
      <c r="B61" s="6" t="s">
        <v>206</v>
      </c>
      <c r="C61" s="30">
        <v>0</v>
      </c>
      <c r="D61" s="30">
        <v>0</v>
      </c>
      <c r="E61" s="30">
        <v>0</v>
      </c>
      <c r="F61" s="30">
        <v>0</v>
      </c>
      <c r="G61" s="30">
        <v>0</v>
      </c>
      <c r="H61" s="30">
        <v>0</v>
      </c>
      <c r="I61" s="30">
        <v>0</v>
      </c>
      <c r="J61" s="30">
        <v>0</v>
      </c>
      <c r="K61" s="30">
        <v>0</v>
      </c>
      <c r="L61" s="30">
        <v>0</v>
      </c>
      <c r="M61" s="30">
        <v>0</v>
      </c>
      <c r="N61" s="30">
        <v>0</v>
      </c>
      <c r="O61" s="30">
        <v>-58784</v>
      </c>
      <c r="P61" s="30">
        <v>-30168</v>
      </c>
      <c r="Q61" s="30">
        <v>-153930</v>
      </c>
      <c r="R61" s="30">
        <v>0</v>
      </c>
      <c r="S61" s="30">
        <v>0</v>
      </c>
      <c r="T61" s="30">
        <v>0</v>
      </c>
      <c r="U61" s="30">
        <v>0</v>
      </c>
    </row>
    <row r="62" spans="2:21" s="12" customFormat="1" ht="14.25" customHeight="1" thickBot="1" x14ac:dyDescent="0.4">
      <c r="B62" s="5" t="s">
        <v>44</v>
      </c>
      <c r="C62" s="31">
        <v>147446</v>
      </c>
      <c r="D62" s="31">
        <v>176224</v>
      </c>
      <c r="E62" s="31">
        <v>225164.05900000001</v>
      </c>
      <c r="F62" s="31">
        <v>154289.24299999999</v>
      </c>
      <c r="G62" s="31">
        <v>238690</v>
      </c>
      <c r="H62" s="31">
        <v>-88324</v>
      </c>
      <c r="I62" s="31">
        <v>-141758</v>
      </c>
      <c r="J62" s="31">
        <v>-23037</v>
      </c>
      <c r="K62" s="31">
        <v>231560</v>
      </c>
      <c r="L62" s="31">
        <v>236510</v>
      </c>
      <c r="M62" s="31">
        <v>489251</v>
      </c>
      <c r="N62" s="31">
        <v>354720</v>
      </c>
      <c r="O62" s="31">
        <v>417483</v>
      </c>
      <c r="P62" s="31">
        <v>547847.99999999988</v>
      </c>
      <c r="Q62" s="31">
        <v>313834.20249639987</v>
      </c>
      <c r="R62" s="31">
        <v>290110.99999999988</v>
      </c>
      <c r="S62" s="31">
        <v>507179</v>
      </c>
      <c r="T62" s="31">
        <v>736756</v>
      </c>
      <c r="U62" s="31">
        <f t="shared" ref="U62" si="2">SUM(U55:U61)</f>
        <v>196507</v>
      </c>
    </row>
    <row r="63" spans="2:21" ht="14.25" customHeight="1" thickBot="1" x14ac:dyDescent="0.4">
      <c r="B63" s="9" t="s">
        <v>45</v>
      </c>
      <c r="C63" s="29">
        <v>739849</v>
      </c>
      <c r="D63" s="29">
        <v>1196228.8</v>
      </c>
      <c r="E63" s="29">
        <v>1615464.8659999999</v>
      </c>
      <c r="F63" s="29">
        <v>2199057.5659999996</v>
      </c>
      <c r="G63" s="29">
        <v>2782940</v>
      </c>
      <c r="H63" s="29">
        <v>3373890</v>
      </c>
      <c r="I63" s="29">
        <v>4061068</v>
      </c>
      <c r="J63" s="29">
        <v>4530258</v>
      </c>
      <c r="K63" s="29">
        <v>7386151</v>
      </c>
      <c r="L63" s="29">
        <v>8148506</v>
      </c>
      <c r="M63" s="29">
        <v>8050768</v>
      </c>
      <c r="N63" s="29">
        <v>9710211</v>
      </c>
      <c r="O63" s="29">
        <v>9981296</v>
      </c>
      <c r="P63" s="29">
        <v>10338784</v>
      </c>
      <c r="Q63" s="29">
        <v>12759439.53933</v>
      </c>
      <c r="R63" s="29">
        <v>14999435</v>
      </c>
      <c r="S63" s="29">
        <v>14255999</v>
      </c>
      <c r="T63" s="29">
        <v>14442635</v>
      </c>
      <c r="U63" s="29">
        <f>U62+U54+U46</f>
        <v>14461187</v>
      </c>
    </row>
    <row r="64" spans="2:21" ht="14.25" customHeight="1" x14ac:dyDescent="0.35">
      <c r="B64" s="14"/>
      <c r="C64" s="14"/>
      <c r="D64" s="14"/>
      <c r="E64" s="14"/>
      <c r="F64" s="14"/>
      <c r="G64" s="14"/>
      <c r="H64" s="14"/>
      <c r="I64" s="14"/>
      <c r="J64" s="14"/>
      <c r="K64" s="14"/>
      <c r="L64" s="57"/>
    </row>
    <row r="66" spans="3:21" ht="14.25" customHeight="1" x14ac:dyDescent="0.35">
      <c r="C66" s="81"/>
      <c r="F66" s="81"/>
      <c r="G66" s="81"/>
      <c r="H66" s="81"/>
      <c r="I66" s="81"/>
      <c r="J66" s="81"/>
      <c r="K66" s="81"/>
      <c r="L66" s="81"/>
      <c r="M66" s="81"/>
      <c r="N66" s="81"/>
      <c r="O66" s="81"/>
      <c r="P66" s="81"/>
      <c r="Q66" s="81"/>
      <c r="R66" s="81"/>
      <c r="S66" s="81"/>
      <c r="T66" s="81"/>
      <c r="U66" s="81"/>
    </row>
  </sheetData>
  <mergeCells count="20">
    <mergeCell ref="M5:M6"/>
    <mergeCell ref="N5:N6"/>
    <mergeCell ref="C5:C6"/>
    <mergeCell ref="L5:L6"/>
    <mergeCell ref="K5:K6"/>
    <mergeCell ref="D5:D6"/>
    <mergeCell ref="J5:J6"/>
    <mergeCell ref="E5:E6"/>
    <mergeCell ref="F5:F6"/>
    <mergeCell ref="G5:G6"/>
    <mergeCell ref="H5:H6"/>
    <mergeCell ref="I5:I6"/>
    <mergeCell ref="U5:U6"/>
    <mergeCell ref="S5:S6"/>
    <mergeCell ref="R5:R6"/>
    <mergeCell ref="Q5:Q6"/>
    <mergeCell ref="O2:U3"/>
    <mergeCell ref="T5:T6"/>
    <mergeCell ref="P5:P6"/>
    <mergeCell ref="O5:O6"/>
  </mergeCells>
  <phoneticPr fontId="1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A4054-7B01-4FFC-82D6-138522210C6B}">
  <sheetPr>
    <tabColor rgb="FF1B7754"/>
    <outlinePr summaryRight="0"/>
  </sheetPr>
  <dimension ref="A1:Y36"/>
  <sheetViews>
    <sheetView showGridLines="0" zoomScaleNormal="100" zoomScaleSheetLayoutView="90" workbookViewId="0"/>
  </sheetViews>
  <sheetFormatPr defaultColWidth="9.140625" defaultRowHeight="18" x14ac:dyDescent="0.35"/>
  <cols>
    <col min="1" max="1" width="1.7109375" style="2" customWidth="1"/>
    <col min="2" max="2" width="55.5703125" style="2" customWidth="1" collapsed="1"/>
    <col min="3" max="9" width="10.5703125" style="2" customWidth="1"/>
    <col min="10" max="10" width="10.5703125" style="2" customWidth="1" collapsed="1"/>
    <col min="11" max="12" width="10.5703125" style="2" customWidth="1"/>
    <col min="13" max="13" width="10.5703125" style="13" customWidth="1"/>
    <col min="14" max="14" width="10.5703125" style="2" customWidth="1"/>
    <col min="15" max="15" width="10.5703125" style="56" customWidth="1"/>
    <col min="16" max="25" width="10.5703125" style="2" customWidth="1"/>
    <col min="26" max="34" width="10.7109375" style="2" customWidth="1"/>
    <col min="35" max="16384" width="9.140625" style="2"/>
  </cols>
  <sheetData>
    <row r="1" spans="2:25" ht="14.25" customHeight="1" x14ac:dyDescent="0.35"/>
    <row r="2" spans="2:25" ht="14.25" customHeight="1" x14ac:dyDescent="0.35">
      <c r="S2" s="100" t="s">
        <v>224</v>
      </c>
      <c r="T2" s="100"/>
      <c r="U2" s="100"/>
      <c r="V2" s="100"/>
      <c r="W2" s="100"/>
      <c r="X2" s="100"/>
      <c r="Y2" s="100"/>
    </row>
    <row r="3" spans="2:25" ht="14.25" customHeight="1" x14ac:dyDescent="0.35">
      <c r="J3" s="58"/>
      <c r="K3" s="58"/>
      <c r="S3" s="100"/>
      <c r="T3" s="100"/>
      <c r="U3" s="100"/>
      <c r="V3" s="100"/>
      <c r="W3" s="100"/>
      <c r="X3" s="100"/>
      <c r="Y3" s="100"/>
    </row>
    <row r="4" spans="2:25" ht="14.25" customHeight="1" x14ac:dyDescent="0.35"/>
    <row r="5" spans="2:25" s="3" customFormat="1" ht="14.25" customHeight="1" x14ac:dyDescent="0.25">
      <c r="B5" s="83" t="s">
        <v>146</v>
      </c>
      <c r="C5" s="99" t="s">
        <v>163</v>
      </c>
      <c r="D5" s="99" t="s">
        <v>158</v>
      </c>
      <c r="E5" s="99" t="s">
        <v>9</v>
      </c>
      <c r="F5" s="99" t="s">
        <v>10</v>
      </c>
      <c r="G5" s="99" t="s">
        <v>11</v>
      </c>
      <c r="H5" s="99" t="s">
        <v>12</v>
      </c>
      <c r="I5" s="99" t="s">
        <v>152</v>
      </c>
      <c r="J5" s="99" t="s">
        <v>13</v>
      </c>
      <c r="K5" s="99" t="s">
        <v>14</v>
      </c>
      <c r="L5" s="99" t="s">
        <v>131</v>
      </c>
      <c r="M5" s="99" t="s">
        <v>155</v>
      </c>
      <c r="N5" s="99" t="s">
        <v>154</v>
      </c>
      <c r="O5" s="99" t="s">
        <v>162</v>
      </c>
      <c r="P5" s="99" t="s">
        <v>190</v>
      </c>
      <c r="Q5" s="99" t="s">
        <v>202</v>
      </c>
      <c r="R5" s="99" t="s">
        <v>215</v>
      </c>
      <c r="S5" s="99" t="s">
        <v>214</v>
      </c>
      <c r="T5" s="99" t="s">
        <v>222</v>
      </c>
      <c r="U5" s="99" t="s">
        <v>225</v>
      </c>
      <c r="V5" s="99" t="s">
        <v>257</v>
      </c>
      <c r="W5" s="99" t="s">
        <v>266</v>
      </c>
      <c r="X5" s="99" t="s">
        <v>265</v>
      </c>
      <c r="Y5" s="99" t="s">
        <v>281</v>
      </c>
    </row>
    <row r="6" spans="2:25" s="3" customFormat="1" ht="14.25" customHeight="1" x14ac:dyDescent="0.25">
      <c r="B6" s="84" t="s">
        <v>113</v>
      </c>
      <c r="C6" s="99"/>
      <c r="D6" s="99"/>
      <c r="E6" s="99"/>
      <c r="F6" s="99"/>
      <c r="G6" s="99"/>
      <c r="H6" s="99"/>
      <c r="I6" s="99"/>
      <c r="J6" s="99"/>
      <c r="K6" s="99"/>
      <c r="L6" s="99"/>
      <c r="M6" s="99"/>
      <c r="N6" s="99"/>
      <c r="O6" s="99"/>
      <c r="P6" s="99"/>
      <c r="Q6" s="99"/>
      <c r="R6" s="99"/>
      <c r="S6" s="99"/>
      <c r="T6" s="99"/>
      <c r="U6" s="99"/>
      <c r="V6" s="99"/>
      <c r="W6" s="99"/>
      <c r="X6" s="99"/>
      <c r="Y6" s="99"/>
    </row>
    <row r="7" spans="2:25" s="12" customFormat="1" ht="14.25" customHeight="1" x14ac:dyDescent="0.35">
      <c r="B7" s="5" t="s">
        <v>46</v>
      </c>
      <c r="C7" s="31">
        <v>285639</v>
      </c>
      <c r="D7" s="31">
        <v>565286</v>
      </c>
      <c r="E7" s="31">
        <v>234490.00399999999</v>
      </c>
      <c r="F7" s="31">
        <v>242027.49402783453</v>
      </c>
      <c r="G7" s="31">
        <v>339912</v>
      </c>
      <c r="H7" s="31">
        <v>415390.37000000011</v>
      </c>
      <c r="I7" s="31">
        <v>1231820</v>
      </c>
      <c r="J7" s="31">
        <v>610169</v>
      </c>
      <c r="K7" s="31">
        <v>661755</v>
      </c>
      <c r="L7" s="31">
        <v>839315</v>
      </c>
      <c r="M7" s="31">
        <v>996464</v>
      </c>
      <c r="N7" s="31">
        <v>3107703</v>
      </c>
      <c r="O7" s="31">
        <v>1294609</v>
      </c>
      <c r="P7" s="31">
        <v>1520312</v>
      </c>
      <c r="Q7" s="31">
        <v>2015598</v>
      </c>
      <c r="R7" s="31">
        <v>1804783</v>
      </c>
      <c r="S7" s="31">
        <v>6635302</v>
      </c>
      <c r="T7" s="31">
        <v>1886597</v>
      </c>
      <c r="U7" s="31">
        <v>1906739.8466399997</v>
      </c>
      <c r="V7" s="31">
        <v>1891164.9869900001</v>
      </c>
      <c r="W7" s="31">
        <v>1866004.35088</v>
      </c>
      <c r="X7" s="31">
        <v>7550506.1845100001</v>
      </c>
      <c r="Y7" s="31">
        <v>1821550</v>
      </c>
    </row>
    <row r="8" spans="2:25" ht="14.25" customHeight="1" x14ac:dyDescent="0.35">
      <c r="B8" s="6" t="s">
        <v>47</v>
      </c>
      <c r="C8" s="30">
        <v>-167389</v>
      </c>
      <c r="D8" s="30">
        <v>-311658</v>
      </c>
      <c r="E8" s="30">
        <v>-139300.38500000001</v>
      </c>
      <c r="F8" s="30">
        <v>-135266.99</v>
      </c>
      <c r="G8" s="30">
        <v>-187292</v>
      </c>
      <c r="H8" s="30">
        <v>-212035.00000000012</v>
      </c>
      <c r="I8" s="30">
        <v>-673893</v>
      </c>
      <c r="J8" s="30">
        <v>-399497</v>
      </c>
      <c r="K8" s="30">
        <v>-364701</v>
      </c>
      <c r="L8" s="30">
        <v>-448198</v>
      </c>
      <c r="M8" s="30">
        <v>-512123</v>
      </c>
      <c r="N8" s="30">
        <v>-1724516</v>
      </c>
      <c r="O8" s="30">
        <v>-685976</v>
      </c>
      <c r="P8" s="30">
        <v>-806658</v>
      </c>
      <c r="Q8" s="30">
        <v>-1058871</v>
      </c>
      <c r="R8" s="30">
        <v>-1061335</v>
      </c>
      <c r="S8" s="30">
        <v>-3612840</v>
      </c>
      <c r="T8" s="30">
        <v>-1084075</v>
      </c>
      <c r="U8" s="30">
        <v>-1235533</v>
      </c>
      <c r="V8" s="30">
        <v>-1320835</v>
      </c>
      <c r="W8" s="30">
        <v>-1381053</v>
      </c>
      <c r="X8" s="30">
        <v>-5021496</v>
      </c>
      <c r="Y8" s="30">
        <v>-1253625</v>
      </c>
    </row>
    <row r="9" spans="2:25" s="12" customFormat="1" ht="14.25" customHeight="1" x14ac:dyDescent="0.35">
      <c r="B9" s="5" t="s">
        <v>48</v>
      </c>
      <c r="C9" s="15">
        <f t="shared" ref="C9:Y9" si="0">C7+C8</f>
        <v>118250</v>
      </c>
      <c r="D9" s="15">
        <f t="shared" si="0"/>
        <v>253628</v>
      </c>
      <c r="E9" s="15">
        <f t="shared" si="0"/>
        <v>95189.618999999977</v>
      </c>
      <c r="F9" s="15">
        <f t="shared" si="0"/>
        <v>106760.50402783454</v>
      </c>
      <c r="G9" s="15">
        <f t="shared" si="0"/>
        <v>152620</v>
      </c>
      <c r="H9" s="15">
        <f t="shared" si="0"/>
        <v>203355.37</v>
      </c>
      <c r="I9" s="15">
        <f t="shared" si="0"/>
        <v>557927</v>
      </c>
      <c r="J9" s="15">
        <f t="shared" si="0"/>
        <v>210672</v>
      </c>
      <c r="K9" s="15">
        <f t="shared" si="0"/>
        <v>297054</v>
      </c>
      <c r="L9" s="15">
        <f t="shared" si="0"/>
        <v>391117</v>
      </c>
      <c r="M9" s="15">
        <f t="shared" si="0"/>
        <v>484341</v>
      </c>
      <c r="N9" s="15">
        <f t="shared" si="0"/>
        <v>1383187</v>
      </c>
      <c r="O9" s="15">
        <f t="shared" si="0"/>
        <v>608633</v>
      </c>
      <c r="P9" s="15">
        <f t="shared" si="0"/>
        <v>713654</v>
      </c>
      <c r="Q9" s="15">
        <f t="shared" si="0"/>
        <v>956727</v>
      </c>
      <c r="R9" s="15">
        <f t="shared" si="0"/>
        <v>743448</v>
      </c>
      <c r="S9" s="15">
        <f t="shared" si="0"/>
        <v>3022462</v>
      </c>
      <c r="T9" s="15">
        <f t="shared" si="0"/>
        <v>802522</v>
      </c>
      <c r="U9" s="15">
        <f t="shared" si="0"/>
        <v>671206.84663999965</v>
      </c>
      <c r="V9" s="15">
        <f t="shared" si="0"/>
        <v>570329.98699000012</v>
      </c>
      <c r="W9" s="15">
        <f t="shared" si="0"/>
        <v>484951.35088000004</v>
      </c>
      <c r="X9" s="15">
        <f t="shared" si="0"/>
        <v>2529010.1845100001</v>
      </c>
      <c r="Y9" s="15">
        <f t="shared" si="0"/>
        <v>567925</v>
      </c>
    </row>
    <row r="10" spans="2:25" ht="14.1" customHeight="1" x14ac:dyDescent="0.35">
      <c r="B10" s="17" t="s">
        <v>49</v>
      </c>
      <c r="C10" s="18">
        <f>C9/C7</f>
        <v>0.41398408480634646</v>
      </c>
      <c r="D10" s="18">
        <f t="shared" ref="D10:Y10" si="1">D9/D7</f>
        <v>0.44867199966034893</v>
      </c>
      <c r="E10" s="18">
        <f t="shared" si="1"/>
        <v>0.40594318468261864</v>
      </c>
      <c r="F10" s="18">
        <f t="shared" si="1"/>
        <v>0.44110899241702051</v>
      </c>
      <c r="G10" s="18">
        <f t="shared" si="1"/>
        <v>0.4489985643342983</v>
      </c>
      <c r="H10" s="18">
        <f t="shared" si="1"/>
        <v>0.48955244195959557</v>
      </c>
      <c r="I10" s="18">
        <f t="shared" si="1"/>
        <v>0.4529289993667906</v>
      </c>
      <c r="J10" s="18">
        <f t="shared" si="1"/>
        <v>0.3452682781327796</v>
      </c>
      <c r="K10" s="18">
        <f t="shared" si="1"/>
        <v>0.44888818369336081</v>
      </c>
      <c r="L10" s="18">
        <f t="shared" si="1"/>
        <v>0.4659954844128843</v>
      </c>
      <c r="M10" s="18">
        <f t="shared" si="1"/>
        <v>0.48605970712439184</v>
      </c>
      <c r="N10" s="18">
        <f t="shared" si="1"/>
        <v>0.44508339439129158</v>
      </c>
      <c r="O10" s="18">
        <f t="shared" si="1"/>
        <v>0.47012881881711005</v>
      </c>
      <c r="P10" s="18">
        <f t="shared" si="1"/>
        <v>0.46941285736085753</v>
      </c>
      <c r="Q10" s="18">
        <f t="shared" si="1"/>
        <v>0.47466161407185359</v>
      </c>
      <c r="R10" s="18">
        <f t="shared" si="1"/>
        <v>0.4119320716119334</v>
      </c>
      <c r="S10" s="18">
        <f t="shared" si="1"/>
        <v>0.45551234894809611</v>
      </c>
      <c r="T10" s="18">
        <f t="shared" si="1"/>
        <v>0.42538072518932235</v>
      </c>
      <c r="U10" s="18">
        <f t="shared" si="1"/>
        <v>0.35201805208129489</v>
      </c>
      <c r="V10" s="18">
        <f t="shared" si="1"/>
        <v>0.30157600786473099</v>
      </c>
      <c r="W10" s="18">
        <f t="shared" si="1"/>
        <v>0.25988757778153032</v>
      </c>
      <c r="X10" s="18">
        <f t="shared" si="1"/>
        <v>0.33494578015157583</v>
      </c>
      <c r="Y10" s="18">
        <f t="shared" si="1"/>
        <v>0.31178117537262223</v>
      </c>
    </row>
    <row r="11" spans="2:25" ht="14.25" customHeight="1" x14ac:dyDescent="0.35">
      <c r="B11" s="7" t="s">
        <v>50</v>
      </c>
      <c r="C11" s="30">
        <v>-21827</v>
      </c>
      <c r="D11" s="30">
        <v>-30132</v>
      </c>
      <c r="E11" s="30">
        <v>-13345.749</v>
      </c>
      <c r="F11" s="30">
        <v>-14623.560758275</v>
      </c>
      <c r="G11" s="30">
        <v>-22731</v>
      </c>
      <c r="H11" s="30">
        <v>-22740.111000000004</v>
      </c>
      <c r="I11" s="30">
        <v>-73441</v>
      </c>
      <c r="J11" s="30">
        <v>-52371</v>
      </c>
      <c r="K11" s="30">
        <v>-67228</v>
      </c>
      <c r="L11" s="30">
        <v>-67694</v>
      </c>
      <c r="M11" s="30">
        <v>-67967</v>
      </c>
      <c r="N11" s="30">
        <v>-255260</v>
      </c>
      <c r="O11" s="30">
        <v>-90762</v>
      </c>
      <c r="P11" s="30">
        <v>-104650</v>
      </c>
      <c r="Q11" s="30">
        <v>-120077</v>
      </c>
      <c r="R11" s="30">
        <v>-138328</v>
      </c>
      <c r="S11" s="30">
        <v>-453816</v>
      </c>
      <c r="T11" s="30">
        <v>-171059</v>
      </c>
      <c r="U11" s="30">
        <v>-212383</v>
      </c>
      <c r="V11" s="30">
        <v>-211151</v>
      </c>
      <c r="W11" s="30">
        <v>-200168</v>
      </c>
      <c r="X11" s="30">
        <v>-794761</v>
      </c>
      <c r="Y11" s="30">
        <v>-220455</v>
      </c>
    </row>
    <row r="12" spans="2:25" ht="14.25" customHeight="1" x14ac:dyDescent="0.35">
      <c r="B12" s="7" t="s">
        <v>51</v>
      </c>
      <c r="C12" s="30">
        <v>-27426.091</v>
      </c>
      <c r="D12" s="30">
        <v>-24852</v>
      </c>
      <c r="E12" s="30">
        <v>-11261.692999999999</v>
      </c>
      <c r="F12" s="30">
        <v>-14184</v>
      </c>
      <c r="G12" s="30">
        <v>-12244</v>
      </c>
      <c r="H12" s="30">
        <v>-14508</v>
      </c>
      <c r="I12" s="30">
        <v>-52195</v>
      </c>
      <c r="J12" s="30">
        <v>-12964</v>
      </c>
      <c r="K12" s="30">
        <v>-15454</v>
      </c>
      <c r="L12" s="30">
        <v>-15809</v>
      </c>
      <c r="M12" s="30">
        <v>-17885</v>
      </c>
      <c r="N12" s="30">
        <v>-62126</v>
      </c>
      <c r="O12" s="30">
        <v>-18876</v>
      </c>
      <c r="P12" s="30">
        <v>-23482.687771524677</v>
      </c>
      <c r="Q12" s="30">
        <v>-30148</v>
      </c>
      <c r="R12" s="30">
        <v>-39315.55060806789</v>
      </c>
      <c r="S12" s="30">
        <v>-111829</v>
      </c>
      <c r="T12" s="30">
        <v>-31400</v>
      </c>
      <c r="U12" s="30">
        <v>-36490</v>
      </c>
      <c r="V12" s="30">
        <v>-48475</v>
      </c>
      <c r="W12" s="30">
        <v>-47851</v>
      </c>
      <c r="X12" s="30">
        <v>-164216</v>
      </c>
      <c r="Y12" s="30">
        <v>-41757</v>
      </c>
    </row>
    <row r="13" spans="2:25" ht="14.25" customHeight="1" x14ac:dyDescent="0.35">
      <c r="B13" s="7" t="s">
        <v>52</v>
      </c>
      <c r="C13" s="30">
        <v>-1898.9090000000001</v>
      </c>
      <c r="D13" s="30">
        <v>-3043</v>
      </c>
      <c r="E13" s="30">
        <v>29.193000000000001</v>
      </c>
      <c r="F13" s="30">
        <v>-458</v>
      </c>
      <c r="G13" s="30">
        <v>1</v>
      </c>
      <c r="H13" s="30">
        <v>6967</v>
      </c>
      <c r="I13" s="30">
        <v>6534</v>
      </c>
      <c r="J13" s="30">
        <v>455</v>
      </c>
      <c r="K13" s="30">
        <v>12231</v>
      </c>
      <c r="L13" s="30">
        <v>-131</v>
      </c>
      <c r="M13" s="30">
        <v>2309</v>
      </c>
      <c r="N13" s="30">
        <v>14876</v>
      </c>
      <c r="O13" s="30">
        <v>-4134</v>
      </c>
      <c r="P13" s="30">
        <v>2162</v>
      </c>
      <c r="Q13" s="30">
        <v>10903</v>
      </c>
      <c r="R13" s="30">
        <v>26177.55060806789</v>
      </c>
      <c r="S13" s="30">
        <v>35115</v>
      </c>
      <c r="T13" s="30">
        <v>43070</v>
      </c>
      <c r="U13" s="30">
        <v>250973</v>
      </c>
      <c r="V13" s="30">
        <v>171167</v>
      </c>
      <c r="W13" s="30">
        <v>208953</v>
      </c>
      <c r="X13" s="30">
        <v>674163</v>
      </c>
      <c r="Y13" s="30">
        <v>23483</v>
      </c>
    </row>
    <row r="14" spans="2:25" ht="14.25" customHeight="1" x14ac:dyDescent="0.35">
      <c r="B14" s="6" t="s">
        <v>278</v>
      </c>
      <c r="C14" s="45">
        <f>SUM(C11:C13)</f>
        <v>-51152</v>
      </c>
      <c r="D14" s="45">
        <f>SUM(D11:D13)</f>
        <v>-58027</v>
      </c>
      <c r="E14" s="45">
        <f>SUM(E11:E13)</f>
        <v>-24578.249</v>
      </c>
      <c r="F14" s="45">
        <v>-29265.98</v>
      </c>
      <c r="G14" s="45">
        <f t="shared" ref="G14:O14" si="2">SUM(G11:G13)</f>
        <v>-34974</v>
      </c>
      <c r="H14" s="45">
        <f t="shared" si="2"/>
        <v>-30281.111000000004</v>
      </c>
      <c r="I14" s="45">
        <f t="shared" si="2"/>
        <v>-119102</v>
      </c>
      <c r="J14" s="45">
        <f t="shared" si="2"/>
        <v>-64880</v>
      </c>
      <c r="K14" s="45">
        <f t="shared" si="2"/>
        <v>-70451</v>
      </c>
      <c r="L14" s="45">
        <f t="shared" si="2"/>
        <v>-83634</v>
      </c>
      <c r="M14" s="45">
        <f t="shared" si="2"/>
        <v>-83543</v>
      </c>
      <c r="N14" s="45">
        <f t="shared" si="2"/>
        <v>-302510</v>
      </c>
      <c r="O14" s="45">
        <f t="shared" si="2"/>
        <v>-113772</v>
      </c>
      <c r="P14" s="45">
        <v>-125970</v>
      </c>
      <c r="Q14" s="45">
        <f t="shared" ref="Q14:X14" si="3">SUM(Q11:Q13)</f>
        <v>-139322</v>
      </c>
      <c r="R14" s="45">
        <f t="shared" si="3"/>
        <v>-151466</v>
      </c>
      <c r="S14" s="45">
        <f t="shared" si="3"/>
        <v>-530530</v>
      </c>
      <c r="T14" s="30">
        <f t="shared" si="3"/>
        <v>-159389</v>
      </c>
      <c r="U14" s="45">
        <f t="shared" si="3"/>
        <v>2100</v>
      </c>
      <c r="V14" s="45">
        <f t="shared" si="3"/>
        <v>-88459</v>
      </c>
      <c r="W14" s="45">
        <f t="shared" si="3"/>
        <v>-39066</v>
      </c>
      <c r="X14" s="45">
        <f t="shared" si="3"/>
        <v>-284814</v>
      </c>
      <c r="Y14" s="45">
        <f t="shared" ref="Y14" si="4">SUM(Y11:Y13)</f>
        <v>-238729</v>
      </c>
    </row>
    <row r="15" spans="2:25" s="12" customFormat="1" ht="14.25" customHeight="1" x14ac:dyDescent="0.35">
      <c r="B15" s="5" t="s">
        <v>53</v>
      </c>
      <c r="C15" s="4">
        <f t="shared" ref="C15:X15" si="5">C9+C14</f>
        <v>67098</v>
      </c>
      <c r="D15" s="4">
        <f t="shared" si="5"/>
        <v>195601</v>
      </c>
      <c r="E15" s="4">
        <f t="shared" si="5"/>
        <v>70611.369999999981</v>
      </c>
      <c r="F15" s="4">
        <f t="shared" si="5"/>
        <v>77494.524027834545</v>
      </c>
      <c r="G15" s="4">
        <f t="shared" si="5"/>
        <v>117646</v>
      </c>
      <c r="H15" s="4">
        <f t="shared" si="5"/>
        <v>173074.25899999999</v>
      </c>
      <c r="I15" s="4">
        <f t="shared" si="5"/>
        <v>438825</v>
      </c>
      <c r="J15" s="4">
        <f t="shared" si="5"/>
        <v>145792</v>
      </c>
      <c r="K15" s="4">
        <f t="shared" si="5"/>
        <v>226603</v>
      </c>
      <c r="L15" s="4">
        <f t="shared" si="5"/>
        <v>307483</v>
      </c>
      <c r="M15" s="4">
        <f t="shared" si="5"/>
        <v>400798</v>
      </c>
      <c r="N15" s="4">
        <f t="shared" si="5"/>
        <v>1080677</v>
      </c>
      <c r="O15" s="4">
        <f t="shared" si="5"/>
        <v>494861</v>
      </c>
      <c r="P15" s="4">
        <f t="shared" si="5"/>
        <v>587684</v>
      </c>
      <c r="Q15" s="4">
        <f t="shared" si="5"/>
        <v>817405</v>
      </c>
      <c r="R15" s="4">
        <f t="shared" si="5"/>
        <v>591982</v>
      </c>
      <c r="S15" s="4">
        <f t="shared" si="5"/>
        <v>2491932</v>
      </c>
      <c r="T15" s="4">
        <f t="shared" si="5"/>
        <v>643133</v>
      </c>
      <c r="U15" s="4">
        <f>U9+U14</f>
        <v>673306.84663999965</v>
      </c>
      <c r="V15" s="4">
        <f t="shared" si="5"/>
        <v>481870.98699000012</v>
      </c>
      <c r="W15" s="4">
        <f t="shared" si="5"/>
        <v>445885.35088000004</v>
      </c>
      <c r="X15" s="4">
        <f t="shared" si="5"/>
        <v>2244196.1845100001</v>
      </c>
      <c r="Y15" s="4">
        <f t="shared" ref="Y15" si="6">Y9+Y14</f>
        <v>329196</v>
      </c>
    </row>
    <row r="16" spans="2:25" ht="14.25" customHeight="1" x14ac:dyDescent="0.35">
      <c r="B16" s="7" t="s">
        <v>54</v>
      </c>
      <c r="C16" s="30">
        <v>2577</v>
      </c>
      <c r="D16" s="30">
        <v>26564</v>
      </c>
      <c r="E16" s="30">
        <v>53951</v>
      </c>
      <c r="F16" s="30">
        <v>85877</v>
      </c>
      <c r="G16" s="30">
        <v>18157</v>
      </c>
      <c r="H16" s="30">
        <v>-40762</v>
      </c>
      <c r="I16" s="30">
        <v>84080</v>
      </c>
      <c r="J16" s="30">
        <v>102024</v>
      </c>
      <c r="K16" s="30">
        <v>105987</v>
      </c>
      <c r="L16" s="30">
        <v>24402</v>
      </c>
      <c r="M16" s="30">
        <v>-97527</v>
      </c>
      <c r="N16" s="30">
        <v>268632</v>
      </c>
      <c r="O16" s="30">
        <v>132467</v>
      </c>
      <c r="P16" s="30">
        <v>109564</v>
      </c>
      <c r="Q16" s="30">
        <v>232354</v>
      </c>
      <c r="R16" s="30">
        <f>S16-Q16-P16-O16</f>
        <v>94972</v>
      </c>
      <c r="S16" s="30">
        <v>569357</v>
      </c>
      <c r="T16" s="30">
        <v>611170</v>
      </c>
      <c r="U16" s="30">
        <v>259988</v>
      </c>
      <c r="V16" s="30">
        <v>252520</v>
      </c>
      <c r="W16" s="30">
        <f>X16-V16-U16-T16</f>
        <v>-45342</v>
      </c>
      <c r="X16" s="30">
        <v>1078336</v>
      </c>
      <c r="Y16" s="30">
        <v>212783</v>
      </c>
    </row>
    <row r="17" spans="1:25" ht="14.25" customHeight="1" x14ac:dyDescent="0.35">
      <c r="B17" s="7" t="s">
        <v>55</v>
      </c>
      <c r="C17" s="30">
        <v>-28913</v>
      </c>
      <c r="D17" s="30">
        <v>-87561</v>
      </c>
      <c r="E17" s="30">
        <v>-36894</v>
      </c>
      <c r="F17" s="30">
        <v>-5496</v>
      </c>
      <c r="G17" s="30">
        <v>-48170</v>
      </c>
      <c r="H17" s="30">
        <v>116690</v>
      </c>
      <c r="I17" s="30">
        <v>-287457</v>
      </c>
      <c r="J17" s="30">
        <v>-13970</v>
      </c>
      <c r="K17" s="30">
        <v>-132733</v>
      </c>
      <c r="L17" s="30">
        <v>-163751</v>
      </c>
      <c r="M17" s="30">
        <v>228616</v>
      </c>
      <c r="N17" s="30">
        <v>-600380</v>
      </c>
      <c r="O17" s="30">
        <v>-480963</v>
      </c>
      <c r="P17" s="30">
        <v>-280423</v>
      </c>
      <c r="Q17" s="30">
        <v>-328669</v>
      </c>
      <c r="R17" s="30">
        <f>S17-Q17-P17-O17</f>
        <v>-833633</v>
      </c>
      <c r="S17" s="30">
        <v>-1923688</v>
      </c>
      <c r="T17" s="30">
        <v>-593360</v>
      </c>
      <c r="U17" s="30">
        <v>-456451</v>
      </c>
      <c r="V17" s="30">
        <v>-659150</v>
      </c>
      <c r="W17" s="30">
        <f>X17-V17-U17-T17</f>
        <v>-314751</v>
      </c>
      <c r="X17" s="30">
        <v>-2023712</v>
      </c>
      <c r="Y17" s="30">
        <v>-703117</v>
      </c>
    </row>
    <row r="18" spans="1:25" ht="14.25" customHeight="1" x14ac:dyDescent="0.35">
      <c r="B18" s="7" t="s">
        <v>56</v>
      </c>
      <c r="C18" s="30">
        <v>-17707</v>
      </c>
      <c r="D18" s="30">
        <v>-79913</v>
      </c>
      <c r="E18" s="30">
        <v>16938</v>
      </c>
      <c r="F18" s="30">
        <v>-91080</v>
      </c>
      <c r="G18" s="30">
        <v>52605</v>
      </c>
      <c r="H18" s="30">
        <v>-541792.56000000006</v>
      </c>
      <c r="I18" s="30">
        <v>-563330</v>
      </c>
      <c r="J18" s="30">
        <v>-134061</v>
      </c>
      <c r="K18" s="30">
        <v>-82904</v>
      </c>
      <c r="L18" s="30">
        <v>202255</v>
      </c>
      <c r="M18" s="30">
        <v>-288116</v>
      </c>
      <c r="N18" s="30">
        <v>-302826</v>
      </c>
      <c r="O18" s="30">
        <v>436649</v>
      </c>
      <c r="P18" s="30">
        <v>-272214</v>
      </c>
      <c r="Q18" s="30">
        <v>-97342</v>
      </c>
      <c r="R18" s="30">
        <f>S18-Q18-P18-O18</f>
        <v>521968</v>
      </c>
      <c r="S18" s="30">
        <v>589061</v>
      </c>
      <c r="T18" s="30">
        <v>-298325</v>
      </c>
      <c r="U18" s="30">
        <v>-115413</v>
      </c>
      <c r="V18" s="30">
        <v>119747</v>
      </c>
      <c r="W18" s="30">
        <f>X18-V18-U18-T18</f>
        <v>87285</v>
      </c>
      <c r="X18" s="30">
        <v>-206706</v>
      </c>
      <c r="Y18" s="30">
        <v>160205</v>
      </c>
    </row>
    <row r="19" spans="1:25" ht="14.25" customHeight="1" x14ac:dyDescent="0.35">
      <c r="B19" s="6" t="s">
        <v>57</v>
      </c>
      <c r="C19" s="45">
        <f t="shared" ref="C19:D19" si="7">C18+C17+C16</f>
        <v>-44043</v>
      </c>
      <c r="D19" s="45">
        <f t="shared" si="7"/>
        <v>-140910</v>
      </c>
      <c r="E19" s="45">
        <f t="shared" ref="E19:N19" si="8">E18+E17+E16</f>
        <v>33995</v>
      </c>
      <c r="F19" s="45">
        <f t="shared" si="8"/>
        <v>-10699</v>
      </c>
      <c r="G19" s="45">
        <f t="shared" si="8"/>
        <v>22592</v>
      </c>
      <c r="H19" s="45">
        <f t="shared" si="8"/>
        <v>-465864.56000000006</v>
      </c>
      <c r="I19" s="45">
        <f t="shared" si="8"/>
        <v>-766707</v>
      </c>
      <c r="J19" s="45">
        <f t="shared" si="8"/>
        <v>-46007</v>
      </c>
      <c r="K19" s="45">
        <f t="shared" si="8"/>
        <v>-109650</v>
      </c>
      <c r="L19" s="45">
        <f t="shared" si="8"/>
        <v>62906</v>
      </c>
      <c r="M19" s="45">
        <f t="shared" si="8"/>
        <v>-157027</v>
      </c>
      <c r="N19" s="45">
        <f t="shared" si="8"/>
        <v>-634574</v>
      </c>
      <c r="O19" s="45">
        <f t="shared" ref="O19" si="9">O18+O17+O16</f>
        <v>88153</v>
      </c>
      <c r="P19" s="45">
        <f t="shared" ref="P19:U19" si="10">P18+P17+P16</f>
        <v>-443073</v>
      </c>
      <c r="Q19" s="45">
        <f t="shared" si="10"/>
        <v>-193657</v>
      </c>
      <c r="R19" s="45">
        <f t="shared" si="10"/>
        <v>-216693</v>
      </c>
      <c r="S19" s="45">
        <f t="shared" si="10"/>
        <v>-765270</v>
      </c>
      <c r="T19" s="45">
        <f t="shared" si="10"/>
        <v>-280515</v>
      </c>
      <c r="U19" s="45">
        <f t="shared" si="10"/>
        <v>-311876</v>
      </c>
      <c r="V19" s="45">
        <v>-286883</v>
      </c>
      <c r="W19" s="45">
        <f>W16+W17+W18</f>
        <v>-272808</v>
      </c>
      <c r="X19" s="45">
        <f>X16+X17+X18</f>
        <v>-1152082</v>
      </c>
      <c r="Y19" s="45">
        <f>Y16+Y17+Y18</f>
        <v>-330129</v>
      </c>
    </row>
    <row r="20" spans="1:25" s="12" customFormat="1" ht="14.25" customHeight="1" x14ac:dyDescent="0.35">
      <c r="B20" s="5" t="s">
        <v>58</v>
      </c>
      <c r="C20" s="4">
        <f t="shared" ref="C20:D20" si="11">C19+C15</f>
        <v>23055</v>
      </c>
      <c r="D20" s="4">
        <f t="shared" si="11"/>
        <v>54691</v>
      </c>
      <c r="E20" s="4">
        <f t="shared" ref="E20:O20" si="12">E19+E15</f>
        <v>104606.36999999998</v>
      </c>
      <c r="F20" s="4">
        <f t="shared" si="12"/>
        <v>66795.524027834545</v>
      </c>
      <c r="G20" s="4">
        <f t="shared" si="12"/>
        <v>140238</v>
      </c>
      <c r="H20" s="4">
        <f t="shared" si="12"/>
        <v>-292790.30100000009</v>
      </c>
      <c r="I20" s="4">
        <f t="shared" si="12"/>
        <v>-327882</v>
      </c>
      <c r="J20" s="4">
        <f t="shared" si="12"/>
        <v>99785</v>
      </c>
      <c r="K20" s="4">
        <f t="shared" si="12"/>
        <v>116953</v>
      </c>
      <c r="L20" s="4">
        <f t="shared" si="12"/>
        <v>370389</v>
      </c>
      <c r="M20" s="4">
        <f t="shared" si="12"/>
        <v>243771</v>
      </c>
      <c r="N20" s="4">
        <f t="shared" si="12"/>
        <v>446103</v>
      </c>
      <c r="O20" s="4">
        <f t="shared" si="12"/>
        <v>583014</v>
      </c>
      <c r="P20" s="4">
        <f t="shared" ref="P20:U20" si="13">P19+P15</f>
        <v>144611</v>
      </c>
      <c r="Q20" s="4">
        <f t="shared" si="13"/>
        <v>623748</v>
      </c>
      <c r="R20" s="4">
        <f t="shared" si="13"/>
        <v>375289</v>
      </c>
      <c r="S20" s="4">
        <f t="shared" si="13"/>
        <v>1726662</v>
      </c>
      <c r="T20" s="4">
        <f t="shared" si="13"/>
        <v>362618</v>
      </c>
      <c r="U20" s="4">
        <f t="shared" si="13"/>
        <v>361430.84663999965</v>
      </c>
      <c r="V20" s="4">
        <f>V19+V15</f>
        <v>194987.98699000012</v>
      </c>
      <c r="W20" s="4">
        <f>W19+W15</f>
        <v>173077.35088000004</v>
      </c>
      <c r="X20" s="4">
        <f>X19+X15</f>
        <v>1092114.1845100001</v>
      </c>
      <c r="Y20" s="4">
        <f>Y19+Y15</f>
        <v>-933</v>
      </c>
    </row>
    <row r="21" spans="1:25" ht="14.25" customHeight="1" x14ac:dyDescent="0.35">
      <c r="B21" s="6" t="s">
        <v>59</v>
      </c>
      <c r="C21" s="30">
        <v>-11158</v>
      </c>
      <c r="D21" s="30">
        <v>-20856</v>
      </c>
      <c r="E21" s="30">
        <v>3360.4459999999999</v>
      </c>
      <c r="F21" s="30">
        <v>6511.9229999999998</v>
      </c>
      <c r="G21" s="30">
        <v>-389</v>
      </c>
      <c r="H21" s="30">
        <v>-5392.3689999999997</v>
      </c>
      <c r="I21" s="30">
        <v>4091</v>
      </c>
      <c r="J21" s="30">
        <v>0</v>
      </c>
      <c r="K21" s="30">
        <v>0</v>
      </c>
      <c r="L21" s="30">
        <v>0</v>
      </c>
      <c r="M21" s="30">
        <v>0</v>
      </c>
      <c r="N21" s="30">
        <v>0</v>
      </c>
      <c r="O21" s="30">
        <v>-160212</v>
      </c>
      <c r="P21" s="30">
        <v>-10171</v>
      </c>
      <c r="Q21" s="30">
        <v>-96109</v>
      </c>
      <c r="R21" s="30">
        <f t="shared" ref="R21:R23" si="14">S21-Q21-P21-O21</f>
        <v>-187683</v>
      </c>
      <c r="S21" s="30">
        <v>-454175</v>
      </c>
      <c r="T21" s="30">
        <v>-85256</v>
      </c>
      <c r="U21" s="30">
        <v>-114677</v>
      </c>
      <c r="V21" s="30">
        <v>-6833</v>
      </c>
      <c r="W21" s="30">
        <f>X21-V21-U21-T21</f>
        <v>-78791</v>
      </c>
      <c r="X21" s="30">
        <v>-285557</v>
      </c>
      <c r="Y21" s="30">
        <v>0</v>
      </c>
    </row>
    <row r="22" spans="1:25" ht="14.25" customHeight="1" x14ac:dyDescent="0.35">
      <c r="B22" s="6" t="s">
        <v>60</v>
      </c>
      <c r="C22" s="30">
        <v>2499</v>
      </c>
      <c r="D22" s="30">
        <v>4494</v>
      </c>
      <c r="E22" s="30">
        <v>-22023.664000000001</v>
      </c>
      <c r="F22" s="30">
        <v>27049</v>
      </c>
      <c r="G22" s="30">
        <v>-44263</v>
      </c>
      <c r="H22" s="30">
        <v>154384.90399999998</v>
      </c>
      <c r="I22" s="30">
        <v>115147</v>
      </c>
      <c r="J22" s="30">
        <v>22889</v>
      </c>
      <c r="K22" s="30">
        <v>-51726</v>
      </c>
      <c r="L22" s="30">
        <v>-119762</v>
      </c>
      <c r="M22" s="30">
        <v>23622</v>
      </c>
      <c r="N22" s="30">
        <v>-124977</v>
      </c>
      <c r="O22" s="30">
        <v>-23174</v>
      </c>
      <c r="P22" s="30">
        <v>-27128</v>
      </c>
      <c r="Q22" s="30">
        <v>-95270</v>
      </c>
      <c r="R22" s="30">
        <f t="shared" si="14"/>
        <v>77197</v>
      </c>
      <c r="S22" s="30">
        <v>-68375</v>
      </c>
      <c r="T22" s="30">
        <v>-10113.336833599926</v>
      </c>
      <c r="U22" s="30">
        <v>4694</v>
      </c>
      <c r="V22" s="30">
        <v>-28061</v>
      </c>
      <c r="W22" s="30">
        <f>X22-V22-U22-T22</f>
        <v>45652.336833599926</v>
      </c>
      <c r="X22" s="30">
        <v>12172</v>
      </c>
      <c r="Y22" s="30">
        <v>34937</v>
      </c>
    </row>
    <row r="23" spans="1:25" ht="14.25" customHeight="1" x14ac:dyDescent="0.35">
      <c r="B23" s="6" t="s">
        <v>61</v>
      </c>
      <c r="C23" s="30">
        <v>0</v>
      </c>
      <c r="D23" s="30">
        <v>22777</v>
      </c>
      <c r="E23" s="30">
        <v>-1094.28</v>
      </c>
      <c r="F23" s="30">
        <v>-4790</v>
      </c>
      <c r="G23" s="30">
        <v>266</v>
      </c>
      <c r="H23" s="30">
        <v>5618.0479999999998</v>
      </c>
      <c r="I23" s="30">
        <v>0</v>
      </c>
      <c r="J23" s="30">
        <v>0</v>
      </c>
      <c r="K23" s="30">
        <v>0</v>
      </c>
      <c r="L23" s="30">
        <v>0</v>
      </c>
      <c r="M23" s="30">
        <v>0</v>
      </c>
      <c r="N23" s="30">
        <v>0</v>
      </c>
      <c r="O23" s="30">
        <v>106961</v>
      </c>
      <c r="P23" s="30">
        <v>17641</v>
      </c>
      <c r="Q23" s="30">
        <v>37413</v>
      </c>
      <c r="R23" s="30">
        <f t="shared" si="14"/>
        <v>118946</v>
      </c>
      <c r="S23" s="30">
        <v>280961</v>
      </c>
      <c r="T23" s="30">
        <v>0</v>
      </c>
      <c r="U23" s="30">
        <v>23064</v>
      </c>
      <c r="V23" s="30">
        <v>8229</v>
      </c>
      <c r="W23" s="30">
        <f>X23-V23-U23-T23</f>
        <v>27389</v>
      </c>
      <c r="X23" s="30">
        <v>58682</v>
      </c>
      <c r="Y23" s="30">
        <v>0</v>
      </c>
    </row>
    <row r="24" spans="1:25" s="12" customFormat="1" ht="14.25" customHeight="1" x14ac:dyDescent="0.35">
      <c r="B24" s="5" t="s">
        <v>62</v>
      </c>
      <c r="C24" s="4">
        <f t="shared" ref="C24:O24" si="15">C23+C22+C21+C20</f>
        <v>14396</v>
      </c>
      <c r="D24" s="4">
        <f t="shared" si="15"/>
        <v>61106</v>
      </c>
      <c r="E24" s="4">
        <f t="shared" si="15"/>
        <v>84848.871999999974</v>
      </c>
      <c r="F24" s="4">
        <f t="shared" si="15"/>
        <v>95566.44702783454</v>
      </c>
      <c r="G24" s="4">
        <f t="shared" si="15"/>
        <v>95852</v>
      </c>
      <c r="H24" s="4">
        <f t="shared" si="15"/>
        <v>-138179.71800000011</v>
      </c>
      <c r="I24" s="4">
        <f t="shared" si="15"/>
        <v>-208644</v>
      </c>
      <c r="J24" s="4">
        <f t="shared" si="15"/>
        <v>122674</v>
      </c>
      <c r="K24" s="4">
        <f t="shared" si="15"/>
        <v>65227</v>
      </c>
      <c r="L24" s="4">
        <f t="shared" si="15"/>
        <v>250627</v>
      </c>
      <c r="M24" s="4">
        <f t="shared" si="15"/>
        <v>267393</v>
      </c>
      <c r="N24" s="4">
        <f t="shared" si="15"/>
        <v>321126</v>
      </c>
      <c r="O24" s="4">
        <f t="shared" si="15"/>
        <v>506589</v>
      </c>
      <c r="P24" s="4">
        <f t="shared" ref="P24:T24" si="16">P23+P22+P21+P20</f>
        <v>124953</v>
      </c>
      <c r="Q24" s="4">
        <f t="shared" si="16"/>
        <v>469782</v>
      </c>
      <c r="R24" s="4">
        <f t="shared" si="16"/>
        <v>383749</v>
      </c>
      <c r="S24" s="4">
        <f t="shared" si="16"/>
        <v>1485073</v>
      </c>
      <c r="T24" s="4">
        <f t="shared" si="16"/>
        <v>267248.66316640005</v>
      </c>
      <c r="U24" s="4">
        <f>U23+U22+U21+U20</f>
        <v>274511.84663999965</v>
      </c>
      <c r="V24" s="4">
        <v>168323</v>
      </c>
      <c r="W24" s="4">
        <f>X24-V24-U24-T24</f>
        <v>167327.4901936003</v>
      </c>
      <c r="X24" s="4">
        <v>877411</v>
      </c>
      <c r="Y24" s="4">
        <v>34004</v>
      </c>
    </row>
    <row r="25" spans="1:25" ht="14.25" customHeight="1" x14ac:dyDescent="0.35">
      <c r="B25" s="17" t="s">
        <v>63</v>
      </c>
      <c r="C25" s="46">
        <f t="shared" ref="C25:K25" si="17">C24/C7</f>
        <v>5.039928021033542E-2</v>
      </c>
      <c r="D25" s="46">
        <f t="shared" si="17"/>
        <v>0.10809749401188071</v>
      </c>
      <c r="E25" s="46">
        <f t="shared" si="17"/>
        <v>0.3618443027533062</v>
      </c>
      <c r="F25" s="46">
        <f t="shared" si="17"/>
        <v>0.39485781320713859</v>
      </c>
      <c r="G25" s="46">
        <f t="shared" si="17"/>
        <v>0.2819906328696839</v>
      </c>
      <c r="H25" s="46">
        <f t="shared" si="17"/>
        <v>-0.33265026822841387</v>
      </c>
      <c r="I25" s="46">
        <f t="shared" si="17"/>
        <v>-0.16937864298355279</v>
      </c>
      <c r="J25" s="46">
        <f t="shared" si="17"/>
        <v>0.20104921751186966</v>
      </c>
      <c r="K25" s="46">
        <f t="shared" si="17"/>
        <v>9.8566690089232425E-2</v>
      </c>
      <c r="L25" s="46">
        <v>0.29860898470776764</v>
      </c>
      <c r="M25" s="46">
        <f t="shared" ref="M25:Y25" si="18">M24/M7</f>
        <v>0.26834185680566486</v>
      </c>
      <c r="N25" s="46">
        <f t="shared" si="18"/>
        <v>0.103332268237988</v>
      </c>
      <c r="O25" s="46">
        <f t="shared" si="18"/>
        <v>0.39130656437580769</v>
      </c>
      <c r="P25" s="46">
        <f t="shared" si="18"/>
        <v>8.2189050668546981E-2</v>
      </c>
      <c r="Q25" s="46">
        <f t="shared" si="18"/>
        <v>0.23307326163252792</v>
      </c>
      <c r="R25" s="46">
        <f t="shared" si="18"/>
        <v>0.21262888668610022</v>
      </c>
      <c r="S25" s="46">
        <f t="shared" si="18"/>
        <v>0.22381392738416428</v>
      </c>
      <c r="T25" s="46">
        <f t="shared" si="18"/>
        <v>0.14165646567147094</v>
      </c>
      <c r="U25" s="46">
        <f t="shared" si="18"/>
        <v>0.1439692190435608</v>
      </c>
      <c r="V25" s="46">
        <f t="shared" si="18"/>
        <v>8.9004926147614877E-2</v>
      </c>
      <c r="W25" s="46">
        <f t="shared" si="18"/>
        <v>8.9671543431658854E-2</v>
      </c>
      <c r="X25" s="46">
        <f t="shared" si="18"/>
        <v>0.11620558656054406</v>
      </c>
      <c r="Y25" s="46">
        <f t="shared" si="18"/>
        <v>1.8667618237215557E-2</v>
      </c>
    </row>
    <row r="26" spans="1:25" ht="14.25" customHeight="1" x14ac:dyDescent="0.35">
      <c r="B26" s="19"/>
      <c r="C26" s="40"/>
      <c r="D26" s="40"/>
      <c r="E26" s="40"/>
      <c r="F26" s="40"/>
      <c r="G26" s="40"/>
      <c r="H26" s="40"/>
      <c r="I26" s="40"/>
      <c r="J26" s="40"/>
      <c r="K26" s="40"/>
      <c r="L26" s="40"/>
      <c r="M26" s="40"/>
      <c r="N26" s="40"/>
      <c r="O26" s="40"/>
      <c r="P26" s="40"/>
      <c r="Q26" s="40"/>
      <c r="R26" s="40"/>
      <c r="S26" s="40"/>
      <c r="T26" s="40"/>
      <c r="U26" s="40"/>
      <c r="V26" s="40"/>
      <c r="W26" s="40"/>
      <c r="X26" s="40"/>
      <c r="Y26" s="40"/>
    </row>
    <row r="27" spans="1:25" s="12" customFormat="1" ht="15" customHeight="1" x14ac:dyDescent="0.35">
      <c r="B27" s="5" t="s">
        <v>6</v>
      </c>
      <c r="C27" s="4">
        <f>C15</f>
        <v>67098</v>
      </c>
      <c r="D27" s="4">
        <f>D15</f>
        <v>195601</v>
      </c>
      <c r="E27" s="4">
        <f>E15</f>
        <v>70611.369999999981</v>
      </c>
      <c r="F27" s="4">
        <f t="shared" ref="F27:O27" si="19">F15</f>
        <v>77494.524027834545</v>
      </c>
      <c r="G27" s="4">
        <f t="shared" si="19"/>
        <v>117646</v>
      </c>
      <c r="H27" s="4">
        <f t="shared" si="19"/>
        <v>173074.25899999999</v>
      </c>
      <c r="I27" s="4">
        <f t="shared" si="19"/>
        <v>438825</v>
      </c>
      <c r="J27" s="4">
        <f t="shared" si="19"/>
        <v>145792</v>
      </c>
      <c r="K27" s="4">
        <f t="shared" si="19"/>
        <v>226603</v>
      </c>
      <c r="L27" s="4">
        <f t="shared" si="19"/>
        <v>307483</v>
      </c>
      <c r="M27" s="4">
        <f t="shared" si="19"/>
        <v>400798</v>
      </c>
      <c r="N27" s="4">
        <f t="shared" si="19"/>
        <v>1080677</v>
      </c>
      <c r="O27" s="4">
        <f t="shared" si="19"/>
        <v>494861</v>
      </c>
      <c r="P27" s="4">
        <f t="shared" ref="P27:V27" si="20">P15</f>
        <v>587684</v>
      </c>
      <c r="Q27" s="4">
        <f t="shared" si="20"/>
        <v>817405</v>
      </c>
      <c r="R27" s="4">
        <f t="shared" si="20"/>
        <v>591982</v>
      </c>
      <c r="S27" s="4">
        <f t="shared" si="20"/>
        <v>2491932</v>
      </c>
      <c r="T27" s="4">
        <f t="shared" si="20"/>
        <v>643133</v>
      </c>
      <c r="U27" s="4">
        <f t="shared" si="20"/>
        <v>673306.84663999965</v>
      </c>
      <c r="V27" s="4">
        <f t="shared" si="20"/>
        <v>481870.98699000012</v>
      </c>
      <c r="W27" s="4">
        <f t="shared" ref="W27:X27" si="21">W15</f>
        <v>445885.35088000004</v>
      </c>
      <c r="X27" s="4">
        <f t="shared" si="21"/>
        <v>2244196.1845100001</v>
      </c>
      <c r="Y27" s="4">
        <f t="shared" ref="Y27" si="22">Y15</f>
        <v>329196</v>
      </c>
    </row>
    <row r="28" spans="1:25" ht="14.25" customHeight="1" x14ac:dyDescent="0.35">
      <c r="B28" s="17" t="s">
        <v>64</v>
      </c>
      <c r="C28" s="46">
        <f t="shared" ref="C28:X28" si="23">C27/C7</f>
        <v>0.23490489744047557</v>
      </c>
      <c r="D28" s="46">
        <f t="shared" si="23"/>
        <v>0.34602130602916048</v>
      </c>
      <c r="E28" s="46">
        <f t="shared" si="23"/>
        <v>0.30112742033984519</v>
      </c>
      <c r="F28" s="46">
        <f t="shared" si="23"/>
        <v>0.32018892869634985</v>
      </c>
      <c r="G28" s="46">
        <f t="shared" si="23"/>
        <v>0.34610722775306552</v>
      </c>
      <c r="H28" s="46">
        <f t="shared" si="23"/>
        <v>0.41665448094042223</v>
      </c>
      <c r="I28" s="46">
        <f t="shared" si="23"/>
        <v>0.35624117159974672</v>
      </c>
      <c r="J28" s="46">
        <f t="shared" si="23"/>
        <v>0.23893708136598221</v>
      </c>
      <c r="K28" s="46">
        <f t="shared" si="23"/>
        <v>0.34242733337866732</v>
      </c>
      <c r="L28" s="46">
        <f t="shared" si="23"/>
        <v>0.36634994012974864</v>
      </c>
      <c r="M28" s="46">
        <f t="shared" si="23"/>
        <v>0.40222025080685303</v>
      </c>
      <c r="N28" s="46">
        <f t="shared" si="23"/>
        <v>0.3477414025728971</v>
      </c>
      <c r="O28" s="46">
        <f t="shared" si="23"/>
        <v>0.38224745849905262</v>
      </c>
      <c r="P28" s="46">
        <f t="shared" si="23"/>
        <v>0.38655486505401521</v>
      </c>
      <c r="Q28" s="46">
        <f t="shared" si="23"/>
        <v>0.40553969591158556</v>
      </c>
      <c r="R28" s="46">
        <f t="shared" si="23"/>
        <v>0.32800730060068162</v>
      </c>
      <c r="S28" s="46">
        <f t="shared" si="23"/>
        <v>0.37555668151954502</v>
      </c>
      <c r="T28" s="46">
        <f t="shared" si="23"/>
        <v>0.34089580339627384</v>
      </c>
      <c r="U28" s="46">
        <f t="shared" si="23"/>
        <v>0.35311940841142064</v>
      </c>
      <c r="V28" s="46">
        <f t="shared" si="23"/>
        <v>0.25480113596907877</v>
      </c>
      <c r="W28" s="46">
        <f t="shared" si="23"/>
        <v>0.23895193527802994</v>
      </c>
      <c r="X28" s="46">
        <f t="shared" si="23"/>
        <v>0.29722460053261185</v>
      </c>
      <c r="Y28" s="46">
        <f t="shared" ref="Y28" si="24">Y27/Y7</f>
        <v>0.18072301062282123</v>
      </c>
    </row>
    <row r="29" spans="1:25" s="12" customFormat="1" ht="15" customHeight="1" x14ac:dyDescent="0.35">
      <c r="A29" s="65" t="s">
        <v>128</v>
      </c>
      <c r="B29" s="5" t="s">
        <v>3</v>
      </c>
      <c r="C29" s="31">
        <v>78219</v>
      </c>
      <c r="D29" s="31">
        <v>212614.28200000001</v>
      </c>
      <c r="E29" s="31">
        <v>79381.493748251407</v>
      </c>
      <c r="F29" s="31">
        <v>86661.878251748567</v>
      </c>
      <c r="G29" s="31">
        <v>129484.73352735231</v>
      </c>
      <c r="H29" s="31">
        <v>184994</v>
      </c>
      <c r="I29" s="31">
        <v>480522</v>
      </c>
      <c r="J29" s="31">
        <v>170730.84004923279</v>
      </c>
      <c r="K29" s="31">
        <v>244134.22607574097</v>
      </c>
      <c r="L29" s="31">
        <v>325091.18347835477</v>
      </c>
      <c r="M29" s="31">
        <v>420123</v>
      </c>
      <c r="N29" s="31">
        <v>1160080</v>
      </c>
      <c r="O29" s="31">
        <v>526202</v>
      </c>
      <c r="P29" s="31">
        <v>616978</v>
      </c>
      <c r="Q29" s="31">
        <v>852664</v>
      </c>
      <c r="R29" s="31">
        <v>625923</v>
      </c>
      <c r="S29" s="31">
        <v>2621767</v>
      </c>
      <c r="T29" s="31">
        <v>675996.87303999986</v>
      </c>
      <c r="U29" s="31">
        <v>707433.84663999965</v>
      </c>
      <c r="V29" s="31">
        <v>519503.09030712384</v>
      </c>
      <c r="W29" s="31">
        <v>489163.37452287646</v>
      </c>
      <c r="X29" s="31">
        <v>2392097.1845100001</v>
      </c>
      <c r="Y29" s="31">
        <v>377102</v>
      </c>
    </row>
    <row r="30" spans="1:25" ht="14.25" customHeight="1" x14ac:dyDescent="0.35">
      <c r="B30" s="17" t="s">
        <v>65</v>
      </c>
      <c r="C30" s="46">
        <f t="shared" ref="C30:X30" si="25">C29/C7</f>
        <v>0.27383865648598404</v>
      </c>
      <c r="D30" s="46">
        <f t="shared" si="25"/>
        <v>0.37611807474446562</v>
      </c>
      <c r="E30" s="46">
        <f t="shared" si="25"/>
        <v>0.33852826301393818</v>
      </c>
      <c r="F30" s="46">
        <f t="shared" si="25"/>
        <v>0.35806625441397977</v>
      </c>
      <c r="G30" s="46">
        <f t="shared" si="25"/>
        <v>0.38093604676313958</v>
      </c>
      <c r="H30" s="46">
        <f t="shared" si="25"/>
        <v>0.44534975618235911</v>
      </c>
      <c r="I30" s="46">
        <f t="shared" si="25"/>
        <v>0.3900910847364063</v>
      </c>
      <c r="J30" s="46">
        <f t="shared" si="25"/>
        <v>0.27980910214913046</v>
      </c>
      <c r="K30" s="46">
        <f t="shared" si="25"/>
        <v>0.36891935244273327</v>
      </c>
      <c r="L30" s="46">
        <f t="shared" si="25"/>
        <v>0.3873291713818468</v>
      </c>
      <c r="M30" s="46">
        <f t="shared" si="25"/>
        <v>0.4216138264904703</v>
      </c>
      <c r="N30" s="46">
        <f t="shared" si="25"/>
        <v>0.37329178496143295</v>
      </c>
      <c r="O30" s="46">
        <f t="shared" si="25"/>
        <v>0.40645631229197388</v>
      </c>
      <c r="P30" s="46">
        <f t="shared" si="25"/>
        <v>0.405823278379701</v>
      </c>
      <c r="Q30" s="46">
        <f t="shared" si="25"/>
        <v>0.42303276744668333</v>
      </c>
      <c r="R30" s="46">
        <f t="shared" si="25"/>
        <v>0.34681343962127303</v>
      </c>
      <c r="S30" s="46">
        <f t="shared" si="25"/>
        <v>0.3951239898349766</v>
      </c>
      <c r="T30" s="46">
        <f t="shared" si="25"/>
        <v>0.35831546060976449</v>
      </c>
      <c r="U30" s="46">
        <f t="shared" si="25"/>
        <v>0.37101749768675502</v>
      </c>
      <c r="V30" s="46">
        <f t="shared" si="25"/>
        <v>0.27470003615812016</v>
      </c>
      <c r="W30" s="46">
        <f t="shared" si="25"/>
        <v>0.26214481991544608</v>
      </c>
      <c r="X30" s="46">
        <f t="shared" si="25"/>
        <v>0.31681282367762714</v>
      </c>
      <c r="Y30" s="46">
        <f t="shared" ref="Y30" si="26">Y29/Y7</f>
        <v>0.20702259065081935</v>
      </c>
    </row>
    <row r="31" spans="1:25" ht="14.25" customHeight="1" x14ac:dyDescent="0.35">
      <c r="B31" s="19"/>
      <c r="C31" s="19"/>
      <c r="D31" s="19"/>
      <c r="E31" s="19"/>
      <c r="F31" s="19"/>
      <c r="G31" s="19"/>
      <c r="H31" s="19"/>
      <c r="I31" s="19"/>
      <c r="J31" s="19"/>
      <c r="K31" s="19"/>
      <c r="L31" s="19"/>
      <c r="M31" s="59"/>
      <c r="N31" s="59"/>
    </row>
    <row r="32" spans="1:25" ht="14.25" customHeight="1" x14ac:dyDescent="0.35">
      <c r="B32" s="16"/>
      <c r="C32" s="80"/>
      <c r="D32" s="80"/>
      <c r="E32" s="80"/>
      <c r="F32" s="80"/>
      <c r="G32" s="80"/>
      <c r="H32" s="80"/>
      <c r="I32" s="80"/>
      <c r="J32" s="80"/>
      <c r="K32" s="80"/>
      <c r="L32" s="80"/>
      <c r="M32" s="80"/>
      <c r="N32" s="80"/>
      <c r="O32" s="80"/>
      <c r="P32" s="80"/>
      <c r="Q32" s="80"/>
      <c r="R32" s="80"/>
      <c r="S32" s="80"/>
      <c r="T32" s="80"/>
      <c r="U32" s="80"/>
      <c r="V32" s="80"/>
      <c r="W32" s="80"/>
      <c r="X32" s="80"/>
      <c r="Y32" s="80"/>
    </row>
    <row r="33" spans="2:25" ht="14.25" customHeight="1" x14ac:dyDescent="0.35">
      <c r="B33" s="19"/>
      <c r="C33" s="80"/>
      <c r="D33" s="80"/>
      <c r="E33" s="80"/>
      <c r="F33" s="80"/>
      <c r="G33" s="80"/>
      <c r="H33" s="80"/>
      <c r="I33" s="80"/>
      <c r="J33" s="80"/>
      <c r="K33" s="80"/>
      <c r="L33" s="80"/>
      <c r="M33" s="80"/>
      <c r="N33" s="80"/>
      <c r="O33" s="80"/>
      <c r="P33" s="80"/>
      <c r="Q33" s="80"/>
      <c r="R33" s="80"/>
      <c r="S33" s="80"/>
      <c r="T33" s="80"/>
      <c r="U33" s="80"/>
      <c r="V33" s="80"/>
      <c r="W33" s="80"/>
      <c r="X33" s="80"/>
      <c r="Y33" s="80"/>
    </row>
    <row r="34" spans="2:25" x14ac:dyDescent="0.35">
      <c r="C34" s="80"/>
      <c r="D34" s="80"/>
      <c r="E34" s="80"/>
      <c r="F34" s="80"/>
      <c r="G34" s="80"/>
      <c r="H34" s="80"/>
      <c r="I34" s="80"/>
      <c r="J34" s="80"/>
      <c r="K34" s="80"/>
      <c r="L34" s="80"/>
      <c r="M34" s="80"/>
      <c r="N34" s="80"/>
      <c r="O34" s="80"/>
      <c r="P34" s="80"/>
      <c r="Q34" s="80"/>
      <c r="R34" s="80"/>
      <c r="S34" s="80"/>
      <c r="T34" s="80"/>
      <c r="U34" s="80"/>
      <c r="V34" s="80"/>
      <c r="W34" s="80"/>
      <c r="X34" s="80"/>
      <c r="Y34" s="80"/>
    </row>
    <row r="35" spans="2:25" x14ac:dyDescent="0.35">
      <c r="C35" s="80"/>
      <c r="D35" s="80"/>
      <c r="E35" s="80"/>
      <c r="F35" s="80"/>
      <c r="G35" s="80"/>
      <c r="H35" s="80"/>
      <c r="I35" s="80"/>
      <c r="J35" s="80"/>
      <c r="K35" s="80"/>
      <c r="L35" s="80"/>
      <c r="M35" s="80"/>
      <c r="N35" s="80"/>
      <c r="O35" s="80"/>
      <c r="P35" s="80"/>
      <c r="Q35" s="80"/>
      <c r="R35" s="80"/>
      <c r="S35" s="80"/>
      <c r="T35" s="80"/>
      <c r="U35" s="80"/>
      <c r="V35" s="80"/>
      <c r="W35" s="80"/>
      <c r="X35" s="80"/>
      <c r="Y35" s="80"/>
    </row>
    <row r="36" spans="2:25" x14ac:dyDescent="0.35">
      <c r="C36" s="80"/>
      <c r="D36" s="80"/>
      <c r="E36" s="80"/>
      <c r="F36" s="80"/>
      <c r="G36" s="80"/>
      <c r="H36" s="80"/>
      <c r="I36" s="80"/>
      <c r="J36" s="80"/>
      <c r="K36" s="80"/>
      <c r="L36" s="80"/>
      <c r="M36" s="80"/>
      <c r="N36" s="80"/>
      <c r="O36" s="80"/>
      <c r="P36" s="80"/>
      <c r="Q36" s="80"/>
      <c r="R36" s="80"/>
      <c r="S36" s="80"/>
      <c r="T36" s="80"/>
      <c r="U36" s="80"/>
      <c r="V36" s="80"/>
      <c r="W36" s="80"/>
      <c r="X36" s="80"/>
      <c r="Y36" s="80"/>
    </row>
  </sheetData>
  <mergeCells count="24">
    <mergeCell ref="C5:C6"/>
    <mergeCell ref="M5:M6"/>
    <mergeCell ref="N5:N6"/>
    <mergeCell ref="D5:D6"/>
    <mergeCell ref="K5:K6"/>
    <mergeCell ref="E5:E6"/>
    <mergeCell ref="F5:F6"/>
    <mergeCell ref="G5:G6"/>
    <mergeCell ref="H5:H6"/>
    <mergeCell ref="I5:I6"/>
    <mergeCell ref="J5:J6"/>
    <mergeCell ref="L5:L6"/>
    <mergeCell ref="Y5:Y6"/>
    <mergeCell ref="S2:Y3"/>
    <mergeCell ref="P5:P6"/>
    <mergeCell ref="O5:O6"/>
    <mergeCell ref="R5:R6"/>
    <mergeCell ref="U5:U6"/>
    <mergeCell ref="T5:T6"/>
    <mergeCell ref="Q5:Q6"/>
    <mergeCell ref="S5:S6"/>
    <mergeCell ref="V5:V6"/>
    <mergeCell ref="W5:W6"/>
    <mergeCell ref="X5:X6"/>
  </mergeCells>
  <pageMargins left="0.7" right="0.7" top="0.75" bottom="0.75" header="0.3" footer="0.3"/>
  <pageSetup paperSize="9" orientation="portrait" r:id="rId1"/>
  <ignoredErrors>
    <ignoredError sqref="M25:M26 M28 M3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E5A5D-55C5-48A9-9439-E6C655AE39CC}">
  <sheetPr>
    <tabColor rgb="FF1B7754"/>
    <outlinePr summaryBelow="0"/>
  </sheetPr>
  <dimension ref="B2:AR68"/>
  <sheetViews>
    <sheetView showGridLines="0" zoomScaleNormal="100" workbookViewId="0"/>
  </sheetViews>
  <sheetFormatPr defaultColWidth="9.140625" defaultRowHeight="14.25" customHeight="1" x14ac:dyDescent="0.35"/>
  <cols>
    <col min="1" max="1" width="1.7109375" style="2" customWidth="1"/>
    <col min="2" max="2" width="55.28515625" style="2" bestFit="1" customWidth="1"/>
    <col min="3" max="11" width="10.5703125" style="2" customWidth="1"/>
    <col min="12" max="12" width="10.5703125" customWidth="1"/>
    <col min="13" max="13" width="10.5703125" customWidth="1" collapsed="1"/>
    <col min="14" max="17" width="10.5703125" customWidth="1"/>
    <col min="18" max="18" width="11.28515625" customWidth="1"/>
    <col min="19" max="44" width="10.5703125" customWidth="1"/>
    <col min="45" max="45" width="10.7109375" style="2" customWidth="1"/>
    <col min="46" max="16384" width="9.140625" style="2"/>
  </cols>
  <sheetData>
    <row r="2" spans="2:44" ht="14.25" customHeight="1" x14ac:dyDescent="0.35">
      <c r="O2" s="100" t="s">
        <v>224</v>
      </c>
      <c r="P2" s="100"/>
      <c r="Q2" s="100"/>
      <c r="R2" s="100"/>
      <c r="S2" s="100"/>
      <c r="T2" s="100"/>
      <c r="U2" s="100"/>
    </row>
    <row r="3" spans="2:44" ht="14.25" customHeight="1" x14ac:dyDescent="0.35">
      <c r="O3" s="100"/>
      <c r="P3" s="100"/>
      <c r="Q3" s="100"/>
      <c r="R3" s="100"/>
      <c r="S3" s="100"/>
      <c r="T3" s="100"/>
      <c r="U3" s="100"/>
    </row>
    <row r="5" spans="2:44" s="3" customFormat="1" ht="14.25" customHeight="1" x14ac:dyDescent="0.25">
      <c r="B5" s="83" t="s">
        <v>144</v>
      </c>
      <c r="C5" s="99" t="s">
        <v>163</v>
      </c>
      <c r="D5" s="99" t="s">
        <v>158</v>
      </c>
      <c r="E5" s="99" t="s">
        <v>9</v>
      </c>
      <c r="F5" s="99" t="s">
        <v>0</v>
      </c>
      <c r="G5" s="99" t="s">
        <v>5</v>
      </c>
      <c r="H5" s="99" t="s">
        <v>152</v>
      </c>
      <c r="I5" s="99" t="s">
        <v>13</v>
      </c>
      <c r="J5" s="99" t="s">
        <v>1</v>
      </c>
      <c r="K5" s="99" t="s">
        <v>132</v>
      </c>
      <c r="L5" s="99" t="s">
        <v>154</v>
      </c>
      <c r="M5" s="99" t="s">
        <v>162</v>
      </c>
      <c r="N5" s="99" t="s">
        <v>191</v>
      </c>
      <c r="O5" s="99" t="s">
        <v>203</v>
      </c>
      <c r="P5" s="99" t="s">
        <v>214</v>
      </c>
      <c r="Q5" s="99" t="s">
        <v>222</v>
      </c>
      <c r="R5" s="99" t="s">
        <v>226</v>
      </c>
      <c r="S5" s="99" t="s">
        <v>259</v>
      </c>
      <c r="T5" s="99" t="s">
        <v>265</v>
      </c>
      <c r="U5" s="99" t="s">
        <v>281</v>
      </c>
      <c r="V5"/>
      <c r="W5" s="99" t="s">
        <v>9</v>
      </c>
      <c r="X5" s="99" t="s">
        <v>10</v>
      </c>
      <c r="Y5" s="99" t="s">
        <v>11</v>
      </c>
      <c r="Z5" s="99" t="s">
        <v>12</v>
      </c>
      <c r="AA5" s="99" t="s">
        <v>13</v>
      </c>
      <c r="AB5" s="99" t="s">
        <v>14</v>
      </c>
      <c r="AC5" s="99" t="s">
        <v>131</v>
      </c>
      <c r="AD5" s="99" t="s">
        <v>155</v>
      </c>
      <c r="AE5" s="99" t="str">
        <f>M5</f>
        <v>1Q22</v>
      </c>
      <c r="AF5" s="99" t="s">
        <v>190</v>
      </c>
      <c r="AG5" s="99" t="s">
        <v>202</v>
      </c>
      <c r="AH5" s="99" t="s">
        <v>215</v>
      </c>
      <c r="AI5" s="99" t="s">
        <v>222</v>
      </c>
      <c r="AJ5" s="99" t="s">
        <v>225</v>
      </c>
      <c r="AK5" s="99" t="s">
        <v>257</v>
      </c>
      <c r="AL5" s="99" t="s">
        <v>266</v>
      </c>
      <c r="AM5" s="99" t="s">
        <v>281</v>
      </c>
      <c r="AN5"/>
      <c r="AO5" s="99" t="s">
        <v>161</v>
      </c>
      <c r="AP5" s="99" t="s">
        <v>160</v>
      </c>
      <c r="AQ5" s="99" t="s">
        <v>216</v>
      </c>
      <c r="AR5" s="99" t="s">
        <v>267</v>
      </c>
    </row>
    <row r="6" spans="2:44" s="3" customFormat="1" ht="14.25" customHeight="1" x14ac:dyDescent="0.25">
      <c r="B6" s="84" t="s">
        <v>113</v>
      </c>
      <c r="C6" s="99"/>
      <c r="D6" s="99"/>
      <c r="E6" s="99"/>
      <c r="F6" s="99"/>
      <c r="G6" s="99"/>
      <c r="H6" s="99"/>
      <c r="I6" s="99"/>
      <c r="J6" s="99"/>
      <c r="K6" s="99"/>
      <c r="L6" s="99"/>
      <c r="M6" s="99"/>
      <c r="N6" s="99"/>
      <c r="O6" s="99"/>
      <c r="P6" s="99"/>
      <c r="Q6" s="99"/>
      <c r="R6" s="99"/>
      <c r="S6" s="99"/>
      <c r="T6" s="99"/>
      <c r="U6" s="99"/>
      <c r="V6"/>
      <c r="W6" s="99"/>
      <c r="X6" s="99"/>
      <c r="Y6" s="99"/>
      <c r="Z6" s="99"/>
      <c r="AA6" s="99"/>
      <c r="AB6" s="99"/>
      <c r="AC6" s="99"/>
      <c r="AD6" s="99"/>
      <c r="AE6" s="99"/>
      <c r="AF6" s="99"/>
      <c r="AG6" s="99"/>
      <c r="AH6" s="99"/>
      <c r="AI6" s="99"/>
      <c r="AJ6" s="99"/>
      <c r="AK6" s="99"/>
      <c r="AL6" s="99"/>
      <c r="AM6" s="99"/>
      <c r="AN6"/>
      <c r="AO6" s="99"/>
      <c r="AP6" s="99"/>
      <c r="AQ6" s="99"/>
      <c r="AR6" s="99"/>
    </row>
    <row r="7" spans="2:44" ht="14.1" customHeight="1" x14ac:dyDescent="0.35">
      <c r="B7" s="5" t="s">
        <v>62</v>
      </c>
      <c r="C7" s="4">
        <v>14396</v>
      </c>
      <c r="D7" s="4">
        <v>61106</v>
      </c>
      <c r="E7" s="4">
        <v>50735.654999999977</v>
      </c>
      <c r="F7" s="4">
        <v>-14458.026</v>
      </c>
      <c r="G7" s="4">
        <v>81392</v>
      </c>
      <c r="H7" s="4">
        <v>-208644</v>
      </c>
      <c r="I7" s="4">
        <v>-53434</v>
      </c>
      <c r="J7" s="4">
        <v>65284</v>
      </c>
      <c r="K7" s="4">
        <v>315911</v>
      </c>
      <c r="L7" s="4">
        <f>'Statement of income'!N24</f>
        <v>321126</v>
      </c>
      <c r="M7" s="4">
        <f>'Statement of income'!O24</f>
        <v>506589</v>
      </c>
      <c r="N7" s="4">
        <v>631542</v>
      </c>
      <c r="O7" s="4">
        <v>1101324</v>
      </c>
      <c r="P7" s="4">
        <v>1485073</v>
      </c>
      <c r="Q7" s="4">
        <v>267248.53620639991</v>
      </c>
      <c r="R7" s="4">
        <v>541565.84663999965</v>
      </c>
      <c r="S7" s="4">
        <v>709880.83363000024</v>
      </c>
      <c r="T7" s="4">
        <v>877411.18451000005</v>
      </c>
      <c r="U7" s="4">
        <v>34004</v>
      </c>
      <c r="W7" s="4">
        <f>E7</f>
        <v>50735.654999999977</v>
      </c>
      <c r="X7" s="4">
        <f>F7-E7</f>
        <v>-65193.680999999975</v>
      </c>
      <c r="Y7" s="4">
        <f>G7-F7</f>
        <v>95850.025999999998</v>
      </c>
      <c r="Z7" s="4">
        <f>H7-G7</f>
        <v>-290036</v>
      </c>
      <c r="AA7" s="4">
        <f>I7</f>
        <v>-53434</v>
      </c>
      <c r="AB7" s="4">
        <f>J7-I7</f>
        <v>118718</v>
      </c>
      <c r="AC7" s="4">
        <f>K7-J7</f>
        <v>250627</v>
      </c>
      <c r="AD7" s="4">
        <f>L7-K7</f>
        <v>5215</v>
      </c>
      <c r="AE7" s="4">
        <f>M7</f>
        <v>506589</v>
      </c>
      <c r="AF7" s="4">
        <f>N7-M7</f>
        <v>124953</v>
      </c>
      <c r="AG7" s="4">
        <f>O7-N7</f>
        <v>469782</v>
      </c>
      <c r="AH7" s="4">
        <f>P7-O7</f>
        <v>383749</v>
      </c>
      <c r="AI7" s="4">
        <f>Q7</f>
        <v>267248.53620639991</v>
      </c>
      <c r="AJ7" s="4">
        <f>R7-Q7</f>
        <v>274317.31043359975</v>
      </c>
      <c r="AK7" s="4">
        <f>S7-R7</f>
        <v>168314.98699000059</v>
      </c>
      <c r="AL7" s="4">
        <f>T7-S7</f>
        <v>167530.35087999981</v>
      </c>
      <c r="AM7" s="4">
        <f t="shared" ref="AM7:AM36" si="0">U7</f>
        <v>34004</v>
      </c>
      <c r="AO7" s="4">
        <f>H7-D7</f>
        <v>-269750</v>
      </c>
      <c r="AP7" s="4">
        <f>L7-H7</f>
        <v>529770</v>
      </c>
      <c r="AQ7" s="4">
        <f>P7-L7</f>
        <v>1163947</v>
      </c>
      <c r="AR7" s="4">
        <f>T7-P7</f>
        <v>-607661.81548999995</v>
      </c>
    </row>
    <row r="8" spans="2:44" ht="14.25" customHeight="1" x14ac:dyDescent="0.35">
      <c r="B8" s="6" t="s">
        <v>66</v>
      </c>
      <c r="C8" s="30"/>
      <c r="D8" s="34"/>
      <c r="E8" s="34"/>
      <c r="F8" s="34"/>
      <c r="G8" s="34"/>
      <c r="H8" s="34"/>
      <c r="I8" s="34"/>
      <c r="J8" s="34"/>
      <c r="K8" s="34"/>
      <c r="L8" s="34"/>
      <c r="M8" s="34"/>
      <c r="N8" s="34"/>
      <c r="O8" s="34"/>
      <c r="P8" s="34"/>
      <c r="Q8" s="30"/>
      <c r="R8" s="30"/>
      <c r="S8" s="30"/>
      <c r="T8" s="30"/>
      <c r="U8" s="30"/>
      <c r="W8" s="34"/>
      <c r="X8" s="34"/>
      <c r="Y8" s="34"/>
      <c r="Z8" s="34"/>
      <c r="AA8" s="34"/>
      <c r="AB8" s="34"/>
      <c r="AC8" s="34"/>
      <c r="AD8" s="34"/>
      <c r="AE8" s="34"/>
      <c r="AF8" s="34"/>
      <c r="AG8" s="34"/>
      <c r="AH8" s="34"/>
      <c r="AI8" s="34"/>
      <c r="AJ8" s="30"/>
      <c r="AK8" s="30"/>
      <c r="AL8" s="30"/>
      <c r="AM8" s="30">
        <f t="shared" si="0"/>
        <v>0</v>
      </c>
      <c r="AO8" s="34"/>
      <c r="AP8" s="34"/>
      <c r="AQ8" s="34"/>
      <c r="AR8" s="34"/>
    </row>
    <row r="9" spans="2:44" ht="14.25" customHeight="1" x14ac:dyDescent="0.35">
      <c r="B9" s="7" t="s">
        <v>299</v>
      </c>
      <c r="C9" s="45">
        <v>11121</v>
      </c>
      <c r="D9" s="45">
        <v>17013</v>
      </c>
      <c r="E9" s="45">
        <v>8770.1217482514403</v>
      </c>
      <c r="F9" s="45">
        <v>17937</v>
      </c>
      <c r="G9" s="45">
        <v>29776.566945462251</v>
      </c>
      <c r="H9" s="45">
        <v>41696.552072974038</v>
      </c>
      <c r="I9" s="45">
        <v>24938.840049232793</v>
      </c>
      <c r="J9" s="45">
        <v>42470.066124973768</v>
      </c>
      <c r="K9" s="45">
        <v>60078</v>
      </c>
      <c r="L9" s="45">
        <v>79403</v>
      </c>
      <c r="M9" s="45">
        <v>31341</v>
      </c>
      <c r="N9" s="45">
        <v>60635</v>
      </c>
      <c r="O9" s="45">
        <v>95894</v>
      </c>
      <c r="P9" s="45">
        <v>129835</v>
      </c>
      <c r="Q9" s="45">
        <v>32864</v>
      </c>
      <c r="R9" s="45">
        <v>66991</v>
      </c>
      <c r="S9" s="45">
        <v>104623.10331712374</v>
      </c>
      <c r="T9" s="45">
        <v>147901</v>
      </c>
      <c r="U9" s="45">
        <v>47906</v>
      </c>
      <c r="V9" s="55"/>
      <c r="W9" s="45">
        <f t="shared" ref="W9:W21" si="1">E9</f>
        <v>8770.1217482514403</v>
      </c>
      <c r="X9" s="45">
        <f t="shared" ref="X9:X21" si="2">F9-E9</f>
        <v>9166.8782517485597</v>
      </c>
      <c r="Y9" s="45">
        <f t="shared" ref="Y9:Y21" si="3">G9-F9</f>
        <v>11839.566945462251</v>
      </c>
      <c r="Z9" s="45">
        <f t="shared" ref="Z9:Z20" si="4">H9-G9</f>
        <v>11919.985127511787</v>
      </c>
      <c r="AA9" s="45">
        <f t="shared" ref="AA9:AA20" si="5">I9</f>
        <v>24938.840049232793</v>
      </c>
      <c r="AB9" s="45">
        <f t="shared" ref="AB9:AD15" si="6">J9-I9</f>
        <v>17531.226075740975</v>
      </c>
      <c r="AC9" s="45">
        <f t="shared" si="6"/>
        <v>17607.933875026232</v>
      </c>
      <c r="AD9" s="45">
        <f t="shared" si="6"/>
        <v>19325</v>
      </c>
      <c r="AE9" s="45">
        <f t="shared" ref="AE9:AE20" si="7">M9</f>
        <v>31341</v>
      </c>
      <c r="AF9" s="45">
        <f t="shared" ref="AF9:AF20" si="8">N9-M9</f>
        <v>29294</v>
      </c>
      <c r="AG9" s="45">
        <f t="shared" ref="AG9:AG20" si="9">O9-N9</f>
        <v>35259</v>
      </c>
      <c r="AH9" s="45">
        <f t="shared" ref="AH9:AH20" si="10">P9-O9</f>
        <v>33941</v>
      </c>
      <c r="AI9" s="45">
        <f t="shared" ref="AI9:AI63" si="11">Q9</f>
        <v>32864</v>
      </c>
      <c r="AJ9" s="45">
        <f>R9-Q9</f>
        <v>34127</v>
      </c>
      <c r="AK9" s="45">
        <f t="shared" ref="AK9:AK20" si="12">S9-R9</f>
        <v>37632.103317123736</v>
      </c>
      <c r="AL9" s="45">
        <f t="shared" ref="AL9:AL20" si="13">T9-S9</f>
        <v>43277.896682876264</v>
      </c>
      <c r="AM9" s="45">
        <f t="shared" si="0"/>
        <v>47906</v>
      </c>
      <c r="AO9" s="45">
        <f t="shared" ref="AO9:AO20" si="14">H9-D9</f>
        <v>24683.552072974038</v>
      </c>
      <c r="AP9" s="45">
        <f t="shared" ref="AP9:AP15" si="15">L9-H9</f>
        <v>37706.447927025962</v>
      </c>
      <c r="AQ9" s="45">
        <f t="shared" ref="AQ9:AQ20" si="16">P9-L9</f>
        <v>50432</v>
      </c>
      <c r="AR9" s="45">
        <f t="shared" ref="AR9:AR63" si="17">T9-P9</f>
        <v>18066</v>
      </c>
    </row>
    <row r="10" spans="2:44" ht="15" customHeight="1" x14ac:dyDescent="0.35">
      <c r="B10" s="7" t="s">
        <v>67</v>
      </c>
      <c r="C10" s="45">
        <v>-2311</v>
      </c>
      <c r="D10" s="45">
        <v>0</v>
      </c>
      <c r="E10" s="45">
        <v>0</v>
      </c>
      <c r="F10" s="45">
        <v>0</v>
      </c>
      <c r="G10" s="45">
        <v>0</v>
      </c>
      <c r="H10" s="45">
        <v>0</v>
      </c>
      <c r="I10" s="45">
        <v>0</v>
      </c>
      <c r="J10" s="45">
        <v>0</v>
      </c>
      <c r="K10" s="45">
        <v>0</v>
      </c>
      <c r="L10" s="45">
        <v>-98939</v>
      </c>
      <c r="M10" s="45">
        <v>-97862</v>
      </c>
      <c r="N10" s="45">
        <v>-190588</v>
      </c>
      <c r="O10" s="30">
        <v>-303767</v>
      </c>
      <c r="P10" s="30">
        <v>-400347</v>
      </c>
      <c r="Q10" s="30">
        <v>-82450</v>
      </c>
      <c r="R10" s="74">
        <v>-212915</v>
      </c>
      <c r="S10" s="30">
        <v>-477128</v>
      </c>
      <c r="T10" s="30">
        <v>-776539</v>
      </c>
      <c r="U10" s="30">
        <v>27347</v>
      </c>
      <c r="W10" s="45">
        <f t="shared" si="1"/>
        <v>0</v>
      </c>
      <c r="X10" s="45">
        <f t="shared" si="2"/>
        <v>0</v>
      </c>
      <c r="Y10" s="45">
        <f t="shared" si="3"/>
        <v>0</v>
      </c>
      <c r="Z10" s="45">
        <f>H10-G10</f>
        <v>0</v>
      </c>
      <c r="AA10" s="45">
        <f>I10</f>
        <v>0</v>
      </c>
      <c r="AB10" s="45">
        <f t="shared" ref="AB10:AD11" si="18">J10-I10</f>
        <v>0</v>
      </c>
      <c r="AC10" s="45">
        <f t="shared" si="18"/>
        <v>0</v>
      </c>
      <c r="AD10" s="45">
        <f t="shared" si="18"/>
        <v>-98939</v>
      </c>
      <c r="AE10" s="45">
        <f>M10</f>
        <v>-97862</v>
      </c>
      <c r="AF10" s="45">
        <f t="shared" ref="AF10:AH11" si="19">N10-M10</f>
        <v>-92726</v>
      </c>
      <c r="AG10" s="45">
        <f t="shared" si="19"/>
        <v>-113179</v>
      </c>
      <c r="AH10" s="45">
        <f t="shared" si="19"/>
        <v>-96580</v>
      </c>
      <c r="AI10" s="45">
        <f t="shared" si="11"/>
        <v>-82450</v>
      </c>
      <c r="AJ10" s="45">
        <f>R10-Q10</f>
        <v>-130465</v>
      </c>
      <c r="AK10" s="45">
        <f>S10-R10</f>
        <v>-264213</v>
      </c>
      <c r="AL10" s="45">
        <f>T10-S10</f>
        <v>-299411</v>
      </c>
      <c r="AM10" s="45">
        <f>U10</f>
        <v>27347</v>
      </c>
      <c r="AO10" s="45">
        <f>H10-D10</f>
        <v>0</v>
      </c>
      <c r="AP10" s="45">
        <f>L10-H10</f>
        <v>-98939</v>
      </c>
      <c r="AQ10" s="45">
        <f>P10-L10</f>
        <v>-301408</v>
      </c>
      <c r="AR10" s="45">
        <f>T10-P10</f>
        <v>-376192</v>
      </c>
    </row>
    <row r="11" spans="2:44" ht="15" customHeight="1" x14ac:dyDescent="0.35">
      <c r="B11" s="7" t="s">
        <v>283</v>
      </c>
      <c r="C11" s="45">
        <v>16216</v>
      </c>
      <c r="D11" s="45">
        <v>29333</v>
      </c>
      <c r="E11" s="45">
        <v>15875.356539999999</v>
      </c>
      <c r="F11" s="45">
        <v>36017</v>
      </c>
      <c r="G11" s="45">
        <v>54864.468903560635</v>
      </c>
      <c r="H11" s="45">
        <v>105676.90910856059</v>
      </c>
      <c r="I11" s="45">
        <v>67693</v>
      </c>
      <c r="J11" s="45">
        <v>143973.47881999999</v>
      </c>
      <c r="K11" s="45">
        <v>215850.1599</v>
      </c>
      <c r="L11" s="45">
        <v>384410</v>
      </c>
      <c r="M11" s="45">
        <v>178380</v>
      </c>
      <c r="N11" s="45">
        <v>362046</v>
      </c>
      <c r="O11" s="30">
        <v>592297</v>
      </c>
      <c r="P11" s="30">
        <v>826580</v>
      </c>
      <c r="Q11" s="30">
        <v>264333</v>
      </c>
      <c r="R11" s="74">
        <v>513271</v>
      </c>
      <c r="S11" s="30">
        <v>782581</v>
      </c>
      <c r="T11" s="30">
        <v>1073677</v>
      </c>
      <c r="U11" s="30">
        <v>309947</v>
      </c>
      <c r="W11" s="45">
        <f t="shared" si="1"/>
        <v>15875.356539999999</v>
      </c>
      <c r="X11" s="45">
        <f t="shared" si="2"/>
        <v>20141.643459999999</v>
      </c>
      <c r="Y11" s="45">
        <f t="shared" si="3"/>
        <v>18847.468903560635</v>
      </c>
      <c r="Z11" s="45">
        <f>H11-G11</f>
        <v>50812.440204999955</v>
      </c>
      <c r="AA11" s="45">
        <f>I11</f>
        <v>67693</v>
      </c>
      <c r="AB11" s="45">
        <f t="shared" si="18"/>
        <v>76280.478819999989</v>
      </c>
      <c r="AC11" s="45">
        <f t="shared" si="18"/>
        <v>71876.681080000009</v>
      </c>
      <c r="AD11" s="45">
        <f t="shared" si="18"/>
        <v>168559.8401</v>
      </c>
      <c r="AE11" s="45">
        <f>M11</f>
        <v>178380</v>
      </c>
      <c r="AF11" s="45">
        <f t="shared" si="19"/>
        <v>183666</v>
      </c>
      <c r="AG11" s="45">
        <f t="shared" si="19"/>
        <v>230251</v>
      </c>
      <c r="AH11" s="45">
        <f t="shared" si="19"/>
        <v>234283</v>
      </c>
      <c r="AI11" s="45">
        <f t="shared" si="11"/>
        <v>264333</v>
      </c>
      <c r="AJ11" s="45">
        <f t="shared" ref="AJ11:AJ39" si="20">R11-Q11</f>
        <v>248938</v>
      </c>
      <c r="AK11" s="45">
        <f>S11-R11</f>
        <v>269310</v>
      </c>
      <c r="AL11" s="45">
        <f>T11-S11</f>
        <v>291096</v>
      </c>
      <c r="AM11" s="45">
        <f>U11</f>
        <v>309947</v>
      </c>
      <c r="AO11" s="45">
        <f>H11-D11</f>
        <v>76343.909108560591</v>
      </c>
      <c r="AP11" s="45">
        <f>L11-H11</f>
        <v>278733.09089143941</v>
      </c>
      <c r="AQ11" s="45">
        <f>P11-L11</f>
        <v>442170</v>
      </c>
      <c r="AR11" s="45">
        <f>T11-P11</f>
        <v>247097</v>
      </c>
    </row>
    <row r="12" spans="2:44" ht="14.25" customHeight="1" x14ac:dyDescent="0.35">
      <c r="B12" s="7" t="s">
        <v>60</v>
      </c>
      <c r="C12" s="45">
        <v>8659</v>
      </c>
      <c r="D12" s="45">
        <v>-6415</v>
      </c>
      <c r="E12" s="45">
        <v>19757.597000000002</v>
      </c>
      <c r="F12" s="45">
        <v>-9013</v>
      </c>
      <c r="G12" s="45">
        <v>35373</v>
      </c>
      <c r="H12" s="45">
        <v>-119238</v>
      </c>
      <c r="I12" s="45">
        <v>-22889</v>
      </c>
      <c r="J12" s="45">
        <v>28838</v>
      </c>
      <c r="K12" s="45">
        <v>148599.75224999999</v>
      </c>
      <c r="L12" s="45">
        <v>124977</v>
      </c>
      <c r="M12" s="45">
        <v>76425</v>
      </c>
      <c r="N12" s="45">
        <v>96083</v>
      </c>
      <c r="O12" s="45">
        <v>250049</v>
      </c>
      <c r="P12" s="45">
        <v>241589</v>
      </c>
      <c r="Q12" s="45">
        <v>95369</v>
      </c>
      <c r="R12" s="45">
        <v>182289</v>
      </c>
      <c r="S12" s="45">
        <v>208952.69542</v>
      </c>
      <c r="T12" s="45">
        <v>214772</v>
      </c>
      <c r="U12" s="45">
        <v>-34937</v>
      </c>
      <c r="W12" s="45">
        <f t="shared" si="1"/>
        <v>19757.597000000002</v>
      </c>
      <c r="X12" s="45">
        <f t="shared" si="2"/>
        <v>-28770.597000000002</v>
      </c>
      <c r="Y12" s="45">
        <f t="shared" si="3"/>
        <v>44386</v>
      </c>
      <c r="Z12" s="45">
        <f t="shared" si="4"/>
        <v>-154611</v>
      </c>
      <c r="AA12" s="45">
        <f t="shared" si="5"/>
        <v>-22889</v>
      </c>
      <c r="AB12" s="45">
        <f t="shared" si="6"/>
        <v>51727</v>
      </c>
      <c r="AC12" s="45">
        <f t="shared" si="6"/>
        <v>119761.75224999999</v>
      </c>
      <c r="AD12" s="45">
        <f t="shared" si="6"/>
        <v>-23622.75224999999</v>
      </c>
      <c r="AE12" s="45">
        <f t="shared" si="7"/>
        <v>76425</v>
      </c>
      <c r="AF12" s="45">
        <f t="shared" si="8"/>
        <v>19658</v>
      </c>
      <c r="AG12" s="45">
        <f t="shared" si="9"/>
        <v>153966</v>
      </c>
      <c r="AH12" s="45">
        <f t="shared" si="10"/>
        <v>-8460</v>
      </c>
      <c r="AI12" s="45">
        <f t="shared" si="11"/>
        <v>95369</v>
      </c>
      <c r="AJ12" s="45">
        <f t="shared" si="20"/>
        <v>86920</v>
      </c>
      <c r="AK12" s="45">
        <f t="shared" si="12"/>
        <v>26663.695420000004</v>
      </c>
      <c r="AL12" s="45">
        <f t="shared" si="13"/>
        <v>5819.3045799999963</v>
      </c>
      <c r="AM12" s="45">
        <f t="shared" si="0"/>
        <v>-34937</v>
      </c>
      <c r="AO12" s="45">
        <f t="shared" si="14"/>
        <v>-112823</v>
      </c>
      <c r="AP12" s="45">
        <f t="shared" si="15"/>
        <v>244215</v>
      </c>
      <c r="AQ12" s="45">
        <f t="shared" si="16"/>
        <v>116612</v>
      </c>
      <c r="AR12" s="45">
        <f t="shared" si="17"/>
        <v>-26817</v>
      </c>
    </row>
    <row r="13" spans="2:44" ht="14.25" customHeight="1" x14ac:dyDescent="0.35">
      <c r="B13" s="7" t="s">
        <v>197</v>
      </c>
      <c r="C13" s="45">
        <v>17555.623</v>
      </c>
      <c r="D13" s="45">
        <v>79829</v>
      </c>
      <c r="E13" s="45">
        <v>-17924.419000000002</v>
      </c>
      <c r="F13" s="45">
        <v>75253.038</v>
      </c>
      <c r="G13" s="45">
        <v>24074</v>
      </c>
      <c r="H13" s="45">
        <v>570838</v>
      </c>
      <c r="I13" s="45">
        <v>131767.93151999998</v>
      </c>
      <c r="J13" s="45">
        <v>213613</v>
      </c>
      <c r="K13" s="45">
        <v>-584116.40226</v>
      </c>
      <c r="L13" s="45">
        <v>-294056</v>
      </c>
      <c r="M13" s="45">
        <v>-436922</v>
      </c>
      <c r="N13" s="45">
        <v>-170740.00305000003</v>
      </c>
      <c r="O13" s="30">
        <v>-73431</v>
      </c>
      <c r="P13" s="30">
        <v>-613429</v>
      </c>
      <c r="Q13" s="30">
        <v>297681</v>
      </c>
      <c r="R13" s="74">
        <v>413179</v>
      </c>
      <c r="S13" s="30">
        <v>293092.08750000002</v>
      </c>
      <c r="T13" s="30">
        <v>203105</v>
      </c>
      <c r="U13" s="30">
        <v>-163119</v>
      </c>
      <c r="W13" s="45">
        <f t="shared" si="1"/>
        <v>-17924.419000000002</v>
      </c>
      <c r="X13" s="45">
        <f t="shared" si="2"/>
        <v>93177.456999999995</v>
      </c>
      <c r="Y13" s="45">
        <f t="shared" si="3"/>
        <v>-51179.038</v>
      </c>
      <c r="Z13" s="45">
        <f>H13-G13</f>
        <v>546764</v>
      </c>
      <c r="AA13" s="45">
        <f>I13</f>
        <v>131767.93151999998</v>
      </c>
      <c r="AB13" s="45">
        <f t="shared" ref="AB13:AD14" si="21">J13-I13</f>
        <v>81845.068480000016</v>
      </c>
      <c r="AC13" s="45">
        <f t="shared" si="21"/>
        <v>-797729.40226</v>
      </c>
      <c r="AD13" s="45">
        <f t="shared" si="21"/>
        <v>290060.40226</v>
      </c>
      <c r="AE13" s="45">
        <f>M13</f>
        <v>-436922</v>
      </c>
      <c r="AF13" s="45">
        <f t="shared" ref="AF13:AH14" si="22">N13-M13</f>
        <v>266181.99694999994</v>
      </c>
      <c r="AG13" s="45">
        <f t="shared" si="22"/>
        <v>97309.003050000028</v>
      </c>
      <c r="AH13" s="45">
        <f t="shared" si="22"/>
        <v>-539998</v>
      </c>
      <c r="AI13" s="45">
        <f t="shared" si="11"/>
        <v>297681</v>
      </c>
      <c r="AJ13" s="45">
        <f t="shared" si="20"/>
        <v>115498</v>
      </c>
      <c r="AK13" s="45">
        <f>S13-R13</f>
        <v>-120086.91249999998</v>
      </c>
      <c r="AL13" s="45">
        <f>T13-S13</f>
        <v>-89987.087500000023</v>
      </c>
      <c r="AM13" s="45">
        <f>U13</f>
        <v>-163119</v>
      </c>
      <c r="AO13" s="45">
        <f>H13-D13</f>
        <v>491009</v>
      </c>
      <c r="AP13" s="45">
        <f>L13-H13</f>
        <v>-864894</v>
      </c>
      <c r="AQ13" s="45">
        <f>P13-L13</f>
        <v>-319373</v>
      </c>
      <c r="AR13" s="45">
        <f>T13-P13</f>
        <v>816534</v>
      </c>
    </row>
    <row r="14" spans="2:44" ht="15" customHeight="1" x14ac:dyDescent="0.35">
      <c r="B14" s="7" t="s">
        <v>300</v>
      </c>
      <c r="C14" s="45">
        <v>0</v>
      </c>
      <c r="D14" s="45">
        <v>23443</v>
      </c>
      <c r="E14" s="45">
        <v>-15847.243</v>
      </c>
      <c r="F14" s="45">
        <v>7766</v>
      </c>
      <c r="G14" s="45">
        <v>-34978</v>
      </c>
      <c r="H14" s="45">
        <v>-12018</v>
      </c>
      <c r="I14" s="45">
        <v>-19224</v>
      </c>
      <c r="J14" s="45">
        <v>-32764</v>
      </c>
      <c r="K14" s="45">
        <v>-5124.4967499999984</v>
      </c>
      <c r="L14" s="45">
        <v>36093</v>
      </c>
      <c r="M14" s="45">
        <v>270796</v>
      </c>
      <c r="N14" s="45">
        <v>232580</v>
      </c>
      <c r="O14" s="30">
        <v>221469</v>
      </c>
      <c r="P14" s="30">
        <v>706071</v>
      </c>
      <c r="Q14" s="30">
        <v>-166491</v>
      </c>
      <c r="R14" s="74">
        <v>-117117</v>
      </c>
      <c r="S14" s="30">
        <v>71282</v>
      </c>
      <c r="T14" s="30">
        <v>230284</v>
      </c>
      <c r="U14" s="30">
        <v>229379</v>
      </c>
      <c r="W14" s="45">
        <f t="shared" si="1"/>
        <v>-15847.243</v>
      </c>
      <c r="X14" s="45">
        <f t="shared" si="2"/>
        <v>23613.243000000002</v>
      </c>
      <c r="Y14" s="45">
        <f t="shared" si="3"/>
        <v>-42744</v>
      </c>
      <c r="Z14" s="45">
        <f>H14-G14</f>
        <v>22960</v>
      </c>
      <c r="AA14" s="45">
        <f>I14</f>
        <v>-19224</v>
      </c>
      <c r="AB14" s="45">
        <f t="shared" si="21"/>
        <v>-13540</v>
      </c>
      <c r="AC14" s="45">
        <f t="shared" si="21"/>
        <v>27639.503250000002</v>
      </c>
      <c r="AD14" s="45">
        <f t="shared" si="21"/>
        <v>41217.496749999998</v>
      </c>
      <c r="AE14" s="45">
        <f>M14</f>
        <v>270796</v>
      </c>
      <c r="AF14" s="45">
        <f t="shared" si="22"/>
        <v>-38216</v>
      </c>
      <c r="AG14" s="45">
        <f t="shared" si="22"/>
        <v>-11111</v>
      </c>
      <c r="AH14" s="45">
        <f t="shared" si="22"/>
        <v>484602</v>
      </c>
      <c r="AI14" s="45">
        <f t="shared" si="11"/>
        <v>-166491</v>
      </c>
      <c r="AJ14" s="45">
        <f t="shared" si="20"/>
        <v>49374</v>
      </c>
      <c r="AK14" s="45">
        <f>S14-R14</f>
        <v>188399</v>
      </c>
      <c r="AL14" s="45">
        <f>T14-S14</f>
        <v>159002</v>
      </c>
      <c r="AM14" s="45">
        <f>U14</f>
        <v>229379</v>
      </c>
      <c r="AO14" s="45">
        <f>H14-D14</f>
        <v>-35461</v>
      </c>
      <c r="AP14" s="45">
        <f>L14-H14</f>
        <v>48111</v>
      </c>
      <c r="AQ14" s="45">
        <f>P14-L14</f>
        <v>669978</v>
      </c>
      <c r="AR14" s="45">
        <f>T14-P14</f>
        <v>-475787</v>
      </c>
    </row>
    <row r="15" spans="2:44" ht="15" customHeight="1" x14ac:dyDescent="0.35">
      <c r="B15" s="7" t="s">
        <v>301</v>
      </c>
      <c r="C15" s="30">
        <v>6945</v>
      </c>
      <c r="D15" s="30">
        <v>2425</v>
      </c>
      <c r="E15" s="30">
        <v>-19.834000000000287</v>
      </c>
      <c r="F15" s="30">
        <v>-1490</v>
      </c>
      <c r="G15" s="30">
        <v>-4420</v>
      </c>
      <c r="H15" s="30">
        <v>-9897</v>
      </c>
      <c r="I15" s="30">
        <v>-3199</v>
      </c>
      <c r="J15" s="30">
        <v>-6888</v>
      </c>
      <c r="K15" s="30">
        <v>-11442.994940571685</v>
      </c>
      <c r="L15" s="30">
        <v>-14734</v>
      </c>
      <c r="M15" s="30">
        <v>-2738</v>
      </c>
      <c r="N15" s="30">
        <v>-9738</v>
      </c>
      <c r="O15" s="30">
        <v>-18940</v>
      </c>
      <c r="P15" s="30">
        <v>-28681</v>
      </c>
      <c r="Q15" s="30">
        <v>-12543</v>
      </c>
      <c r="R15" s="30">
        <v>-26297</v>
      </c>
      <c r="S15" s="30">
        <v>-64188.980839999997</v>
      </c>
      <c r="T15" s="30">
        <v>-83899</v>
      </c>
      <c r="U15" s="30">
        <v>-13424</v>
      </c>
      <c r="W15" s="45">
        <f t="shared" si="1"/>
        <v>-19.834000000000287</v>
      </c>
      <c r="X15" s="45">
        <f t="shared" si="2"/>
        <v>-1470.1659999999997</v>
      </c>
      <c r="Y15" s="45">
        <f t="shared" si="3"/>
        <v>-2930</v>
      </c>
      <c r="Z15" s="30">
        <f t="shared" si="4"/>
        <v>-5477</v>
      </c>
      <c r="AA15" s="30">
        <f t="shared" si="5"/>
        <v>-3199</v>
      </c>
      <c r="AB15" s="30">
        <f t="shared" si="6"/>
        <v>-3689</v>
      </c>
      <c r="AC15" s="30">
        <f t="shared" si="6"/>
        <v>-4554.9949405716852</v>
      </c>
      <c r="AD15" s="30">
        <f t="shared" si="6"/>
        <v>-3291.0050594283148</v>
      </c>
      <c r="AE15" s="30">
        <f t="shared" si="7"/>
        <v>-2738</v>
      </c>
      <c r="AF15" s="30">
        <f t="shared" si="8"/>
        <v>-7000</v>
      </c>
      <c r="AG15" s="30">
        <f t="shared" si="9"/>
        <v>-9202</v>
      </c>
      <c r="AH15" s="30">
        <f t="shared" si="10"/>
        <v>-9741</v>
      </c>
      <c r="AI15" s="30">
        <f t="shared" si="11"/>
        <v>-12543</v>
      </c>
      <c r="AJ15" s="45">
        <f t="shared" si="20"/>
        <v>-13754</v>
      </c>
      <c r="AK15" s="30">
        <f t="shared" si="12"/>
        <v>-37891.980839999997</v>
      </c>
      <c r="AL15" s="30">
        <f t="shared" si="13"/>
        <v>-19710.019160000003</v>
      </c>
      <c r="AM15" s="30">
        <f t="shared" si="0"/>
        <v>-13424</v>
      </c>
      <c r="AO15" s="30">
        <f t="shared" si="14"/>
        <v>-12322</v>
      </c>
      <c r="AP15" s="30">
        <f t="shared" si="15"/>
        <v>-4837</v>
      </c>
      <c r="AQ15" s="30">
        <f t="shared" si="16"/>
        <v>-13947</v>
      </c>
      <c r="AR15" s="30">
        <f t="shared" si="17"/>
        <v>-55218</v>
      </c>
    </row>
    <row r="16" spans="2:44" ht="14.25" customHeight="1" x14ac:dyDescent="0.35">
      <c r="B16" s="7" t="s">
        <v>302</v>
      </c>
      <c r="C16" s="45">
        <v>1850</v>
      </c>
      <c r="D16" s="45">
        <v>4883</v>
      </c>
      <c r="E16" s="45">
        <v>1292.57818046323</v>
      </c>
      <c r="F16" s="45">
        <v>2631.4041704632345</v>
      </c>
      <c r="G16" s="45">
        <v>4003.2403804632354</v>
      </c>
      <c r="H16" s="45">
        <v>5393.4370304632366</v>
      </c>
      <c r="I16" s="45">
        <v>1425</v>
      </c>
      <c r="J16" s="45">
        <v>2899</v>
      </c>
      <c r="K16" s="45">
        <v>5159</v>
      </c>
      <c r="L16" s="45">
        <v>0</v>
      </c>
      <c r="M16" s="45">
        <v>0</v>
      </c>
      <c r="N16" s="45">
        <v>0</v>
      </c>
      <c r="O16" s="30">
        <v>0</v>
      </c>
      <c r="P16" s="30">
        <v>0</v>
      </c>
      <c r="Q16" s="30">
        <v>0</v>
      </c>
      <c r="R16" s="74">
        <v>0</v>
      </c>
      <c r="S16" s="30">
        <v>0</v>
      </c>
      <c r="T16" s="30">
        <v>0</v>
      </c>
      <c r="U16" s="30">
        <v>0</v>
      </c>
      <c r="W16" s="45">
        <f t="shared" si="1"/>
        <v>1292.57818046323</v>
      </c>
      <c r="X16" s="45">
        <f t="shared" si="2"/>
        <v>1338.8259900000046</v>
      </c>
      <c r="Y16" s="45">
        <f t="shared" si="3"/>
        <v>1371.8362100000008</v>
      </c>
      <c r="Z16" s="45">
        <f t="shared" si="4"/>
        <v>1390.1966500000012</v>
      </c>
      <c r="AA16" s="45">
        <f t="shared" si="5"/>
        <v>1425</v>
      </c>
      <c r="AB16" s="45">
        <f t="shared" ref="AB16:AD20" si="23">J16-I16</f>
        <v>1474</v>
      </c>
      <c r="AC16" s="45">
        <f t="shared" si="23"/>
        <v>2260</v>
      </c>
      <c r="AD16" s="45">
        <f t="shared" si="23"/>
        <v>-5159</v>
      </c>
      <c r="AE16" s="45">
        <f t="shared" si="7"/>
        <v>0</v>
      </c>
      <c r="AF16" s="45">
        <f t="shared" si="8"/>
        <v>0</v>
      </c>
      <c r="AG16" s="45">
        <f t="shared" si="9"/>
        <v>0</v>
      </c>
      <c r="AH16" s="45">
        <f t="shared" si="10"/>
        <v>0</v>
      </c>
      <c r="AI16" s="45">
        <f t="shared" si="11"/>
        <v>0</v>
      </c>
      <c r="AJ16" s="45">
        <f t="shared" si="20"/>
        <v>0</v>
      </c>
      <c r="AK16" s="45">
        <f t="shared" si="12"/>
        <v>0</v>
      </c>
      <c r="AL16" s="45">
        <f t="shared" si="13"/>
        <v>0</v>
      </c>
      <c r="AM16" s="45">
        <f t="shared" si="0"/>
        <v>0</v>
      </c>
      <c r="AO16" s="45">
        <f t="shared" si="14"/>
        <v>510.43703046323662</v>
      </c>
      <c r="AP16" s="45">
        <f t="shared" ref="AP16:AP20" si="24">L16-H16</f>
        <v>-5393.4370304632366</v>
      </c>
      <c r="AQ16" s="45">
        <f t="shared" si="16"/>
        <v>0</v>
      </c>
      <c r="AR16" s="45">
        <f t="shared" si="17"/>
        <v>0</v>
      </c>
    </row>
    <row r="17" spans="2:44" ht="15" customHeight="1" x14ac:dyDescent="0.35">
      <c r="B17" s="7" t="s">
        <v>196</v>
      </c>
      <c r="C17" s="45">
        <v>0</v>
      </c>
      <c r="D17" s="45">
        <v>0</v>
      </c>
      <c r="E17" s="45">
        <v>0</v>
      </c>
      <c r="F17" s="45">
        <v>0</v>
      </c>
      <c r="G17" s="45">
        <v>0</v>
      </c>
      <c r="H17" s="45">
        <v>0</v>
      </c>
      <c r="I17" s="45">
        <v>0</v>
      </c>
      <c r="J17" s="45">
        <v>-12827</v>
      </c>
      <c r="K17" s="45">
        <v>-13547.240730000001</v>
      </c>
      <c r="L17" s="45">
        <v>-17319</v>
      </c>
      <c r="M17" s="45">
        <v>4929</v>
      </c>
      <c r="N17" s="45">
        <v>3844</v>
      </c>
      <c r="O17" s="30">
        <v>1659</v>
      </c>
      <c r="P17" s="30">
        <v>-15190</v>
      </c>
      <c r="Q17" s="30">
        <v>0</v>
      </c>
      <c r="R17" s="74">
        <v>-4419</v>
      </c>
      <c r="S17" s="30">
        <v>-4419</v>
      </c>
      <c r="T17" s="30">
        <v>4420</v>
      </c>
      <c r="U17" s="30">
        <v>0</v>
      </c>
      <c r="W17" s="45">
        <f t="shared" si="1"/>
        <v>0</v>
      </c>
      <c r="X17" s="45">
        <f t="shared" si="2"/>
        <v>0</v>
      </c>
      <c r="Y17" s="45">
        <f t="shared" si="3"/>
        <v>0</v>
      </c>
      <c r="Z17" s="45">
        <f t="shared" si="4"/>
        <v>0</v>
      </c>
      <c r="AA17" s="45">
        <f t="shared" si="5"/>
        <v>0</v>
      </c>
      <c r="AB17" s="45">
        <f t="shared" si="23"/>
        <v>-12827</v>
      </c>
      <c r="AC17" s="45">
        <f t="shared" si="23"/>
        <v>-720.24073000000135</v>
      </c>
      <c r="AD17" s="45">
        <f t="shared" si="23"/>
        <v>-3771.7592699999987</v>
      </c>
      <c r="AE17" s="45">
        <f t="shared" si="7"/>
        <v>4929</v>
      </c>
      <c r="AF17" s="45">
        <f t="shared" si="8"/>
        <v>-1085</v>
      </c>
      <c r="AG17" s="45">
        <f t="shared" si="9"/>
        <v>-2185</v>
      </c>
      <c r="AH17" s="45">
        <f t="shared" si="10"/>
        <v>-16849</v>
      </c>
      <c r="AI17" s="45">
        <f t="shared" si="11"/>
        <v>0</v>
      </c>
      <c r="AJ17" s="45">
        <f t="shared" si="20"/>
        <v>-4419</v>
      </c>
      <c r="AK17" s="45">
        <f t="shared" si="12"/>
        <v>0</v>
      </c>
      <c r="AL17" s="45">
        <f t="shared" si="13"/>
        <v>8839</v>
      </c>
      <c r="AM17" s="45">
        <f t="shared" si="0"/>
        <v>0</v>
      </c>
      <c r="AO17" s="45">
        <f t="shared" si="14"/>
        <v>0</v>
      </c>
      <c r="AP17" s="45">
        <f t="shared" si="24"/>
        <v>-17319</v>
      </c>
      <c r="AQ17" s="45">
        <f t="shared" si="16"/>
        <v>2129</v>
      </c>
      <c r="AR17" s="45">
        <f t="shared" si="17"/>
        <v>19610</v>
      </c>
    </row>
    <row r="18" spans="2:44" ht="15" customHeight="1" x14ac:dyDescent="0.35">
      <c r="B18" s="7" t="s">
        <v>130</v>
      </c>
      <c r="C18" s="45">
        <v>0</v>
      </c>
      <c r="D18" s="45">
        <v>0</v>
      </c>
      <c r="E18" s="45">
        <v>0</v>
      </c>
      <c r="F18" s="45">
        <v>0</v>
      </c>
      <c r="G18" s="45">
        <v>0</v>
      </c>
      <c r="H18" s="45">
        <v>0</v>
      </c>
      <c r="I18" s="45">
        <v>0</v>
      </c>
      <c r="J18" s="45">
        <v>-520</v>
      </c>
      <c r="K18" s="45">
        <v>-13465</v>
      </c>
      <c r="L18" s="45">
        <v>0</v>
      </c>
      <c r="M18" s="45">
        <v>0</v>
      </c>
      <c r="N18" s="45">
        <v>0</v>
      </c>
      <c r="O18" s="45">
        <v>0</v>
      </c>
      <c r="P18" s="45">
        <v>0</v>
      </c>
      <c r="Q18" s="45">
        <v>0</v>
      </c>
      <c r="R18" s="74">
        <v>0</v>
      </c>
      <c r="S18" s="45">
        <v>0</v>
      </c>
      <c r="T18" s="45">
        <v>0</v>
      </c>
      <c r="U18" s="45">
        <v>0</v>
      </c>
      <c r="W18" s="45">
        <f t="shared" si="1"/>
        <v>0</v>
      </c>
      <c r="X18" s="45">
        <f t="shared" si="2"/>
        <v>0</v>
      </c>
      <c r="Y18" s="45">
        <f t="shared" si="3"/>
        <v>0</v>
      </c>
      <c r="Z18" s="45">
        <f t="shared" si="4"/>
        <v>0</v>
      </c>
      <c r="AA18" s="45">
        <f t="shared" si="5"/>
        <v>0</v>
      </c>
      <c r="AB18" s="45">
        <f t="shared" si="23"/>
        <v>-520</v>
      </c>
      <c r="AC18" s="45">
        <f t="shared" si="23"/>
        <v>-12945</v>
      </c>
      <c r="AD18" s="45">
        <f t="shared" si="23"/>
        <v>13465</v>
      </c>
      <c r="AE18" s="45">
        <f t="shared" si="7"/>
        <v>0</v>
      </c>
      <c r="AF18" s="45">
        <f t="shared" si="8"/>
        <v>0</v>
      </c>
      <c r="AG18" s="45">
        <f t="shared" si="9"/>
        <v>0</v>
      </c>
      <c r="AH18" s="45">
        <f t="shared" si="10"/>
        <v>0</v>
      </c>
      <c r="AI18" s="45">
        <f t="shared" si="11"/>
        <v>0</v>
      </c>
      <c r="AJ18" s="45">
        <f t="shared" si="20"/>
        <v>0</v>
      </c>
      <c r="AK18" s="45">
        <f t="shared" si="12"/>
        <v>0</v>
      </c>
      <c r="AL18" s="45">
        <f t="shared" si="13"/>
        <v>0</v>
      </c>
      <c r="AM18" s="45">
        <f t="shared" si="0"/>
        <v>0</v>
      </c>
      <c r="AO18" s="45">
        <f t="shared" si="14"/>
        <v>0</v>
      </c>
      <c r="AP18" s="45">
        <f t="shared" si="24"/>
        <v>0</v>
      </c>
      <c r="AQ18" s="45">
        <f t="shared" si="16"/>
        <v>0</v>
      </c>
      <c r="AR18" s="45">
        <f t="shared" si="17"/>
        <v>0</v>
      </c>
    </row>
    <row r="19" spans="2:44" ht="15" customHeight="1" x14ac:dyDescent="0.35">
      <c r="B19" s="7" t="s">
        <v>279</v>
      </c>
      <c r="C19" s="45">
        <v>0</v>
      </c>
      <c r="D19" s="45">
        <v>576</v>
      </c>
      <c r="E19" s="45">
        <v>276.55099999999999</v>
      </c>
      <c r="F19" s="45">
        <v>3.04</v>
      </c>
      <c r="G19" s="45">
        <v>30</v>
      </c>
      <c r="H19" s="45">
        <v>5</v>
      </c>
      <c r="I19" s="45">
        <v>-110</v>
      </c>
      <c r="J19" s="45">
        <v>-209</v>
      </c>
      <c r="K19" s="45">
        <v>-446.54512</v>
      </c>
      <c r="L19" s="45">
        <v>-437</v>
      </c>
      <c r="M19" s="45">
        <v>3</v>
      </c>
      <c r="N19" s="45">
        <v>-10</v>
      </c>
      <c r="O19" s="30">
        <v>-30</v>
      </c>
      <c r="P19" s="30">
        <v>-29</v>
      </c>
      <c r="Q19" s="30">
        <v>0</v>
      </c>
      <c r="R19" s="74">
        <v>-2</v>
      </c>
      <c r="S19" s="30">
        <v>8.2380800000000001</v>
      </c>
      <c r="T19" s="30">
        <v>-110</v>
      </c>
      <c r="U19" s="30">
        <v>0</v>
      </c>
      <c r="W19" s="45">
        <f t="shared" si="1"/>
        <v>276.55099999999999</v>
      </c>
      <c r="X19" s="45">
        <f t="shared" si="2"/>
        <v>-273.51099999999997</v>
      </c>
      <c r="Y19" s="45">
        <f t="shared" si="3"/>
        <v>26.96</v>
      </c>
      <c r="Z19" s="45">
        <f t="shared" si="4"/>
        <v>-25</v>
      </c>
      <c r="AA19" s="45">
        <f t="shared" si="5"/>
        <v>-110</v>
      </c>
      <c r="AB19" s="45">
        <f t="shared" si="23"/>
        <v>-99</v>
      </c>
      <c r="AC19" s="45">
        <f t="shared" si="23"/>
        <v>-237.54512</v>
      </c>
      <c r="AD19" s="45">
        <f t="shared" si="23"/>
        <v>9.5451199999999972</v>
      </c>
      <c r="AE19" s="45">
        <f t="shared" si="7"/>
        <v>3</v>
      </c>
      <c r="AF19" s="45">
        <f t="shared" si="8"/>
        <v>-13</v>
      </c>
      <c r="AG19" s="45">
        <f t="shared" si="9"/>
        <v>-20</v>
      </c>
      <c r="AH19" s="45">
        <f t="shared" si="10"/>
        <v>1</v>
      </c>
      <c r="AI19" s="45">
        <f t="shared" si="11"/>
        <v>0</v>
      </c>
      <c r="AJ19" s="45">
        <f t="shared" si="20"/>
        <v>-2</v>
      </c>
      <c r="AK19" s="45">
        <f t="shared" si="12"/>
        <v>10.23808</v>
      </c>
      <c r="AL19" s="45">
        <f t="shared" si="13"/>
        <v>-118.23808</v>
      </c>
      <c r="AM19" s="45">
        <f t="shared" si="0"/>
        <v>0</v>
      </c>
      <c r="AO19" s="45">
        <f t="shared" si="14"/>
        <v>-571</v>
      </c>
      <c r="AP19" s="45">
        <f t="shared" si="24"/>
        <v>-442</v>
      </c>
      <c r="AQ19" s="45">
        <f t="shared" si="16"/>
        <v>408</v>
      </c>
      <c r="AR19" s="45">
        <f t="shared" si="17"/>
        <v>-81</v>
      </c>
    </row>
    <row r="20" spans="2:44" ht="14.25" customHeight="1" x14ac:dyDescent="0.35">
      <c r="B20" s="7" t="s">
        <v>303</v>
      </c>
      <c r="C20" s="45">
        <v>0</v>
      </c>
      <c r="D20" s="45">
        <v>1841</v>
      </c>
      <c r="E20" s="45">
        <v>0</v>
      </c>
      <c r="F20" s="45">
        <v>0</v>
      </c>
      <c r="G20" s="45">
        <v>0</v>
      </c>
      <c r="H20" s="45">
        <v>0</v>
      </c>
      <c r="I20" s="45">
        <v>0</v>
      </c>
      <c r="J20" s="45">
        <v>0</v>
      </c>
      <c r="K20" s="45">
        <v>0</v>
      </c>
      <c r="L20" s="45">
        <v>0</v>
      </c>
      <c r="M20" s="45">
        <v>0</v>
      </c>
      <c r="N20" s="45">
        <v>0</v>
      </c>
      <c r="O20" s="30">
        <v>0</v>
      </c>
      <c r="P20" s="30">
        <v>0</v>
      </c>
      <c r="Q20" s="30">
        <v>0</v>
      </c>
      <c r="R20" s="74">
        <v>0</v>
      </c>
      <c r="S20" s="30">
        <v>0</v>
      </c>
      <c r="T20" s="30">
        <v>0</v>
      </c>
      <c r="U20" s="30">
        <v>0</v>
      </c>
      <c r="W20" s="45">
        <f t="shared" si="1"/>
        <v>0</v>
      </c>
      <c r="X20" s="45">
        <f t="shared" si="2"/>
        <v>0</v>
      </c>
      <c r="Y20" s="45">
        <f t="shared" si="3"/>
        <v>0</v>
      </c>
      <c r="Z20" s="45">
        <f t="shared" si="4"/>
        <v>0</v>
      </c>
      <c r="AA20" s="45">
        <f t="shared" si="5"/>
        <v>0</v>
      </c>
      <c r="AB20" s="45">
        <f t="shared" si="23"/>
        <v>0</v>
      </c>
      <c r="AC20" s="45">
        <f t="shared" si="23"/>
        <v>0</v>
      </c>
      <c r="AD20" s="45">
        <f t="shared" si="23"/>
        <v>0</v>
      </c>
      <c r="AE20" s="45">
        <f t="shared" si="7"/>
        <v>0</v>
      </c>
      <c r="AF20" s="45">
        <f t="shared" si="8"/>
        <v>0</v>
      </c>
      <c r="AG20" s="45">
        <f t="shared" si="9"/>
        <v>0</v>
      </c>
      <c r="AH20" s="45">
        <f t="shared" si="10"/>
        <v>0</v>
      </c>
      <c r="AI20" s="45">
        <f t="shared" si="11"/>
        <v>0</v>
      </c>
      <c r="AJ20" s="45">
        <f t="shared" si="20"/>
        <v>0</v>
      </c>
      <c r="AK20" s="45">
        <f t="shared" si="12"/>
        <v>0</v>
      </c>
      <c r="AL20" s="45">
        <f t="shared" si="13"/>
        <v>0</v>
      </c>
      <c r="AM20" s="45">
        <f t="shared" si="0"/>
        <v>0</v>
      </c>
      <c r="AO20" s="45">
        <f t="shared" si="14"/>
        <v>-1841</v>
      </c>
      <c r="AP20" s="45">
        <f t="shared" si="24"/>
        <v>0</v>
      </c>
      <c r="AQ20" s="45">
        <f t="shared" si="16"/>
        <v>0</v>
      </c>
      <c r="AR20" s="45">
        <f t="shared" si="17"/>
        <v>0</v>
      </c>
    </row>
    <row r="21" spans="2:44" ht="15" customHeight="1" x14ac:dyDescent="0.35">
      <c r="B21" s="7" t="s">
        <v>228</v>
      </c>
      <c r="C21" s="7">
        <v>0</v>
      </c>
      <c r="D21" s="7">
        <v>0</v>
      </c>
      <c r="E21" s="7">
        <v>0</v>
      </c>
      <c r="F21" s="7">
        <v>0</v>
      </c>
      <c r="G21" s="7">
        <v>0</v>
      </c>
      <c r="H21" s="7">
        <v>0</v>
      </c>
      <c r="I21" s="7">
        <v>0</v>
      </c>
      <c r="J21" s="7">
        <v>0</v>
      </c>
      <c r="K21" s="7">
        <v>0</v>
      </c>
      <c r="L21" s="7">
        <v>0</v>
      </c>
      <c r="M21" s="7">
        <v>0</v>
      </c>
      <c r="N21" s="7">
        <v>0</v>
      </c>
      <c r="O21" s="7">
        <v>0</v>
      </c>
      <c r="P21" s="7">
        <v>0</v>
      </c>
      <c r="Q21" s="7">
        <v>0</v>
      </c>
      <c r="R21" s="74">
        <v>-171302</v>
      </c>
      <c r="S21" s="7">
        <v>-251037.27144000004</v>
      </c>
      <c r="T21" s="7">
        <v>-407379</v>
      </c>
      <c r="U21" s="7">
        <v>0</v>
      </c>
      <c r="W21" s="45">
        <f t="shared" si="1"/>
        <v>0</v>
      </c>
      <c r="X21" s="45">
        <f t="shared" si="2"/>
        <v>0</v>
      </c>
      <c r="Y21" s="45">
        <f t="shared" si="3"/>
        <v>0</v>
      </c>
      <c r="Z21" s="45">
        <f t="shared" ref="Z21" si="25">H21-G21</f>
        <v>0</v>
      </c>
      <c r="AA21" s="45">
        <f t="shared" ref="AA21" si="26">I21</f>
        <v>0</v>
      </c>
      <c r="AB21" s="45">
        <f t="shared" ref="AB21" si="27">J21-I21</f>
        <v>0</v>
      </c>
      <c r="AC21" s="45">
        <f t="shared" ref="AC21" si="28">K21-J21</f>
        <v>0</v>
      </c>
      <c r="AD21" s="45">
        <f t="shared" ref="AD21" si="29">L21-K21</f>
        <v>0</v>
      </c>
      <c r="AE21" s="45">
        <f t="shared" ref="AE21" si="30">M21</f>
        <v>0</v>
      </c>
      <c r="AF21" s="45">
        <f t="shared" ref="AF21" si="31">N21-M21</f>
        <v>0</v>
      </c>
      <c r="AG21" s="45">
        <f t="shared" ref="AG21" si="32">O21-N21</f>
        <v>0</v>
      </c>
      <c r="AH21" s="45">
        <f t="shared" ref="AH21" si="33">P21-O21</f>
        <v>0</v>
      </c>
      <c r="AI21" s="45">
        <f t="shared" ref="AI21" si="34">Q21</f>
        <v>0</v>
      </c>
      <c r="AJ21" s="45">
        <f t="shared" ref="AJ21" si="35">R21-Q21</f>
        <v>-171302</v>
      </c>
      <c r="AK21" s="45">
        <f t="shared" ref="AK21" si="36">S21-R21</f>
        <v>-79735.27144000004</v>
      </c>
      <c r="AL21" s="45">
        <f t="shared" ref="AL21" si="37">T21-S21</f>
        <v>-156341.72855999996</v>
      </c>
      <c r="AM21" s="45">
        <f t="shared" ref="AM21" si="38">U21</f>
        <v>0</v>
      </c>
      <c r="AO21" s="45"/>
      <c r="AP21" s="45"/>
      <c r="AQ21" s="45"/>
      <c r="AR21" s="45">
        <f t="shared" si="17"/>
        <v>-407379</v>
      </c>
    </row>
    <row r="22" spans="2:44" ht="14.25" customHeight="1" x14ac:dyDescent="0.35">
      <c r="B22" s="6" t="s">
        <v>68</v>
      </c>
      <c r="C22" s="30"/>
      <c r="D22" s="30"/>
      <c r="E22" s="30"/>
      <c r="F22" s="30"/>
      <c r="G22" s="30"/>
      <c r="H22" s="30"/>
      <c r="I22" s="30"/>
      <c r="J22" s="30"/>
      <c r="K22" s="30"/>
      <c r="L22" s="30"/>
      <c r="M22" s="30"/>
      <c r="N22" s="30"/>
      <c r="O22" s="30"/>
      <c r="P22" s="30"/>
      <c r="Q22" s="30"/>
      <c r="R22" s="78"/>
      <c r="S22" s="30"/>
      <c r="T22" s="30"/>
      <c r="U22" s="30"/>
      <c r="W22" s="30"/>
      <c r="X22" s="30"/>
      <c r="Y22" s="30"/>
      <c r="Z22" s="30"/>
      <c r="AA22" s="30"/>
      <c r="AB22" s="30"/>
      <c r="AC22" s="30"/>
      <c r="AD22" s="30"/>
      <c r="AE22" s="30"/>
      <c r="AF22" s="30"/>
      <c r="AJ22" s="45"/>
      <c r="AK22" s="30"/>
      <c r="AL22" s="30"/>
      <c r="AM22" s="30"/>
      <c r="AO22" s="30"/>
      <c r="AP22" s="30"/>
      <c r="AQ22" s="30"/>
      <c r="AR22" s="30"/>
    </row>
    <row r="23" spans="2:44" ht="14.25" customHeight="1" x14ac:dyDescent="0.35">
      <c r="B23" s="7" t="s">
        <v>288</v>
      </c>
      <c r="C23" s="45">
        <v>-25297</v>
      </c>
      <c r="D23" s="45">
        <v>-16594</v>
      </c>
      <c r="E23" s="45">
        <v>-10876.288</v>
      </c>
      <c r="F23" s="45">
        <v>-1948.952</v>
      </c>
      <c r="G23" s="45">
        <v>-37979.648999999998</v>
      </c>
      <c r="H23" s="45">
        <v>-68776.649000000005</v>
      </c>
      <c r="I23" s="45">
        <v>-23494</v>
      </c>
      <c r="J23" s="45">
        <v>55550</v>
      </c>
      <c r="K23" s="45">
        <v>-21283.358490000002</v>
      </c>
      <c r="L23" s="45">
        <v>-14896</v>
      </c>
      <c r="M23" s="45">
        <v>-46618</v>
      </c>
      <c r="N23" s="45">
        <v>-61527</v>
      </c>
      <c r="O23" s="45">
        <v>-77247</v>
      </c>
      <c r="P23" s="45">
        <v>-183130</v>
      </c>
      <c r="Q23" s="45">
        <v>9476</v>
      </c>
      <c r="R23" s="45">
        <v>-34980</v>
      </c>
      <c r="S23" s="45">
        <v>-65121.777869999998</v>
      </c>
      <c r="T23" s="45">
        <v>-18548</v>
      </c>
      <c r="U23" s="45">
        <v>242559</v>
      </c>
      <c r="W23" s="45">
        <f t="shared" ref="W23:W39" si="39">E23</f>
        <v>-10876.288</v>
      </c>
      <c r="X23" s="45">
        <f t="shared" ref="X23:X39" si="40">F23-E23</f>
        <v>8927.3360000000011</v>
      </c>
      <c r="Y23" s="45">
        <f t="shared" ref="Y23:Y39" si="41">G23-F23</f>
        <v>-36030.697</v>
      </c>
      <c r="Z23" s="45">
        <f t="shared" ref="Z23:Z39" si="42">H23-G23</f>
        <v>-30797.000000000007</v>
      </c>
      <c r="AA23" s="45">
        <f t="shared" ref="AA23:AA39" si="43">I23</f>
        <v>-23494</v>
      </c>
      <c r="AB23" s="45">
        <f t="shared" ref="AB23:AB39" si="44">J23-I23</f>
        <v>79044</v>
      </c>
      <c r="AC23" s="45">
        <f t="shared" ref="AC23:AC39" si="45">K23-J23</f>
        <v>-76833.358489999999</v>
      </c>
      <c r="AD23" s="45">
        <f t="shared" ref="AD23:AD39" si="46">L23-K23</f>
        <v>6387.3584900000023</v>
      </c>
      <c r="AE23" s="45">
        <f t="shared" ref="AE23:AE38" si="47">M23</f>
        <v>-46618</v>
      </c>
      <c r="AF23" s="45">
        <f t="shared" ref="AF23:AF39" si="48">N23-M23</f>
        <v>-14909</v>
      </c>
      <c r="AG23" s="45">
        <f t="shared" ref="AG23:AG39" si="49">O23-N23</f>
        <v>-15720</v>
      </c>
      <c r="AH23" s="45">
        <f t="shared" ref="AH23:AH39" si="50">P23-O23</f>
        <v>-105883</v>
      </c>
      <c r="AI23" s="45">
        <f t="shared" si="11"/>
        <v>9476</v>
      </c>
      <c r="AJ23" s="45">
        <f t="shared" si="20"/>
        <v>-44456</v>
      </c>
      <c r="AK23" s="45">
        <f t="shared" ref="AK23:AK39" si="51">S23-R23</f>
        <v>-30141.777869999998</v>
      </c>
      <c r="AL23" s="45">
        <f t="shared" ref="AL23:AL39" si="52">T23-S23</f>
        <v>46573.777869999998</v>
      </c>
      <c r="AM23" s="45">
        <f t="shared" si="0"/>
        <v>242559</v>
      </c>
      <c r="AO23" s="45">
        <f t="shared" ref="AO23:AO39" si="53">H23-D23</f>
        <v>-52182.649000000005</v>
      </c>
      <c r="AP23" s="45">
        <f t="shared" ref="AP23:AP39" si="54">L23-H23</f>
        <v>53880.649000000005</v>
      </c>
      <c r="AQ23" s="45">
        <f t="shared" ref="AQ23:AQ39" si="55">P23-L23</f>
        <v>-168234</v>
      </c>
      <c r="AR23" s="45">
        <f t="shared" si="17"/>
        <v>164582</v>
      </c>
    </row>
    <row r="24" spans="2:44" ht="14.25" customHeight="1" x14ac:dyDescent="0.35">
      <c r="B24" s="7" t="s">
        <v>289</v>
      </c>
      <c r="C24" s="45">
        <v>-34426</v>
      </c>
      <c r="D24" s="45">
        <v>-85853</v>
      </c>
      <c r="E24" s="45">
        <v>-59543.341999999997</v>
      </c>
      <c r="F24" s="45">
        <v>-317840.03600000002</v>
      </c>
      <c r="G24" s="45">
        <v>-305707.902</v>
      </c>
      <c r="H24" s="45">
        <v>-176245.90165297405</v>
      </c>
      <c r="I24" s="45">
        <v>-39001</v>
      </c>
      <c r="J24" s="45">
        <v>-496962</v>
      </c>
      <c r="K24" s="45">
        <v>-476740</v>
      </c>
      <c r="L24" s="45">
        <v>-164707</v>
      </c>
      <c r="M24" s="45">
        <v>-236955</v>
      </c>
      <c r="N24" s="45">
        <v>-1507241</v>
      </c>
      <c r="O24" s="45">
        <v>-935630</v>
      </c>
      <c r="P24" s="45">
        <v>-316844</v>
      </c>
      <c r="Q24" s="45">
        <v>-699340</v>
      </c>
      <c r="R24" s="45">
        <v>-1590485</v>
      </c>
      <c r="S24" s="45">
        <v>-1134373</v>
      </c>
      <c r="T24" s="45">
        <v>-272820</v>
      </c>
      <c r="U24" s="45">
        <v>-429421</v>
      </c>
      <c r="W24" s="45">
        <f t="shared" si="39"/>
        <v>-59543.341999999997</v>
      </c>
      <c r="X24" s="45">
        <f t="shared" si="40"/>
        <v>-258296.69400000002</v>
      </c>
      <c r="Y24" s="45">
        <f t="shared" si="41"/>
        <v>12132.13400000002</v>
      </c>
      <c r="Z24" s="45">
        <f t="shared" si="42"/>
        <v>129462.00034702595</v>
      </c>
      <c r="AA24" s="45">
        <f t="shared" si="43"/>
        <v>-39001</v>
      </c>
      <c r="AB24" s="45">
        <f t="shared" si="44"/>
        <v>-457961</v>
      </c>
      <c r="AC24" s="45">
        <f t="shared" si="45"/>
        <v>20222</v>
      </c>
      <c r="AD24" s="45">
        <f t="shared" si="46"/>
        <v>312033</v>
      </c>
      <c r="AE24" s="45">
        <f t="shared" si="47"/>
        <v>-236955</v>
      </c>
      <c r="AF24" s="45">
        <f t="shared" si="48"/>
        <v>-1270286</v>
      </c>
      <c r="AG24" s="45">
        <f t="shared" si="49"/>
        <v>571611</v>
      </c>
      <c r="AH24" s="45">
        <f t="shared" si="50"/>
        <v>618786</v>
      </c>
      <c r="AI24" s="45">
        <f t="shared" si="11"/>
        <v>-699340</v>
      </c>
      <c r="AJ24" s="45">
        <f t="shared" si="20"/>
        <v>-891145</v>
      </c>
      <c r="AK24" s="45">
        <f t="shared" si="51"/>
        <v>456112</v>
      </c>
      <c r="AL24" s="45">
        <f t="shared" si="52"/>
        <v>861553</v>
      </c>
      <c r="AM24" s="45">
        <f t="shared" si="0"/>
        <v>-429421</v>
      </c>
      <c r="AO24" s="45">
        <f t="shared" si="53"/>
        <v>-90392.901652974047</v>
      </c>
      <c r="AP24" s="45">
        <f t="shared" si="54"/>
        <v>11538.901652974047</v>
      </c>
      <c r="AQ24" s="45">
        <f t="shared" si="55"/>
        <v>-152137</v>
      </c>
      <c r="AR24" s="45">
        <f t="shared" si="17"/>
        <v>44024</v>
      </c>
    </row>
    <row r="25" spans="2:44" ht="14.25" customHeight="1" x14ac:dyDescent="0.35">
      <c r="B25" s="7" t="s">
        <v>290</v>
      </c>
      <c r="C25" s="45">
        <v>-493</v>
      </c>
      <c r="D25" s="45">
        <v>-22653</v>
      </c>
      <c r="E25" s="45">
        <v>-13883.027</v>
      </c>
      <c r="F25" s="45">
        <v>-24873.026000000002</v>
      </c>
      <c r="G25" s="45">
        <v>-31838.451000000001</v>
      </c>
      <c r="H25" s="45">
        <v>-44971.451000000001</v>
      </c>
      <c r="I25" s="45">
        <v>15553</v>
      </c>
      <c r="J25" s="45">
        <v>-40149</v>
      </c>
      <c r="K25" s="45">
        <v>-50450.895280000019</v>
      </c>
      <c r="L25" s="45">
        <v>-42221</v>
      </c>
      <c r="M25" s="45">
        <v>-35114</v>
      </c>
      <c r="N25" s="45">
        <v>-171453</v>
      </c>
      <c r="O25" s="45">
        <v>-143094</v>
      </c>
      <c r="P25" s="45">
        <v>-53664</v>
      </c>
      <c r="Q25" s="45">
        <v>-45835</v>
      </c>
      <c r="R25" s="45">
        <v>-274473</v>
      </c>
      <c r="S25" s="45">
        <v>-335573</v>
      </c>
      <c r="T25" s="45">
        <v>-368305</v>
      </c>
      <c r="U25" s="45">
        <v>-72853</v>
      </c>
      <c r="W25" s="45">
        <f t="shared" si="39"/>
        <v>-13883.027</v>
      </c>
      <c r="X25" s="45">
        <f t="shared" si="40"/>
        <v>-10989.999000000002</v>
      </c>
      <c r="Y25" s="45">
        <f t="shared" si="41"/>
        <v>-6965.4249999999993</v>
      </c>
      <c r="Z25" s="45">
        <f>H25-G25</f>
        <v>-13133</v>
      </c>
      <c r="AA25" s="45">
        <f>I25</f>
        <v>15553</v>
      </c>
      <c r="AB25" s="45">
        <f t="shared" ref="AB25:AD26" si="56">J25-I25</f>
        <v>-55702</v>
      </c>
      <c r="AC25" s="45">
        <f t="shared" si="56"/>
        <v>-10301.895280000019</v>
      </c>
      <c r="AD25" s="45">
        <f t="shared" si="56"/>
        <v>8229.8952800000188</v>
      </c>
      <c r="AE25" s="45">
        <f>M25</f>
        <v>-35114</v>
      </c>
      <c r="AF25" s="45">
        <f t="shared" ref="AF25:AH26" si="57">N25-M25</f>
        <v>-136339</v>
      </c>
      <c r="AG25" s="45">
        <f t="shared" si="57"/>
        <v>28359</v>
      </c>
      <c r="AH25" s="45">
        <f t="shared" si="57"/>
        <v>89430</v>
      </c>
      <c r="AI25" s="45">
        <f t="shared" si="11"/>
        <v>-45835</v>
      </c>
      <c r="AJ25" s="45">
        <f t="shared" si="20"/>
        <v>-228638</v>
      </c>
      <c r="AK25" s="45">
        <f>S25-R25</f>
        <v>-61100</v>
      </c>
      <c r="AL25" s="45">
        <f>T25-S25</f>
        <v>-32732</v>
      </c>
      <c r="AM25" s="45">
        <f>U25</f>
        <v>-72853</v>
      </c>
      <c r="AO25" s="45">
        <f>H25-D25</f>
        <v>-22318.451000000001</v>
      </c>
      <c r="AP25" s="45">
        <f>L25-H25</f>
        <v>2750.4510000000009</v>
      </c>
      <c r="AQ25" s="45">
        <f>P25-L25</f>
        <v>-11443</v>
      </c>
      <c r="AR25" s="45">
        <f>T25-P25</f>
        <v>-314641</v>
      </c>
    </row>
    <row r="26" spans="2:44" ht="14.25" customHeight="1" x14ac:dyDescent="0.35">
      <c r="B26" s="7" t="s">
        <v>21</v>
      </c>
      <c r="C26" s="45">
        <v>0</v>
      </c>
      <c r="D26" s="45">
        <v>0</v>
      </c>
      <c r="E26" s="45">
        <v>0</v>
      </c>
      <c r="F26" s="45">
        <v>0</v>
      </c>
      <c r="G26" s="45">
        <v>0</v>
      </c>
      <c r="H26" s="45">
        <v>0</v>
      </c>
      <c r="I26" s="45">
        <v>0</v>
      </c>
      <c r="J26" s="45">
        <v>0</v>
      </c>
      <c r="K26" s="45">
        <v>0</v>
      </c>
      <c r="L26" s="45">
        <v>0</v>
      </c>
      <c r="M26" s="45">
        <v>0</v>
      </c>
      <c r="N26" s="45">
        <v>0</v>
      </c>
      <c r="O26" s="45">
        <v>0</v>
      </c>
      <c r="P26" s="45">
        <v>0</v>
      </c>
      <c r="Q26" s="45">
        <v>0</v>
      </c>
      <c r="R26" s="45">
        <v>0</v>
      </c>
      <c r="S26" s="45">
        <v>0</v>
      </c>
      <c r="T26" s="45">
        <v>-16075</v>
      </c>
      <c r="U26" s="45">
        <v>86996</v>
      </c>
      <c r="W26" s="45">
        <f t="shared" si="39"/>
        <v>0</v>
      </c>
      <c r="X26" s="45">
        <f t="shared" si="40"/>
        <v>0</v>
      </c>
      <c r="Y26" s="45">
        <f t="shared" si="41"/>
        <v>0</v>
      </c>
      <c r="Z26" s="45">
        <f>H26-G26</f>
        <v>0</v>
      </c>
      <c r="AA26" s="45">
        <f>I26</f>
        <v>0</v>
      </c>
      <c r="AB26" s="45">
        <f t="shared" si="56"/>
        <v>0</v>
      </c>
      <c r="AC26" s="45">
        <f t="shared" si="56"/>
        <v>0</v>
      </c>
      <c r="AD26" s="45">
        <f t="shared" si="56"/>
        <v>0</v>
      </c>
      <c r="AE26" s="45">
        <f>M26</f>
        <v>0</v>
      </c>
      <c r="AF26" s="45">
        <f t="shared" si="57"/>
        <v>0</v>
      </c>
      <c r="AG26" s="45">
        <f t="shared" si="57"/>
        <v>0</v>
      </c>
      <c r="AH26" s="45">
        <f t="shared" si="57"/>
        <v>0</v>
      </c>
      <c r="AI26" s="45">
        <f t="shared" ref="AI26" si="58">Q26</f>
        <v>0</v>
      </c>
      <c r="AJ26" s="45">
        <f t="shared" ref="AJ26" si="59">R26-Q26</f>
        <v>0</v>
      </c>
      <c r="AK26" s="45">
        <f>S26-R26</f>
        <v>0</v>
      </c>
      <c r="AL26" s="45">
        <f>T26-S26</f>
        <v>-16075</v>
      </c>
      <c r="AM26" s="45">
        <f>U26</f>
        <v>86996</v>
      </c>
      <c r="AO26" s="45"/>
      <c r="AP26" s="45"/>
      <c r="AQ26" s="45"/>
      <c r="AR26" s="45"/>
    </row>
    <row r="27" spans="2:44" ht="14.25" customHeight="1" x14ac:dyDescent="0.35">
      <c r="B27" s="7" t="s">
        <v>284</v>
      </c>
      <c r="C27" s="45">
        <v>0</v>
      </c>
      <c r="D27" s="45">
        <v>0</v>
      </c>
      <c r="E27" s="45">
        <v>0</v>
      </c>
      <c r="F27" s="45">
        <v>0</v>
      </c>
      <c r="G27" s="45">
        <v>0</v>
      </c>
      <c r="H27" s="45">
        <v>0</v>
      </c>
      <c r="I27" s="45">
        <v>0</v>
      </c>
      <c r="J27" s="45">
        <v>0</v>
      </c>
      <c r="K27" s="45">
        <v>0</v>
      </c>
      <c r="L27" s="45">
        <v>0</v>
      </c>
      <c r="M27" s="45">
        <v>0</v>
      </c>
      <c r="N27" s="45">
        <v>0</v>
      </c>
      <c r="O27" s="45">
        <v>0</v>
      </c>
      <c r="P27" s="45">
        <v>0</v>
      </c>
      <c r="Q27" s="45">
        <v>-27257</v>
      </c>
      <c r="R27" s="45">
        <v>-28963</v>
      </c>
      <c r="S27" s="45">
        <v>-24903</v>
      </c>
      <c r="T27" s="45">
        <v>0</v>
      </c>
      <c r="U27" s="45">
        <v>-25979</v>
      </c>
      <c r="W27" s="45">
        <f t="shared" si="39"/>
        <v>0</v>
      </c>
      <c r="X27" s="45">
        <f t="shared" si="40"/>
        <v>0</v>
      </c>
      <c r="Y27" s="45">
        <f t="shared" si="41"/>
        <v>0</v>
      </c>
      <c r="Z27" s="45">
        <f t="shared" si="42"/>
        <v>0</v>
      </c>
      <c r="AA27" s="45">
        <f t="shared" si="43"/>
        <v>0</v>
      </c>
      <c r="AB27" s="45">
        <f t="shared" si="44"/>
        <v>0</v>
      </c>
      <c r="AC27" s="45">
        <f t="shared" si="45"/>
        <v>0</v>
      </c>
      <c r="AD27" s="45">
        <f t="shared" si="46"/>
        <v>0</v>
      </c>
      <c r="AE27" s="45">
        <f t="shared" si="47"/>
        <v>0</v>
      </c>
      <c r="AF27" s="45">
        <f t="shared" si="48"/>
        <v>0</v>
      </c>
      <c r="AG27" s="45">
        <f t="shared" si="49"/>
        <v>0</v>
      </c>
      <c r="AH27" s="45">
        <f t="shared" si="50"/>
        <v>0</v>
      </c>
      <c r="AI27" s="45">
        <f t="shared" si="11"/>
        <v>-27257</v>
      </c>
      <c r="AJ27" s="45">
        <f t="shared" si="20"/>
        <v>-1706</v>
      </c>
      <c r="AK27" s="45">
        <f t="shared" si="51"/>
        <v>4060</v>
      </c>
      <c r="AL27" s="45">
        <f t="shared" si="52"/>
        <v>24903</v>
      </c>
      <c r="AM27" s="45">
        <f t="shared" si="0"/>
        <v>-25979</v>
      </c>
      <c r="AO27" s="45">
        <f t="shared" si="53"/>
        <v>0</v>
      </c>
      <c r="AP27" s="45">
        <f t="shared" si="54"/>
        <v>0</v>
      </c>
      <c r="AQ27" s="45">
        <f t="shared" si="55"/>
        <v>0</v>
      </c>
      <c r="AR27" s="45">
        <f t="shared" si="17"/>
        <v>0</v>
      </c>
    </row>
    <row r="28" spans="2:44" ht="14.25" customHeight="1" x14ac:dyDescent="0.35">
      <c r="B28" s="7" t="s">
        <v>285</v>
      </c>
      <c r="C28" s="45">
        <v>0</v>
      </c>
      <c r="D28" s="45">
        <v>0</v>
      </c>
      <c r="E28" s="45">
        <v>0</v>
      </c>
      <c r="F28" s="45">
        <v>0</v>
      </c>
      <c r="G28" s="45">
        <v>0</v>
      </c>
      <c r="H28" s="45">
        <v>0</v>
      </c>
      <c r="I28" s="45">
        <v>0</v>
      </c>
      <c r="J28" s="45">
        <v>0</v>
      </c>
      <c r="K28" s="45">
        <v>0</v>
      </c>
      <c r="L28" s="45">
        <v>0</v>
      </c>
      <c r="M28" s="45">
        <v>0</v>
      </c>
      <c r="N28" s="45">
        <v>0</v>
      </c>
      <c r="O28" s="45">
        <v>0</v>
      </c>
      <c r="P28" s="45">
        <v>0</v>
      </c>
      <c r="Q28" s="45">
        <v>0</v>
      </c>
      <c r="R28" s="45">
        <v>0</v>
      </c>
      <c r="S28" s="45">
        <v>0</v>
      </c>
      <c r="T28" s="45">
        <v>0</v>
      </c>
      <c r="U28" s="45">
        <v>0</v>
      </c>
      <c r="W28" s="45">
        <f t="shared" si="39"/>
        <v>0</v>
      </c>
      <c r="X28" s="45">
        <f t="shared" si="40"/>
        <v>0</v>
      </c>
      <c r="Y28" s="45">
        <f t="shared" si="41"/>
        <v>0</v>
      </c>
      <c r="Z28" s="45">
        <f t="shared" si="42"/>
        <v>0</v>
      </c>
      <c r="AA28" s="45">
        <f t="shared" si="43"/>
        <v>0</v>
      </c>
      <c r="AB28" s="45">
        <f t="shared" si="44"/>
        <v>0</v>
      </c>
      <c r="AC28" s="45">
        <f t="shared" si="45"/>
        <v>0</v>
      </c>
      <c r="AD28" s="45">
        <f t="shared" si="46"/>
        <v>0</v>
      </c>
      <c r="AE28" s="45">
        <f t="shared" si="47"/>
        <v>0</v>
      </c>
      <c r="AF28" s="45">
        <f t="shared" si="48"/>
        <v>0</v>
      </c>
      <c r="AG28" s="45">
        <f t="shared" si="49"/>
        <v>0</v>
      </c>
      <c r="AH28" s="45">
        <f t="shared" si="50"/>
        <v>0</v>
      </c>
      <c r="AI28" s="45">
        <f t="shared" si="11"/>
        <v>0</v>
      </c>
      <c r="AJ28" s="45">
        <f t="shared" si="20"/>
        <v>0</v>
      </c>
      <c r="AK28" s="45">
        <f t="shared" si="51"/>
        <v>0</v>
      </c>
      <c r="AL28" s="45">
        <f t="shared" si="52"/>
        <v>0</v>
      </c>
      <c r="AM28" s="45">
        <f t="shared" si="0"/>
        <v>0</v>
      </c>
      <c r="AO28" s="45">
        <f t="shared" si="53"/>
        <v>0</v>
      </c>
      <c r="AP28" s="45">
        <f t="shared" si="54"/>
        <v>0</v>
      </c>
      <c r="AQ28" s="45">
        <f t="shared" si="55"/>
        <v>0</v>
      </c>
      <c r="AR28" s="45">
        <f t="shared" si="17"/>
        <v>0</v>
      </c>
    </row>
    <row r="29" spans="2:44" ht="15" customHeight="1" x14ac:dyDescent="0.35">
      <c r="B29" s="7" t="s">
        <v>26</v>
      </c>
      <c r="C29" s="45">
        <v>0</v>
      </c>
      <c r="D29" s="45">
        <v>0</v>
      </c>
      <c r="E29" s="45">
        <v>0</v>
      </c>
      <c r="F29" s="45">
        <v>0</v>
      </c>
      <c r="G29" s="45">
        <v>0</v>
      </c>
      <c r="H29" s="45">
        <v>0</v>
      </c>
      <c r="I29" s="45">
        <v>0</v>
      </c>
      <c r="J29" s="45">
        <v>0</v>
      </c>
      <c r="K29" s="45">
        <v>0</v>
      </c>
      <c r="L29" s="45">
        <v>0</v>
      </c>
      <c r="M29" s="45">
        <v>0</v>
      </c>
      <c r="N29" s="45">
        <v>0</v>
      </c>
      <c r="O29" s="45">
        <v>0</v>
      </c>
      <c r="P29" s="30">
        <v>0</v>
      </c>
      <c r="Q29" s="30">
        <v>-79</v>
      </c>
      <c r="R29" s="30">
        <v>-189</v>
      </c>
      <c r="S29" s="45">
        <v>-333</v>
      </c>
      <c r="T29" s="45">
        <v>-405</v>
      </c>
      <c r="U29" s="45">
        <v>-640</v>
      </c>
      <c r="W29" s="45">
        <f t="shared" si="39"/>
        <v>0</v>
      </c>
      <c r="X29" s="45">
        <f t="shared" si="40"/>
        <v>0</v>
      </c>
      <c r="Y29" s="45">
        <f t="shared" si="41"/>
        <v>0</v>
      </c>
      <c r="Z29" s="45">
        <f>H29-G29</f>
        <v>0</v>
      </c>
      <c r="AA29" s="45">
        <f>I29</f>
        <v>0</v>
      </c>
      <c r="AB29" s="45">
        <f t="shared" ref="AB29:AD30" si="60">J29-I29</f>
        <v>0</v>
      </c>
      <c r="AC29" s="45">
        <f t="shared" si="60"/>
        <v>0</v>
      </c>
      <c r="AD29" s="45">
        <f t="shared" si="60"/>
        <v>0</v>
      </c>
      <c r="AE29" s="45">
        <f>M29</f>
        <v>0</v>
      </c>
      <c r="AF29" s="45">
        <f t="shared" ref="AF29:AH30" si="61">N29-M29</f>
        <v>0</v>
      </c>
      <c r="AG29" s="45">
        <f t="shared" si="61"/>
        <v>0</v>
      </c>
      <c r="AH29" s="45">
        <f t="shared" si="61"/>
        <v>0</v>
      </c>
      <c r="AI29" s="45">
        <f t="shared" si="11"/>
        <v>-79</v>
      </c>
      <c r="AJ29" s="45">
        <f t="shared" si="20"/>
        <v>-110</v>
      </c>
      <c r="AK29" s="45">
        <f>S29-R29</f>
        <v>-144</v>
      </c>
      <c r="AL29" s="45">
        <f>T29-S29</f>
        <v>-72</v>
      </c>
      <c r="AM29" s="45">
        <f>U29</f>
        <v>-640</v>
      </c>
      <c r="AO29" s="45">
        <f>H29-D29</f>
        <v>0</v>
      </c>
      <c r="AP29" s="45">
        <f>L29-H29</f>
        <v>0</v>
      </c>
      <c r="AQ29" s="45">
        <f>P29-L29</f>
        <v>0</v>
      </c>
      <c r="AR29" s="45">
        <f>T29-P29</f>
        <v>-405</v>
      </c>
    </row>
    <row r="30" spans="2:44" ht="15" customHeight="1" x14ac:dyDescent="0.35">
      <c r="B30" s="7" t="s">
        <v>287</v>
      </c>
      <c r="C30" s="45">
        <v>0</v>
      </c>
      <c r="D30" s="30">
        <v>0</v>
      </c>
      <c r="E30" s="30">
        <v>0</v>
      </c>
      <c r="F30" s="30">
        <v>0</v>
      </c>
      <c r="G30" s="30">
        <v>0</v>
      </c>
      <c r="H30" s="30">
        <v>0</v>
      </c>
      <c r="I30" s="30">
        <v>0</v>
      </c>
      <c r="J30" s="30">
        <v>0</v>
      </c>
      <c r="K30" s="30">
        <v>0</v>
      </c>
      <c r="L30" s="30">
        <v>0</v>
      </c>
      <c r="M30" s="30">
        <v>0</v>
      </c>
      <c r="N30" s="30">
        <v>0</v>
      </c>
      <c r="O30" s="30">
        <v>0</v>
      </c>
      <c r="P30" s="30">
        <v>0</v>
      </c>
      <c r="Q30" s="30">
        <v>-4391</v>
      </c>
      <c r="R30" s="30">
        <v>-7684</v>
      </c>
      <c r="S30" s="45">
        <v>-54067</v>
      </c>
      <c r="T30" s="45">
        <v>-28032</v>
      </c>
      <c r="U30" s="45">
        <v>25115</v>
      </c>
      <c r="W30" s="45">
        <f t="shared" si="39"/>
        <v>0</v>
      </c>
      <c r="X30" s="45">
        <f t="shared" si="40"/>
        <v>0</v>
      </c>
      <c r="Y30" s="45">
        <f t="shared" si="41"/>
        <v>0</v>
      </c>
      <c r="Z30" s="45">
        <f>H30-G30</f>
        <v>0</v>
      </c>
      <c r="AA30" s="45">
        <f>I30</f>
        <v>0</v>
      </c>
      <c r="AB30" s="45">
        <f t="shared" si="60"/>
        <v>0</v>
      </c>
      <c r="AC30" s="45">
        <f t="shared" si="60"/>
        <v>0</v>
      </c>
      <c r="AD30" s="45">
        <f t="shared" si="60"/>
        <v>0</v>
      </c>
      <c r="AE30" s="45">
        <f>M30</f>
        <v>0</v>
      </c>
      <c r="AF30" s="45">
        <f t="shared" si="61"/>
        <v>0</v>
      </c>
      <c r="AG30" s="45">
        <f t="shared" si="61"/>
        <v>0</v>
      </c>
      <c r="AH30" s="45">
        <f t="shared" si="61"/>
        <v>0</v>
      </c>
      <c r="AI30" s="45">
        <f t="shared" ref="AI30" si="62">Q30</f>
        <v>-4391</v>
      </c>
      <c r="AJ30" s="45">
        <f t="shared" ref="AJ30" si="63">R30-Q30</f>
        <v>-3293</v>
      </c>
      <c r="AK30" s="45">
        <f>S30-R30</f>
        <v>-46383</v>
      </c>
      <c r="AL30" s="45">
        <f>T30-S30</f>
        <v>26035</v>
      </c>
      <c r="AM30" s="45">
        <f>U30</f>
        <v>25115</v>
      </c>
      <c r="AO30" s="45"/>
      <c r="AP30" s="45"/>
      <c r="AQ30" s="45"/>
      <c r="AR30" s="45"/>
    </row>
    <row r="31" spans="2:44" ht="14.25" customHeight="1" x14ac:dyDescent="0.35">
      <c r="B31" s="7" t="s">
        <v>291</v>
      </c>
      <c r="C31" s="45">
        <v>-3869</v>
      </c>
      <c r="D31" s="45">
        <v>-7990</v>
      </c>
      <c r="E31" s="45">
        <v>-9360.0949999999993</v>
      </c>
      <c r="F31" s="45">
        <v>-4489.2879999999996</v>
      </c>
      <c r="G31" s="45">
        <v>-53870.641000000003</v>
      </c>
      <c r="H31" s="45">
        <v>-56058.641000000003</v>
      </c>
      <c r="I31" s="45">
        <v>44998</v>
      </c>
      <c r="J31" s="45">
        <v>46329</v>
      </c>
      <c r="K31" s="45">
        <v>30905</v>
      </c>
      <c r="L31" s="45">
        <v>29823</v>
      </c>
      <c r="M31" s="45">
        <v>8089</v>
      </c>
      <c r="N31" s="45">
        <v>-6983</v>
      </c>
      <c r="O31" s="45">
        <v>-43016</v>
      </c>
      <c r="P31" s="45">
        <v>-64559</v>
      </c>
      <c r="Q31" s="45">
        <v>4542</v>
      </c>
      <c r="R31" s="45">
        <v>-64298</v>
      </c>
      <c r="S31" s="45">
        <v>-30547</v>
      </c>
      <c r="T31" s="45">
        <v>2172</v>
      </c>
      <c r="U31" s="45">
        <v>-77186</v>
      </c>
      <c r="W31" s="45">
        <f t="shared" si="39"/>
        <v>-9360.0949999999993</v>
      </c>
      <c r="X31" s="45">
        <f t="shared" si="40"/>
        <v>4870.8069999999998</v>
      </c>
      <c r="Y31" s="45">
        <f t="shared" si="41"/>
        <v>-49381.353000000003</v>
      </c>
      <c r="Z31" s="45">
        <f t="shared" si="42"/>
        <v>-2188</v>
      </c>
      <c r="AA31" s="45">
        <f t="shared" si="43"/>
        <v>44998</v>
      </c>
      <c r="AB31" s="45">
        <f t="shared" si="44"/>
        <v>1331</v>
      </c>
      <c r="AC31" s="45">
        <f t="shared" si="45"/>
        <v>-15424</v>
      </c>
      <c r="AD31" s="45">
        <f t="shared" si="46"/>
        <v>-1082</v>
      </c>
      <c r="AE31" s="45">
        <f t="shared" si="47"/>
        <v>8089</v>
      </c>
      <c r="AF31" s="45">
        <f t="shared" si="48"/>
        <v>-15072</v>
      </c>
      <c r="AG31" s="45">
        <f t="shared" si="49"/>
        <v>-36033</v>
      </c>
      <c r="AH31" s="45">
        <f t="shared" si="50"/>
        <v>-21543</v>
      </c>
      <c r="AI31" s="45">
        <f t="shared" si="11"/>
        <v>4542</v>
      </c>
      <c r="AJ31" s="45">
        <f t="shared" si="20"/>
        <v>-68840</v>
      </c>
      <c r="AK31" s="45">
        <f t="shared" si="51"/>
        <v>33751</v>
      </c>
      <c r="AL31" s="45">
        <f t="shared" si="52"/>
        <v>32719</v>
      </c>
      <c r="AM31" s="45">
        <f t="shared" si="0"/>
        <v>-77186</v>
      </c>
      <c r="AO31" s="45">
        <f t="shared" si="53"/>
        <v>-48068.641000000003</v>
      </c>
      <c r="AP31" s="45">
        <f t="shared" si="54"/>
        <v>85881.641000000003</v>
      </c>
      <c r="AQ31" s="45">
        <f t="shared" si="55"/>
        <v>-94382</v>
      </c>
      <c r="AR31" s="45">
        <f t="shared" si="17"/>
        <v>66731</v>
      </c>
    </row>
    <row r="32" spans="2:44" ht="14.25" customHeight="1" x14ac:dyDescent="0.35">
      <c r="B32" s="7" t="s">
        <v>292</v>
      </c>
      <c r="C32" s="45">
        <v>-12431</v>
      </c>
      <c r="D32" s="45">
        <v>14999</v>
      </c>
      <c r="E32" s="45">
        <v>126662.47413</v>
      </c>
      <c r="F32" s="45">
        <v>210703</v>
      </c>
      <c r="G32" s="45">
        <v>76888.790950000024</v>
      </c>
      <c r="H32" s="45">
        <v>58693.308300000004</v>
      </c>
      <c r="I32" s="45">
        <v>306161.13901000004</v>
      </c>
      <c r="J32" s="45">
        <v>527863.37894000008</v>
      </c>
      <c r="K32" s="45">
        <v>203265.00009000002</v>
      </c>
      <c r="L32" s="45">
        <v>51136</v>
      </c>
      <c r="M32" s="45">
        <v>570237</v>
      </c>
      <c r="N32" s="45">
        <v>987123</v>
      </c>
      <c r="O32" s="45">
        <v>489159</v>
      </c>
      <c r="P32" s="45">
        <v>423388</v>
      </c>
      <c r="Q32" s="45">
        <v>1405903</v>
      </c>
      <c r="R32" s="45">
        <v>1707957</v>
      </c>
      <c r="S32" s="45">
        <v>1096208</v>
      </c>
      <c r="T32" s="45">
        <v>443496</v>
      </c>
      <c r="U32" s="45">
        <v>1425046</v>
      </c>
      <c r="W32" s="45">
        <f t="shared" si="39"/>
        <v>126662.47413</v>
      </c>
      <c r="X32" s="45">
        <f t="shared" si="40"/>
        <v>84040.525869999998</v>
      </c>
      <c r="Y32" s="45">
        <f t="shared" si="41"/>
        <v>-133814.20904999998</v>
      </c>
      <c r="Z32" s="45">
        <f t="shared" si="42"/>
        <v>-18195.48265000002</v>
      </c>
      <c r="AA32" s="45">
        <f t="shared" si="43"/>
        <v>306161.13901000004</v>
      </c>
      <c r="AB32" s="45">
        <f t="shared" si="44"/>
        <v>221702.23993000004</v>
      </c>
      <c r="AC32" s="45">
        <f t="shared" si="45"/>
        <v>-324598.3788500001</v>
      </c>
      <c r="AD32" s="45">
        <f t="shared" si="46"/>
        <v>-152129.00009000002</v>
      </c>
      <c r="AE32" s="45">
        <f t="shared" si="47"/>
        <v>570237</v>
      </c>
      <c r="AF32" s="45">
        <f t="shared" si="48"/>
        <v>416886</v>
      </c>
      <c r="AG32" s="45">
        <f t="shared" si="49"/>
        <v>-497964</v>
      </c>
      <c r="AH32" s="45">
        <f t="shared" si="50"/>
        <v>-65771</v>
      </c>
      <c r="AI32" s="45">
        <f t="shared" si="11"/>
        <v>1405903</v>
      </c>
      <c r="AJ32" s="45">
        <f t="shared" si="20"/>
        <v>302054</v>
      </c>
      <c r="AK32" s="45">
        <f t="shared" si="51"/>
        <v>-611749</v>
      </c>
      <c r="AL32" s="45">
        <f t="shared" si="52"/>
        <v>-652712</v>
      </c>
      <c r="AM32" s="45">
        <f t="shared" si="0"/>
        <v>1425046</v>
      </c>
      <c r="AO32" s="45">
        <f t="shared" si="53"/>
        <v>43694.308300000004</v>
      </c>
      <c r="AP32" s="45">
        <f t="shared" si="54"/>
        <v>-7557.3083000000042</v>
      </c>
      <c r="AQ32" s="45">
        <f t="shared" si="55"/>
        <v>372252</v>
      </c>
      <c r="AR32" s="45">
        <f t="shared" si="17"/>
        <v>20108</v>
      </c>
    </row>
    <row r="33" spans="2:44" ht="14.25" customHeight="1" x14ac:dyDescent="0.35">
      <c r="B33" s="7" t="s">
        <v>293</v>
      </c>
      <c r="C33" s="45">
        <v>8854</v>
      </c>
      <c r="D33" s="45">
        <v>1934</v>
      </c>
      <c r="E33" s="45">
        <v>7293.61</v>
      </c>
      <c r="F33" s="45">
        <v>6348</v>
      </c>
      <c r="G33" s="45">
        <v>35671.816999999995</v>
      </c>
      <c r="H33" s="45">
        <v>18538.816999999999</v>
      </c>
      <c r="I33" s="45">
        <v>-14191</v>
      </c>
      <c r="J33" s="45">
        <v>-12930</v>
      </c>
      <c r="K33" s="45">
        <v>-1195</v>
      </c>
      <c r="L33" s="45">
        <v>-8439</v>
      </c>
      <c r="M33" s="45">
        <v>125</v>
      </c>
      <c r="N33" s="45">
        <v>4511</v>
      </c>
      <c r="O33" s="45">
        <v>55216</v>
      </c>
      <c r="P33" s="45">
        <v>6080</v>
      </c>
      <c r="Q33" s="45">
        <v>979</v>
      </c>
      <c r="R33" s="45">
        <v>34744</v>
      </c>
      <c r="S33" s="45">
        <v>14322</v>
      </c>
      <c r="T33" s="45">
        <v>13341</v>
      </c>
      <c r="U33" s="45">
        <v>2017</v>
      </c>
      <c r="W33" s="45">
        <f t="shared" si="39"/>
        <v>7293.61</v>
      </c>
      <c r="X33" s="45">
        <f t="shared" si="40"/>
        <v>-945.60999999999967</v>
      </c>
      <c r="Y33" s="45">
        <f t="shared" si="41"/>
        <v>29323.816999999995</v>
      </c>
      <c r="Z33" s="45">
        <f t="shared" si="42"/>
        <v>-17132.999999999996</v>
      </c>
      <c r="AA33" s="45">
        <f t="shared" si="43"/>
        <v>-14191</v>
      </c>
      <c r="AB33" s="45">
        <f t="shared" si="44"/>
        <v>1261</v>
      </c>
      <c r="AC33" s="45">
        <f t="shared" si="45"/>
        <v>11735</v>
      </c>
      <c r="AD33" s="45">
        <f t="shared" si="46"/>
        <v>-7244</v>
      </c>
      <c r="AE33" s="45">
        <f t="shared" si="47"/>
        <v>125</v>
      </c>
      <c r="AF33" s="45">
        <f t="shared" si="48"/>
        <v>4386</v>
      </c>
      <c r="AG33" s="45">
        <f t="shared" si="49"/>
        <v>50705</v>
      </c>
      <c r="AH33" s="45">
        <f t="shared" si="50"/>
        <v>-49136</v>
      </c>
      <c r="AI33" s="45">
        <f t="shared" si="11"/>
        <v>979</v>
      </c>
      <c r="AJ33" s="45">
        <f t="shared" si="20"/>
        <v>33765</v>
      </c>
      <c r="AK33" s="45">
        <f t="shared" si="51"/>
        <v>-20422</v>
      </c>
      <c r="AL33" s="45">
        <f t="shared" si="52"/>
        <v>-981</v>
      </c>
      <c r="AM33" s="45">
        <f t="shared" si="0"/>
        <v>2017</v>
      </c>
      <c r="AO33" s="45">
        <f t="shared" si="53"/>
        <v>16604.816999999999</v>
      </c>
      <c r="AP33" s="45">
        <f t="shared" si="54"/>
        <v>-26977.816999999999</v>
      </c>
      <c r="AQ33" s="45">
        <f t="shared" si="55"/>
        <v>14519</v>
      </c>
      <c r="AR33" s="45">
        <f t="shared" si="17"/>
        <v>7261</v>
      </c>
    </row>
    <row r="34" spans="2:44" ht="15" customHeight="1" x14ac:dyDescent="0.35">
      <c r="B34" s="7" t="s">
        <v>294</v>
      </c>
      <c r="C34" s="30">
        <v>1631</v>
      </c>
      <c r="D34" s="30">
        <v>3078</v>
      </c>
      <c r="E34" s="30">
        <v>2710.5010000000002</v>
      </c>
      <c r="F34" s="30">
        <v>7523.4309999999996</v>
      </c>
      <c r="G34" s="30">
        <v>8694.0770000000011</v>
      </c>
      <c r="H34" s="30">
        <v>18145.077000000001</v>
      </c>
      <c r="I34" s="30">
        <v>5510</v>
      </c>
      <c r="J34" s="30">
        <v>13199</v>
      </c>
      <c r="K34" s="30">
        <v>-1448</v>
      </c>
      <c r="L34" s="30">
        <v>4642</v>
      </c>
      <c r="M34" s="30">
        <v>-2695</v>
      </c>
      <c r="N34" s="30">
        <v>1592</v>
      </c>
      <c r="O34" s="30">
        <v>8687</v>
      </c>
      <c r="P34" s="30">
        <v>19143</v>
      </c>
      <c r="Q34" s="30">
        <v>-9335</v>
      </c>
      <c r="R34" s="30">
        <v>-5803</v>
      </c>
      <c r="S34" s="30">
        <v>6287</v>
      </c>
      <c r="T34" s="30">
        <v>19371</v>
      </c>
      <c r="U34" s="30">
        <v>-8714</v>
      </c>
      <c r="W34" s="45">
        <f t="shared" si="39"/>
        <v>2710.5010000000002</v>
      </c>
      <c r="X34" s="45">
        <f t="shared" si="40"/>
        <v>4812.9299999999994</v>
      </c>
      <c r="Y34" s="45">
        <f t="shared" si="41"/>
        <v>1170.6460000000015</v>
      </c>
      <c r="Z34" s="45">
        <f t="shared" si="42"/>
        <v>9451</v>
      </c>
      <c r="AA34" s="45">
        <f t="shared" si="43"/>
        <v>5510</v>
      </c>
      <c r="AB34" s="45">
        <f t="shared" si="44"/>
        <v>7689</v>
      </c>
      <c r="AC34" s="45">
        <f t="shared" si="45"/>
        <v>-14647</v>
      </c>
      <c r="AD34" s="45">
        <f t="shared" si="46"/>
        <v>6090</v>
      </c>
      <c r="AE34" s="45">
        <f t="shared" si="47"/>
        <v>-2695</v>
      </c>
      <c r="AF34" s="45">
        <f t="shared" si="48"/>
        <v>4287</v>
      </c>
      <c r="AG34" s="45">
        <f t="shared" si="49"/>
        <v>7095</v>
      </c>
      <c r="AH34" s="45">
        <f t="shared" si="50"/>
        <v>10456</v>
      </c>
      <c r="AI34" s="45">
        <f t="shared" si="11"/>
        <v>-9335</v>
      </c>
      <c r="AJ34" s="45">
        <f t="shared" si="20"/>
        <v>3532</v>
      </c>
      <c r="AK34" s="45">
        <f t="shared" si="51"/>
        <v>12090</v>
      </c>
      <c r="AL34" s="45">
        <f t="shared" si="52"/>
        <v>13084</v>
      </c>
      <c r="AM34" s="45">
        <f t="shared" si="0"/>
        <v>-8714</v>
      </c>
      <c r="AO34" s="45">
        <f t="shared" si="53"/>
        <v>15067.077000000001</v>
      </c>
      <c r="AP34" s="45">
        <f t="shared" si="54"/>
        <v>-13503.077000000001</v>
      </c>
      <c r="AQ34" s="45">
        <f t="shared" si="55"/>
        <v>14501</v>
      </c>
      <c r="AR34" s="45">
        <f t="shared" si="17"/>
        <v>228</v>
      </c>
    </row>
    <row r="35" spans="2:44" ht="15" customHeight="1" x14ac:dyDescent="0.35">
      <c r="B35" s="7" t="s">
        <v>295</v>
      </c>
      <c r="C35" s="45">
        <v>4203</v>
      </c>
      <c r="D35" s="45">
        <v>17382.400000000001</v>
      </c>
      <c r="E35" s="45">
        <v>6735.2418099999995</v>
      </c>
      <c r="F35" s="45">
        <v>6397</v>
      </c>
      <c r="G35" s="45">
        <v>19117.004540000002</v>
      </c>
      <c r="H35" s="45">
        <v>12377.22625</v>
      </c>
      <c r="I35" s="45">
        <v>7424</v>
      </c>
      <c r="J35" s="45">
        <v>15602</v>
      </c>
      <c r="K35" s="45">
        <v>-22193.651070000004</v>
      </c>
      <c r="L35" s="45">
        <v>4026</v>
      </c>
      <c r="M35" s="45">
        <v>-7751</v>
      </c>
      <c r="N35" s="45">
        <v>303</v>
      </c>
      <c r="O35" s="45">
        <v>-30706</v>
      </c>
      <c r="P35" s="30">
        <v>-98364</v>
      </c>
      <c r="Q35" s="30">
        <v>-65462</v>
      </c>
      <c r="R35" s="30">
        <v>-160179</v>
      </c>
      <c r="S35" s="45">
        <v>-250193.69542</v>
      </c>
      <c r="T35" s="45">
        <v>-241521</v>
      </c>
      <c r="U35" s="45">
        <v>-49216</v>
      </c>
      <c r="W35" s="45">
        <f t="shared" si="39"/>
        <v>6735.2418099999995</v>
      </c>
      <c r="X35" s="45">
        <f t="shared" si="40"/>
        <v>-338.24180999999953</v>
      </c>
      <c r="Y35" s="45">
        <f t="shared" si="41"/>
        <v>12720.004540000002</v>
      </c>
      <c r="Z35" s="45">
        <f t="shared" si="42"/>
        <v>-6739.778290000002</v>
      </c>
      <c r="AA35" s="45">
        <f t="shared" si="43"/>
        <v>7424</v>
      </c>
      <c r="AB35" s="45">
        <f t="shared" si="44"/>
        <v>8178</v>
      </c>
      <c r="AC35" s="45">
        <f t="shared" si="45"/>
        <v>-37795.651070000007</v>
      </c>
      <c r="AD35" s="45">
        <f t="shared" si="46"/>
        <v>26219.651070000004</v>
      </c>
      <c r="AE35" s="45">
        <f t="shared" si="47"/>
        <v>-7751</v>
      </c>
      <c r="AF35" s="45">
        <f t="shared" si="48"/>
        <v>8054</v>
      </c>
      <c r="AG35" s="45">
        <f t="shared" si="49"/>
        <v>-31009</v>
      </c>
      <c r="AH35" s="45">
        <f t="shared" si="50"/>
        <v>-67658</v>
      </c>
      <c r="AI35" s="45">
        <f t="shared" si="11"/>
        <v>-65462</v>
      </c>
      <c r="AJ35" s="45">
        <f t="shared" si="20"/>
        <v>-94717</v>
      </c>
      <c r="AK35" s="45">
        <f t="shared" si="51"/>
        <v>-90014.695420000004</v>
      </c>
      <c r="AL35" s="45">
        <f t="shared" si="52"/>
        <v>8672.6954200000037</v>
      </c>
      <c r="AM35" s="45">
        <f t="shared" si="0"/>
        <v>-49216</v>
      </c>
      <c r="AO35" s="45">
        <f t="shared" si="53"/>
        <v>-5005.1737500000017</v>
      </c>
      <c r="AP35" s="45">
        <f t="shared" si="54"/>
        <v>-8351.2262499999997</v>
      </c>
      <c r="AQ35" s="45">
        <f t="shared" si="55"/>
        <v>-102390</v>
      </c>
      <c r="AR35" s="45">
        <f t="shared" si="17"/>
        <v>-143157</v>
      </c>
    </row>
    <row r="36" spans="2:44" ht="15" customHeight="1" x14ac:dyDescent="0.35">
      <c r="B36" s="7" t="s">
        <v>286</v>
      </c>
      <c r="C36" s="45">
        <v>1146</v>
      </c>
      <c r="D36" s="45">
        <v>-2547.6</v>
      </c>
      <c r="E36" s="45">
        <v>340.10523999999896</v>
      </c>
      <c r="F36" s="45">
        <v>-4513.5230000000001</v>
      </c>
      <c r="G36" s="45">
        <v>-16352.446</v>
      </c>
      <c r="H36" s="45">
        <v>-16577.414209999995</v>
      </c>
      <c r="I36" s="45">
        <v>-4175</v>
      </c>
      <c r="J36" s="45">
        <v>-7088.4474899999968</v>
      </c>
      <c r="K36" s="45">
        <v>-1350</v>
      </c>
      <c r="L36" s="45">
        <v>-23101</v>
      </c>
      <c r="M36" s="45">
        <v>-11326</v>
      </c>
      <c r="N36" s="45">
        <v>-45645.685774689322</v>
      </c>
      <c r="O36" s="45">
        <v>-34380</v>
      </c>
      <c r="P36" s="30">
        <v>-20489.74131999999</v>
      </c>
      <c r="Q36" s="30">
        <v>-16667</v>
      </c>
      <c r="R36" s="30">
        <v>-66423</v>
      </c>
      <c r="S36" s="45">
        <v>40296.52554000001</v>
      </c>
      <c r="T36" s="45">
        <v>-14604</v>
      </c>
      <c r="U36" s="45">
        <v>0</v>
      </c>
      <c r="W36" s="45">
        <f t="shared" si="39"/>
        <v>340.10523999999896</v>
      </c>
      <c r="X36" s="45">
        <f t="shared" si="40"/>
        <v>-4853.6282399999991</v>
      </c>
      <c r="Y36" s="45">
        <f t="shared" si="41"/>
        <v>-11838.922999999999</v>
      </c>
      <c r="Z36" s="45">
        <f t="shared" si="42"/>
        <v>-224.96820999999545</v>
      </c>
      <c r="AA36" s="45">
        <f t="shared" si="43"/>
        <v>-4175</v>
      </c>
      <c r="AB36" s="45">
        <f t="shared" si="44"/>
        <v>-2913.4474899999968</v>
      </c>
      <c r="AC36" s="45">
        <f t="shared" si="45"/>
        <v>5738.4474899999968</v>
      </c>
      <c r="AD36" s="45">
        <f t="shared" si="46"/>
        <v>-21751</v>
      </c>
      <c r="AE36" s="45">
        <f t="shared" si="47"/>
        <v>-11326</v>
      </c>
      <c r="AF36" s="45">
        <f t="shared" si="48"/>
        <v>-34319.685774689322</v>
      </c>
      <c r="AG36" s="45">
        <f t="shared" si="49"/>
        <v>11265.685774689322</v>
      </c>
      <c r="AH36" s="45">
        <f t="shared" si="50"/>
        <v>13890.25868000001</v>
      </c>
      <c r="AI36" s="45">
        <f t="shared" si="11"/>
        <v>-16667</v>
      </c>
      <c r="AJ36" s="45">
        <f t="shared" si="20"/>
        <v>-49756</v>
      </c>
      <c r="AK36" s="45">
        <f t="shared" si="51"/>
        <v>106719.52554</v>
      </c>
      <c r="AL36" s="45">
        <f t="shared" si="52"/>
        <v>-54900.52554000001</v>
      </c>
      <c r="AM36" s="45">
        <f t="shared" si="0"/>
        <v>0</v>
      </c>
      <c r="AO36" s="45">
        <f t="shared" si="53"/>
        <v>-14029.814209999995</v>
      </c>
      <c r="AP36" s="45">
        <f t="shared" si="54"/>
        <v>-6523.5857900000046</v>
      </c>
      <c r="AQ36" s="45">
        <f t="shared" si="55"/>
        <v>2611.2586800000099</v>
      </c>
      <c r="AR36" s="45">
        <f t="shared" si="17"/>
        <v>5885.7413199999901</v>
      </c>
    </row>
    <row r="37" spans="2:44" ht="15" customHeight="1" x14ac:dyDescent="0.35">
      <c r="B37" s="6" t="s">
        <v>296</v>
      </c>
      <c r="C37" s="45">
        <v>-2593</v>
      </c>
      <c r="D37" s="45">
        <v>-27155</v>
      </c>
      <c r="E37" s="45">
        <v>-12931.99907</v>
      </c>
      <c r="F37" s="45">
        <v>-57648.482967850061</v>
      </c>
      <c r="G37" s="45">
        <v>-58680.413747850056</v>
      </c>
      <c r="H37" s="45">
        <v>-146780.21611284997</v>
      </c>
      <c r="I37" s="45">
        <v>-77469</v>
      </c>
      <c r="J37" s="45">
        <v>-144287.84698000003</v>
      </c>
      <c r="K37" s="45">
        <v>-243088.01243</v>
      </c>
      <c r="L37" s="45">
        <v>-289537</v>
      </c>
      <c r="M37" s="45">
        <v>-340001.08909090911</v>
      </c>
      <c r="N37" s="45">
        <v>-363844.07817090908</v>
      </c>
      <c r="O37" s="45">
        <v>-791033.9232575756</v>
      </c>
      <c r="P37" s="30">
        <v>-845530</v>
      </c>
      <c r="Q37" s="30">
        <v>-214319</v>
      </c>
      <c r="R37" s="30">
        <v>-349212</v>
      </c>
      <c r="S37" s="45">
        <v>-643421.44357</v>
      </c>
      <c r="T37" s="45">
        <v>-827791</v>
      </c>
      <c r="U37" s="45">
        <v>-214151</v>
      </c>
      <c r="W37" s="45">
        <f t="shared" si="39"/>
        <v>-12931.99907</v>
      </c>
      <c r="X37" s="45">
        <f t="shared" si="40"/>
        <v>-44716.483897850063</v>
      </c>
      <c r="Y37" s="45">
        <f t="shared" si="41"/>
        <v>-1031.9307799999951</v>
      </c>
      <c r="Z37" s="45">
        <f t="shared" si="42"/>
        <v>-88099.802364999923</v>
      </c>
      <c r="AA37" s="45">
        <f t="shared" si="43"/>
        <v>-77469</v>
      </c>
      <c r="AB37" s="45">
        <f t="shared" si="44"/>
        <v>-66818.846980000031</v>
      </c>
      <c r="AC37" s="45">
        <f t="shared" si="45"/>
        <v>-98800.165449999971</v>
      </c>
      <c r="AD37" s="45">
        <f t="shared" si="46"/>
        <v>-46448.987569999998</v>
      </c>
      <c r="AE37" s="45">
        <f t="shared" si="47"/>
        <v>-340001.08909090911</v>
      </c>
      <c r="AF37" s="45">
        <f t="shared" si="48"/>
        <v>-23842.98907999997</v>
      </c>
      <c r="AG37" s="45">
        <f t="shared" si="49"/>
        <v>-427189.84508666652</v>
      </c>
      <c r="AH37" s="45">
        <f t="shared" si="50"/>
        <v>-54496.076742424397</v>
      </c>
      <c r="AI37" s="45">
        <f t="shared" si="11"/>
        <v>-214319</v>
      </c>
      <c r="AJ37" s="45">
        <f t="shared" si="20"/>
        <v>-134893</v>
      </c>
      <c r="AK37" s="45">
        <f t="shared" si="51"/>
        <v>-294209.44357</v>
      </c>
      <c r="AL37" s="45">
        <f t="shared" si="52"/>
        <v>-184369.55643</v>
      </c>
      <c r="AM37" s="45">
        <f t="shared" ref="AM37:AM68" si="64">U37</f>
        <v>-214151</v>
      </c>
      <c r="AO37" s="45">
        <f t="shared" si="53"/>
        <v>-119625.21611284997</v>
      </c>
      <c r="AP37" s="45">
        <f t="shared" si="54"/>
        <v>-142756.78388715003</v>
      </c>
      <c r="AQ37" s="45">
        <f t="shared" si="55"/>
        <v>-555993</v>
      </c>
      <c r="AR37" s="45">
        <f t="shared" si="17"/>
        <v>17739</v>
      </c>
    </row>
    <row r="38" spans="2:44" ht="15" customHeight="1" x14ac:dyDescent="0.35">
      <c r="B38" s="6" t="s">
        <v>297</v>
      </c>
      <c r="C38" s="45">
        <v>0</v>
      </c>
      <c r="D38" s="45">
        <v>0</v>
      </c>
      <c r="E38" s="45">
        <v>0</v>
      </c>
      <c r="F38" s="45">
        <v>0</v>
      </c>
      <c r="G38" s="45">
        <v>0</v>
      </c>
      <c r="H38" s="45">
        <v>0</v>
      </c>
      <c r="I38" s="45">
        <v>0</v>
      </c>
      <c r="J38" s="45">
        <v>0</v>
      </c>
      <c r="K38" s="45">
        <v>0</v>
      </c>
      <c r="L38" s="45">
        <v>0</v>
      </c>
      <c r="M38" s="45">
        <v>160304.08909090911</v>
      </c>
      <c r="N38" s="45">
        <v>160304.08909090905</v>
      </c>
      <c r="O38" s="45">
        <v>339976.60659090901</v>
      </c>
      <c r="P38" s="45">
        <v>339977</v>
      </c>
      <c r="Q38" s="45">
        <v>151040</v>
      </c>
      <c r="R38" s="45">
        <v>151040</v>
      </c>
      <c r="S38" s="45">
        <v>308379.84782608703</v>
      </c>
      <c r="T38" s="45">
        <v>146855</v>
      </c>
      <c r="U38" s="45">
        <v>197531</v>
      </c>
      <c r="W38" s="45">
        <f t="shared" si="39"/>
        <v>0</v>
      </c>
      <c r="X38" s="45">
        <f t="shared" si="40"/>
        <v>0</v>
      </c>
      <c r="Y38" s="45">
        <f t="shared" si="41"/>
        <v>0</v>
      </c>
      <c r="Z38" s="45">
        <f t="shared" si="42"/>
        <v>0</v>
      </c>
      <c r="AA38" s="45">
        <f t="shared" si="43"/>
        <v>0</v>
      </c>
      <c r="AB38" s="45">
        <f t="shared" si="44"/>
        <v>0</v>
      </c>
      <c r="AC38" s="45">
        <f t="shared" si="45"/>
        <v>0</v>
      </c>
      <c r="AD38" s="45">
        <f t="shared" si="46"/>
        <v>0</v>
      </c>
      <c r="AE38" s="45">
        <f t="shared" si="47"/>
        <v>160304.08909090911</v>
      </c>
      <c r="AF38" s="45">
        <f t="shared" si="48"/>
        <v>0</v>
      </c>
      <c r="AG38" s="45">
        <f t="shared" si="49"/>
        <v>179672.51749999996</v>
      </c>
      <c r="AH38" s="45">
        <f t="shared" si="50"/>
        <v>0.39340909098973498</v>
      </c>
      <c r="AI38" s="45">
        <f t="shared" si="11"/>
        <v>151040</v>
      </c>
      <c r="AJ38" s="45">
        <f t="shared" si="20"/>
        <v>0</v>
      </c>
      <c r="AK38" s="45">
        <f t="shared" si="51"/>
        <v>157339.84782608703</v>
      </c>
      <c r="AL38" s="45">
        <f t="shared" si="52"/>
        <v>-161524.84782608703</v>
      </c>
      <c r="AM38" s="45">
        <f t="shared" si="64"/>
        <v>197531</v>
      </c>
      <c r="AO38" s="45">
        <f t="shared" si="53"/>
        <v>0</v>
      </c>
      <c r="AP38" s="45">
        <f t="shared" si="54"/>
        <v>0</v>
      </c>
      <c r="AQ38" s="45">
        <f t="shared" si="55"/>
        <v>339977</v>
      </c>
      <c r="AR38" s="45">
        <f t="shared" si="17"/>
        <v>-193122</v>
      </c>
    </row>
    <row r="39" spans="2:44" ht="15" customHeight="1" x14ac:dyDescent="0.35">
      <c r="B39" s="6" t="s">
        <v>298</v>
      </c>
      <c r="C39" s="6">
        <v>0</v>
      </c>
      <c r="D39" s="6">
        <v>-16446</v>
      </c>
      <c r="E39" s="6">
        <v>-7672.8398099999995</v>
      </c>
      <c r="F39" s="6">
        <v>-7672</v>
      </c>
      <c r="G39" s="6">
        <v>-8441.5875400000004</v>
      </c>
      <c r="H39" s="6">
        <v>-8445.8092500000002</v>
      </c>
      <c r="I39" s="6">
        <v>0</v>
      </c>
      <c r="J39" s="6">
        <v>0</v>
      </c>
      <c r="K39" s="6">
        <v>0</v>
      </c>
      <c r="L39" s="6">
        <v>0</v>
      </c>
      <c r="M39" s="45">
        <v>-25867</v>
      </c>
      <c r="N39" s="45">
        <v>-49042</v>
      </c>
      <c r="O39" s="45">
        <v>-63895</v>
      </c>
      <c r="P39" s="45">
        <v>-87860</v>
      </c>
      <c r="Q39" s="45">
        <v>0</v>
      </c>
      <c r="R39" s="45">
        <v>0</v>
      </c>
      <c r="S39" s="45">
        <v>0</v>
      </c>
      <c r="T39" s="45">
        <v>0</v>
      </c>
      <c r="U39" s="45">
        <v>0</v>
      </c>
      <c r="W39" s="45">
        <f t="shared" si="39"/>
        <v>-7672.8398099999995</v>
      </c>
      <c r="X39" s="45">
        <f t="shared" si="40"/>
        <v>0.83980999999948835</v>
      </c>
      <c r="Y39" s="45">
        <f t="shared" si="41"/>
        <v>-769.58754000000044</v>
      </c>
      <c r="Z39" s="45">
        <f t="shared" si="42"/>
        <v>-4.2217099999998027</v>
      </c>
      <c r="AA39" s="45">
        <f t="shared" si="43"/>
        <v>0</v>
      </c>
      <c r="AB39" s="45">
        <f t="shared" si="44"/>
        <v>0</v>
      </c>
      <c r="AC39" s="45">
        <f t="shared" si="45"/>
        <v>0</v>
      </c>
      <c r="AD39" s="45">
        <f t="shared" si="46"/>
        <v>0</v>
      </c>
      <c r="AE39" s="45">
        <f>M39</f>
        <v>-25867</v>
      </c>
      <c r="AF39" s="45">
        <f t="shared" si="48"/>
        <v>-23175</v>
      </c>
      <c r="AG39" s="45">
        <f t="shared" si="49"/>
        <v>-14853</v>
      </c>
      <c r="AH39" s="45">
        <f t="shared" si="50"/>
        <v>-23965</v>
      </c>
      <c r="AI39" s="45">
        <f t="shared" si="11"/>
        <v>0</v>
      </c>
      <c r="AJ39" s="45">
        <f t="shared" si="20"/>
        <v>0</v>
      </c>
      <c r="AK39" s="45">
        <f t="shared" si="51"/>
        <v>0</v>
      </c>
      <c r="AL39" s="45">
        <f t="shared" si="52"/>
        <v>0</v>
      </c>
      <c r="AM39" s="45">
        <f t="shared" si="64"/>
        <v>0</v>
      </c>
      <c r="AO39" s="45">
        <f t="shared" si="53"/>
        <v>8000.1907499999998</v>
      </c>
      <c r="AP39" s="45">
        <f t="shared" si="54"/>
        <v>8445.8092500000002</v>
      </c>
      <c r="AQ39" s="45">
        <f t="shared" si="55"/>
        <v>-87860</v>
      </c>
      <c r="AR39" s="45">
        <f t="shared" si="17"/>
        <v>87860</v>
      </c>
    </row>
    <row r="40" spans="2:44" ht="14.25" customHeight="1" x14ac:dyDescent="0.35">
      <c r="B40" s="5" t="s">
        <v>114</v>
      </c>
      <c r="C40" s="31">
        <f t="shared" ref="C40:U40" si="65">C7+C9+C12+C15+C10+C11+C16+C14+C17+C18+C19+C13+C23+C24+C27+C25+C28+C31+C32+C33+C34+C38+C20+C21+C39+C35+C36+C37+C26+C29+C30</f>
        <v>11156.622999999992</v>
      </c>
      <c r="D40" s="31">
        <f t="shared" si="65"/>
        <v>72188.799999999988</v>
      </c>
      <c r="E40" s="31">
        <f t="shared" si="65"/>
        <v>92390.704768714626</v>
      </c>
      <c r="F40" s="31">
        <f t="shared" si="65"/>
        <v>-73367.420797386847</v>
      </c>
      <c r="G40" s="31">
        <f t="shared" si="65"/>
        <v>-182384.12456836391</v>
      </c>
      <c r="H40" s="31">
        <f t="shared" si="65"/>
        <v>-36288.755463826179</v>
      </c>
      <c r="I40" s="31">
        <f t="shared" si="65"/>
        <v>348284.91057923285</v>
      </c>
      <c r="J40" s="31">
        <f t="shared" si="65"/>
        <v>400995.62941497378</v>
      </c>
      <c r="K40" s="31">
        <f t="shared" si="65"/>
        <v>-466123.68483057164</v>
      </c>
      <c r="L40" s="31">
        <f t="shared" si="65"/>
        <v>67250</v>
      </c>
      <c r="M40" s="31">
        <f t="shared" si="65"/>
        <v>563369</v>
      </c>
      <c r="N40" s="31">
        <f t="shared" si="65"/>
        <v>-36248.677904689393</v>
      </c>
      <c r="O40" s="31">
        <f t="shared" si="65"/>
        <v>640560.68333333335</v>
      </c>
      <c r="P40" s="31">
        <f t="shared" si="65"/>
        <v>1449619.25868</v>
      </c>
      <c r="Q40" s="31">
        <f t="shared" si="65"/>
        <v>1185266.5362064</v>
      </c>
      <c r="R40" s="31">
        <f t="shared" si="65"/>
        <v>496295.84663999965</v>
      </c>
      <c r="S40" s="31">
        <f t="shared" si="65"/>
        <v>300607.16217321099</v>
      </c>
      <c r="T40" s="31">
        <f t="shared" si="65"/>
        <v>320777.18451000005</v>
      </c>
      <c r="U40" s="31">
        <f t="shared" si="65"/>
        <v>1538207</v>
      </c>
      <c r="W40" s="31">
        <f t="shared" ref="W40:AM40" si="66">W7+W9+W12+W15+W10+W11+W16+W14+W17+W18+W19+W13+W23+W24+W27+W25+W28+W31+W32+W33+W34+W38+W20+W21+W39+W35+W36+W37+W26+W29+W30</f>
        <v>92390.704768714626</v>
      </c>
      <c r="X40" s="31">
        <f t="shared" si="66"/>
        <v>-165758.12556610152</v>
      </c>
      <c r="Y40" s="31">
        <f t="shared" si="66"/>
        <v>-109016.70377097702</v>
      </c>
      <c r="Z40" s="31">
        <f t="shared" si="66"/>
        <v>146095.36910453771</v>
      </c>
      <c r="AA40" s="31">
        <f t="shared" si="66"/>
        <v>348284.91057923285</v>
      </c>
      <c r="AB40" s="31">
        <f t="shared" si="66"/>
        <v>52710.71883574099</v>
      </c>
      <c r="AC40" s="31">
        <f t="shared" si="66"/>
        <v>-867119.31424554554</v>
      </c>
      <c r="AD40" s="31">
        <f t="shared" si="66"/>
        <v>533373.68483057176</v>
      </c>
      <c r="AE40" s="31">
        <f t="shared" si="66"/>
        <v>563369</v>
      </c>
      <c r="AF40" s="31">
        <f t="shared" si="66"/>
        <v>-599617.67790468934</v>
      </c>
      <c r="AG40" s="31">
        <f t="shared" si="66"/>
        <v>676809.3612380228</v>
      </c>
      <c r="AH40" s="31">
        <f t="shared" si="66"/>
        <v>809058.57534666662</v>
      </c>
      <c r="AI40" s="31">
        <f t="shared" si="66"/>
        <v>1185266.5362064</v>
      </c>
      <c r="AJ40" s="31">
        <f t="shared" si="66"/>
        <v>-688970.68956640025</v>
      </c>
      <c r="AK40" s="31">
        <f t="shared" si="66"/>
        <v>-195688.6844667886</v>
      </c>
      <c r="AL40" s="31">
        <f t="shared" si="66"/>
        <v>20170.022336788999</v>
      </c>
      <c r="AM40" s="31">
        <f t="shared" si="66"/>
        <v>1538207</v>
      </c>
      <c r="AN40" s="55"/>
      <c r="AO40" s="31">
        <f>AO7+AO9+AO12+AO15+AO10+AO11+AO16+AO14+AO17+AO18+AO19+AO13+AO23+AO24+AO27+AO25+AO28+AO31+AO32+AO33+AO34+AO38+AO20+AO21+AO39+AO35+AO36+AO37+AO26+AO29+AO30</f>
        <v>-108477.55546382614</v>
      </c>
      <c r="AP40" s="31">
        <f>AP7+AP9+AP12+AP15+AP10+AP11+AP16+AP14+AP17+AP18+AP19+AP13+AP23+AP24+AP27+AP25+AP28+AP31+AP32+AP33+AP34+AP38+AP20+AP21+AP39+AP35+AP36+AP37+AP26+AP29+AP30</f>
        <v>103538.75546382612</v>
      </c>
      <c r="AQ40" s="31">
        <f>AQ7+AQ9+AQ12+AQ15+AQ10+AQ11+AQ16+AQ14+AQ17+AQ18+AQ19+AQ13+AQ23+AQ24+AQ27+AQ25+AQ28+AQ31+AQ32+AQ33+AQ34+AQ38+AQ20+AQ21+AQ39+AQ35+AQ36+AQ37+AQ26+AQ29+AQ30</f>
        <v>1382369.25868</v>
      </c>
      <c r="AR40" s="31">
        <f>AR7+AR9+AR12+AR15+AR10+AR11+AR16+AR14+AR17+AR18+AR19+AR13+AR23+AR24+AR27+AR25+AR28+AR31+AR32+AR33+AR34+AR38+AR20+AR21+AR39+AR35+AR36+AR37+AR26+AR29+AR30</f>
        <v>-1084735.0741699999</v>
      </c>
    </row>
    <row r="41" spans="2:44" ht="14.25" customHeight="1" x14ac:dyDescent="0.35">
      <c r="B41" s="5" t="s">
        <v>69</v>
      </c>
      <c r="C41" s="31"/>
      <c r="D41" s="31"/>
      <c r="E41" s="31"/>
      <c r="F41" s="31"/>
      <c r="G41" s="31"/>
      <c r="H41" s="31"/>
      <c r="I41" s="31"/>
      <c r="J41" s="31"/>
      <c r="K41" s="31"/>
      <c r="L41" s="31"/>
      <c r="M41" s="31"/>
      <c r="N41" s="31"/>
      <c r="O41" s="31"/>
      <c r="P41" s="31"/>
      <c r="Q41" s="31"/>
      <c r="R41" s="31"/>
      <c r="S41" s="31"/>
      <c r="T41" s="31"/>
      <c r="U41" s="31"/>
      <c r="W41" s="31"/>
      <c r="X41" s="31"/>
      <c r="Y41" s="31"/>
      <c r="Z41" s="31"/>
      <c r="AA41" s="31"/>
      <c r="AB41" s="31"/>
      <c r="AC41" s="31"/>
      <c r="AD41" s="31"/>
      <c r="AE41" s="31"/>
      <c r="AF41" s="31"/>
      <c r="AJ41" s="31"/>
      <c r="AK41" s="31"/>
      <c r="AL41" s="31"/>
      <c r="AM41" s="31"/>
      <c r="AO41" s="31"/>
      <c r="AP41" s="31"/>
      <c r="AQ41" s="31"/>
      <c r="AR41" s="31"/>
    </row>
    <row r="42" spans="2:44" ht="14.25" customHeight="1" x14ac:dyDescent="0.35">
      <c r="B42" s="7" t="s">
        <v>304</v>
      </c>
      <c r="C42" s="45">
        <v>-109254</v>
      </c>
      <c r="D42" s="45">
        <v>-383316</v>
      </c>
      <c r="E42" s="45">
        <v>-278594.58790825098</v>
      </c>
      <c r="F42" s="45">
        <v>-609587.22970596002</v>
      </c>
      <c r="G42" s="45">
        <v>-872364</v>
      </c>
      <c r="H42" s="45">
        <v>-1136347.22409285</v>
      </c>
      <c r="I42" s="45">
        <v>-280286.13901000004</v>
      </c>
      <c r="J42" s="45">
        <v>-426714.90081497381</v>
      </c>
      <c r="K42" s="45">
        <v>-507690.18094791751</v>
      </c>
      <c r="L42" s="45">
        <v>-615111</v>
      </c>
      <c r="M42" s="45">
        <v>-143572</v>
      </c>
      <c r="N42" s="45">
        <v>-273294</v>
      </c>
      <c r="O42" s="45">
        <v>-396315</v>
      </c>
      <c r="P42" s="45">
        <v>-609335</v>
      </c>
      <c r="Q42" s="45">
        <v>-282108</v>
      </c>
      <c r="R42" s="74">
        <v>-758154</v>
      </c>
      <c r="S42" s="7">
        <v>-880613.47928712377</v>
      </c>
      <c r="T42" s="45">
        <v>-1243126</v>
      </c>
      <c r="U42" s="45">
        <v>-716737</v>
      </c>
      <c r="W42" s="45">
        <f>E42</f>
        <v>-278594.58790825098</v>
      </c>
      <c r="X42" s="45">
        <f>F42-E42</f>
        <v>-330992.64179770905</v>
      </c>
      <c r="Y42" s="45">
        <f>G42-F42</f>
        <v>-262776.77029403998</v>
      </c>
      <c r="Z42" s="45">
        <f>H42-G42</f>
        <v>-263983.22409285</v>
      </c>
      <c r="AA42" s="45">
        <f>I42</f>
        <v>-280286.13901000004</v>
      </c>
      <c r="AB42" s="45">
        <f>J42-I42</f>
        <v>-146428.76180497376</v>
      </c>
      <c r="AC42" s="45">
        <f>K42-J42</f>
        <v>-80975.280132943706</v>
      </c>
      <c r="AD42" s="45">
        <f>L42-K42</f>
        <v>-107420.81905208249</v>
      </c>
      <c r="AE42" s="45">
        <f>M42</f>
        <v>-143572</v>
      </c>
      <c r="AF42" s="45">
        <f>N42-M42</f>
        <v>-129722</v>
      </c>
      <c r="AG42" s="45">
        <f>O42-N42</f>
        <v>-123021</v>
      </c>
      <c r="AH42" s="45">
        <f>P42-O42</f>
        <v>-213020</v>
      </c>
      <c r="AI42" s="45">
        <f t="shared" si="11"/>
        <v>-282108</v>
      </c>
      <c r="AJ42" s="45">
        <f>R42-Q42</f>
        <v>-476046</v>
      </c>
      <c r="AK42" s="45">
        <f>S42-R42</f>
        <v>-122459.47928712377</v>
      </c>
      <c r="AL42" s="45">
        <f>T42-S42</f>
        <v>-362512.52071287623</v>
      </c>
      <c r="AM42" s="45">
        <f>U42</f>
        <v>-716737</v>
      </c>
      <c r="AO42" s="45">
        <f>H42-D42</f>
        <v>-753031.22409285</v>
      </c>
      <c r="AP42" s="45">
        <f>L42-H42</f>
        <v>521236.22409285</v>
      </c>
      <c r="AQ42" s="45">
        <f>P42-L42</f>
        <v>5776</v>
      </c>
      <c r="AR42" s="45">
        <f>T42-P42</f>
        <v>-633791</v>
      </c>
    </row>
    <row r="43" spans="2:44" ht="14.25" customHeight="1" x14ac:dyDescent="0.35">
      <c r="B43" s="7" t="s">
        <v>280</v>
      </c>
      <c r="C43" s="45">
        <v>0</v>
      </c>
      <c r="D43" s="45">
        <v>0</v>
      </c>
      <c r="E43" s="45">
        <v>0</v>
      </c>
      <c r="F43" s="45">
        <v>0</v>
      </c>
      <c r="G43" s="45">
        <v>0</v>
      </c>
      <c r="H43" s="45">
        <v>0</v>
      </c>
      <c r="I43" s="45">
        <v>0</v>
      </c>
      <c r="J43" s="45">
        <v>0</v>
      </c>
      <c r="K43" s="45">
        <v>0</v>
      </c>
      <c r="L43" s="45">
        <v>0</v>
      </c>
      <c r="M43" s="45">
        <v>0</v>
      </c>
      <c r="N43" s="45">
        <v>0</v>
      </c>
      <c r="O43" s="45">
        <v>0</v>
      </c>
      <c r="P43" s="45">
        <v>0</v>
      </c>
      <c r="Q43" s="45">
        <v>0</v>
      </c>
      <c r="R43" s="74">
        <v>0</v>
      </c>
      <c r="S43" s="7">
        <v>0</v>
      </c>
      <c r="T43" s="45">
        <v>2797.3728000000119</v>
      </c>
      <c r="U43" s="45">
        <v>0</v>
      </c>
      <c r="W43" s="45">
        <f t="shared" ref="W43:W51" si="67">E43</f>
        <v>0</v>
      </c>
      <c r="X43" s="45">
        <f t="shared" ref="X43:X44" si="68">F43-E43</f>
        <v>0</v>
      </c>
      <c r="Y43" s="45">
        <f t="shared" ref="Y43:Y44" si="69">G43-F43</f>
        <v>0</v>
      </c>
      <c r="Z43" s="45">
        <f t="shared" ref="Z43:Z44" si="70">H43-G43</f>
        <v>0</v>
      </c>
      <c r="AA43" s="45">
        <f t="shared" ref="AA43:AA44" si="71">I43</f>
        <v>0</v>
      </c>
      <c r="AB43" s="45">
        <f t="shared" ref="AB43:AB44" si="72">J43-I43</f>
        <v>0</v>
      </c>
      <c r="AC43" s="45">
        <f t="shared" ref="AC43:AC44" si="73">K43-J43</f>
        <v>0</v>
      </c>
      <c r="AD43" s="45">
        <f t="shared" ref="AD43:AD44" si="74">L43-K43</f>
        <v>0</v>
      </c>
      <c r="AE43" s="45">
        <f t="shared" ref="AE43:AE44" si="75">M43</f>
        <v>0</v>
      </c>
      <c r="AF43" s="45">
        <f t="shared" ref="AF43:AF44" si="76">N43-M43</f>
        <v>0</v>
      </c>
      <c r="AG43" s="45">
        <f t="shared" ref="AG43:AG44" si="77">O43-N43</f>
        <v>0</v>
      </c>
      <c r="AH43" s="45">
        <f t="shared" ref="AH43:AH44" si="78">P43-O43</f>
        <v>0</v>
      </c>
      <c r="AI43" s="45">
        <f t="shared" ref="AI43:AI44" si="79">Q43</f>
        <v>0</v>
      </c>
      <c r="AJ43" s="45">
        <f t="shared" ref="AJ43:AJ44" si="80">R43-Q43</f>
        <v>0</v>
      </c>
      <c r="AK43" s="45">
        <f t="shared" ref="AK43:AK44" si="81">S43-R43</f>
        <v>0</v>
      </c>
      <c r="AL43" s="45">
        <f t="shared" ref="AL43:AL44" si="82">T43-S43</f>
        <v>2797.3728000000119</v>
      </c>
      <c r="AM43" s="45">
        <f t="shared" ref="AM43:AM44" si="83">U43</f>
        <v>0</v>
      </c>
      <c r="AO43" s="45"/>
      <c r="AP43" s="45"/>
      <c r="AQ43" s="45"/>
      <c r="AR43" s="45"/>
    </row>
    <row r="44" spans="2:44" ht="14.25" customHeight="1" x14ac:dyDescent="0.35">
      <c r="B44" s="7" t="s">
        <v>305</v>
      </c>
      <c r="C44" s="7">
        <v>0</v>
      </c>
      <c r="D44" s="45">
        <v>0</v>
      </c>
      <c r="E44" s="45">
        <v>0</v>
      </c>
      <c r="F44" s="45">
        <v>0</v>
      </c>
      <c r="G44" s="45">
        <v>0</v>
      </c>
      <c r="H44" s="45">
        <v>0</v>
      </c>
      <c r="I44" s="45">
        <v>0</v>
      </c>
      <c r="J44" s="45">
        <v>0</v>
      </c>
      <c r="K44" s="45">
        <v>0</v>
      </c>
      <c r="L44" s="45">
        <v>0</v>
      </c>
      <c r="M44" s="45">
        <v>0</v>
      </c>
      <c r="N44" s="45">
        <v>0</v>
      </c>
      <c r="O44" s="45">
        <v>0</v>
      </c>
      <c r="P44" s="45">
        <v>0</v>
      </c>
      <c r="Q44" s="45">
        <v>0</v>
      </c>
      <c r="R44" s="74">
        <v>295185</v>
      </c>
      <c r="S44" s="7">
        <v>305177.42397</v>
      </c>
      <c r="T44" s="45">
        <v>574575.22147999995</v>
      </c>
      <c r="U44" s="45">
        <v>54030</v>
      </c>
      <c r="W44" s="45">
        <f t="shared" si="67"/>
        <v>0</v>
      </c>
      <c r="X44" s="45">
        <f t="shared" si="68"/>
        <v>0</v>
      </c>
      <c r="Y44" s="45">
        <f t="shared" si="69"/>
        <v>0</v>
      </c>
      <c r="Z44" s="45">
        <f t="shared" si="70"/>
        <v>0</v>
      </c>
      <c r="AA44" s="45">
        <f t="shared" si="71"/>
        <v>0</v>
      </c>
      <c r="AB44" s="45">
        <f t="shared" si="72"/>
        <v>0</v>
      </c>
      <c r="AC44" s="45">
        <f t="shared" si="73"/>
        <v>0</v>
      </c>
      <c r="AD44" s="45">
        <f t="shared" si="74"/>
        <v>0</v>
      </c>
      <c r="AE44" s="45">
        <f t="shared" si="75"/>
        <v>0</v>
      </c>
      <c r="AF44" s="45">
        <f t="shared" si="76"/>
        <v>0</v>
      </c>
      <c r="AG44" s="45">
        <f t="shared" si="77"/>
        <v>0</v>
      </c>
      <c r="AH44" s="45">
        <f t="shared" si="78"/>
        <v>0</v>
      </c>
      <c r="AI44" s="45">
        <f t="shared" si="79"/>
        <v>0</v>
      </c>
      <c r="AJ44" s="45">
        <f t="shared" si="80"/>
        <v>295185</v>
      </c>
      <c r="AK44" s="45">
        <f t="shared" si="81"/>
        <v>9992.4239700000035</v>
      </c>
      <c r="AL44" s="45">
        <f t="shared" si="82"/>
        <v>269397.79750999995</v>
      </c>
      <c r="AM44" s="45">
        <f t="shared" si="83"/>
        <v>54030</v>
      </c>
      <c r="AO44" s="45"/>
      <c r="AP44" s="45"/>
      <c r="AQ44" s="45"/>
      <c r="AR44" s="45">
        <f>T43-P44</f>
        <v>2797.3728000000119</v>
      </c>
    </row>
    <row r="45" spans="2:44" ht="14.25" customHeight="1" x14ac:dyDescent="0.35">
      <c r="B45" s="7" t="s">
        <v>306</v>
      </c>
      <c r="C45" s="45">
        <v>0</v>
      </c>
      <c r="D45" s="45">
        <v>0</v>
      </c>
      <c r="E45" s="45">
        <v>0</v>
      </c>
      <c r="F45" s="45">
        <v>0</v>
      </c>
      <c r="G45" s="45">
        <v>0</v>
      </c>
      <c r="H45" s="45">
        <v>-9918</v>
      </c>
      <c r="I45" s="45">
        <v>0</v>
      </c>
      <c r="J45" s="45">
        <v>3659</v>
      </c>
      <c r="K45" s="45">
        <v>5165.8732199999986</v>
      </c>
      <c r="L45" s="45">
        <v>4742</v>
      </c>
      <c r="M45" s="45">
        <v>-848</v>
      </c>
      <c r="N45" s="45">
        <v>-1238</v>
      </c>
      <c r="O45" s="45">
        <v>-2301</v>
      </c>
      <c r="P45" s="45">
        <v>-2724</v>
      </c>
      <c r="Q45" s="45">
        <v>213</v>
      </c>
      <c r="R45" s="74">
        <v>-10666</v>
      </c>
      <c r="S45" s="7">
        <v>0</v>
      </c>
      <c r="T45" s="45">
        <v>0</v>
      </c>
      <c r="U45" s="45">
        <v>367</v>
      </c>
      <c r="W45" s="45">
        <f t="shared" si="67"/>
        <v>0</v>
      </c>
      <c r="X45" s="45">
        <f t="shared" ref="X45:X51" si="84">F45-E45</f>
        <v>0</v>
      </c>
      <c r="Y45" s="45">
        <f t="shared" ref="Y45:Y51" si="85">G45-F45</f>
        <v>0</v>
      </c>
      <c r="Z45" s="45">
        <f t="shared" ref="Z45:Z51" si="86">H45-G45</f>
        <v>-9918</v>
      </c>
      <c r="AA45" s="45">
        <f t="shared" ref="AA45:AA51" si="87">I45</f>
        <v>0</v>
      </c>
      <c r="AB45" s="45">
        <f t="shared" ref="AB45:AD51" si="88">J45-I45</f>
        <v>3659</v>
      </c>
      <c r="AC45" s="45">
        <f t="shared" si="88"/>
        <v>1506.8732199999986</v>
      </c>
      <c r="AD45" s="45">
        <f t="shared" si="88"/>
        <v>-423.87321999999858</v>
      </c>
      <c r="AE45" s="45">
        <f t="shared" ref="AE45:AE51" si="89">M45</f>
        <v>-848</v>
      </c>
      <c r="AF45" s="45">
        <f t="shared" ref="AF45:AH51" si="90">N45-M45</f>
        <v>-390</v>
      </c>
      <c r="AG45" s="45">
        <f t="shared" si="90"/>
        <v>-1063</v>
      </c>
      <c r="AH45" s="45">
        <f t="shared" si="90"/>
        <v>-423</v>
      </c>
      <c r="AI45" s="45">
        <f t="shared" si="11"/>
        <v>213</v>
      </c>
      <c r="AJ45" s="45">
        <f t="shared" ref="AJ45:AJ51" si="91">R45-Q45</f>
        <v>-10879</v>
      </c>
      <c r="AK45" s="45">
        <f t="shared" ref="AK45:AK51" si="92">S45-R45</f>
        <v>10666</v>
      </c>
      <c r="AL45" s="45">
        <f t="shared" ref="AL45:AL49" si="93">T45-S45</f>
        <v>0</v>
      </c>
      <c r="AM45" s="45">
        <f t="shared" si="64"/>
        <v>367</v>
      </c>
      <c r="AO45" s="45">
        <f>H45-D45</f>
        <v>-9918</v>
      </c>
      <c r="AP45" s="45">
        <f>L45-H45</f>
        <v>14660</v>
      </c>
      <c r="AQ45" s="45">
        <f t="shared" ref="AQ45:AQ51" si="94">P45-L45</f>
        <v>-7466</v>
      </c>
      <c r="AR45" s="45">
        <f t="shared" si="17"/>
        <v>2724</v>
      </c>
    </row>
    <row r="46" spans="2:44" ht="15" customHeight="1" x14ac:dyDescent="0.35">
      <c r="B46" s="7" t="s">
        <v>70</v>
      </c>
      <c r="C46" s="45">
        <v>-15465</v>
      </c>
      <c r="D46" s="45">
        <v>-42862</v>
      </c>
      <c r="E46" s="45">
        <v>-9984.7356400000008</v>
      </c>
      <c r="F46" s="45">
        <v>-26470.612252149935</v>
      </c>
      <c r="G46" s="45">
        <v>-30275.26325214994</v>
      </c>
      <c r="H46" s="45">
        <v>-65408.434077150014</v>
      </c>
      <c r="I46" s="45">
        <v>-17131</v>
      </c>
      <c r="J46" s="45">
        <v>-36971</v>
      </c>
      <c r="K46" s="45">
        <v>-55060</v>
      </c>
      <c r="L46" s="45">
        <v>-72259</v>
      </c>
      <c r="M46" s="45">
        <v>-751</v>
      </c>
      <c r="N46" s="45">
        <v>-874</v>
      </c>
      <c r="O46" s="45">
        <v>-918</v>
      </c>
      <c r="P46" s="45">
        <v>-1499</v>
      </c>
      <c r="Q46" s="45">
        <v>-58</v>
      </c>
      <c r="R46" s="74">
        <v>29030</v>
      </c>
      <c r="S46" s="7">
        <v>95926</v>
      </c>
      <c r="T46" s="45">
        <v>21621</v>
      </c>
      <c r="U46" s="45">
        <v>-15995</v>
      </c>
      <c r="W46" s="45">
        <f t="shared" si="67"/>
        <v>-9984.7356400000008</v>
      </c>
      <c r="X46" s="45">
        <f t="shared" si="84"/>
        <v>-16485.876612149936</v>
      </c>
      <c r="Y46" s="45">
        <f t="shared" si="85"/>
        <v>-3804.6510000000053</v>
      </c>
      <c r="Z46" s="45">
        <f t="shared" si="86"/>
        <v>-35133.170825000074</v>
      </c>
      <c r="AA46" s="45">
        <f t="shared" si="87"/>
        <v>-17131</v>
      </c>
      <c r="AB46" s="45">
        <f t="shared" si="88"/>
        <v>-19840</v>
      </c>
      <c r="AC46" s="45">
        <f t="shared" si="88"/>
        <v>-18089</v>
      </c>
      <c r="AD46" s="45">
        <f t="shared" si="88"/>
        <v>-17199</v>
      </c>
      <c r="AE46" s="45">
        <f t="shared" si="89"/>
        <v>-751</v>
      </c>
      <c r="AF46" s="45">
        <f t="shared" si="90"/>
        <v>-123</v>
      </c>
      <c r="AG46" s="45">
        <f t="shared" si="90"/>
        <v>-44</v>
      </c>
      <c r="AH46" s="45">
        <f t="shared" si="90"/>
        <v>-581</v>
      </c>
      <c r="AI46" s="45">
        <f t="shared" si="11"/>
        <v>-58</v>
      </c>
      <c r="AJ46" s="45">
        <f t="shared" si="91"/>
        <v>29088</v>
      </c>
      <c r="AK46" s="45">
        <f t="shared" si="92"/>
        <v>66896</v>
      </c>
      <c r="AL46" s="45">
        <f t="shared" si="93"/>
        <v>-74305</v>
      </c>
      <c r="AM46" s="45">
        <f t="shared" si="64"/>
        <v>-15995</v>
      </c>
      <c r="AO46" s="45">
        <f>H46-D46</f>
        <v>-22546.434077150014</v>
      </c>
      <c r="AP46" s="45">
        <f>L46-H46</f>
        <v>-6850.5659228499862</v>
      </c>
      <c r="AQ46" s="45">
        <f t="shared" si="94"/>
        <v>70760</v>
      </c>
      <c r="AR46" s="45">
        <f t="shared" si="17"/>
        <v>23120</v>
      </c>
    </row>
    <row r="47" spans="2:44" ht="15" customHeight="1" x14ac:dyDescent="0.35">
      <c r="B47" s="7" t="s">
        <v>307</v>
      </c>
      <c r="C47" s="45">
        <v>-537</v>
      </c>
      <c r="D47" s="45">
        <v>-3536</v>
      </c>
      <c r="E47" s="45">
        <v>-2226.9593300000001</v>
      </c>
      <c r="F47" s="45">
        <v>-2879.6559600000001</v>
      </c>
      <c r="G47" s="45">
        <v>-4069.9750899999999</v>
      </c>
      <c r="H47" s="45">
        <v>-7261.8072499999998</v>
      </c>
      <c r="I47" s="45">
        <v>-1114</v>
      </c>
      <c r="J47" s="45">
        <v>-1020.5442499999999</v>
      </c>
      <c r="K47" s="45">
        <v>-6190.7838200000006</v>
      </c>
      <c r="L47" s="45">
        <v>-4550</v>
      </c>
      <c r="M47" s="45">
        <v>-1143</v>
      </c>
      <c r="N47" s="45">
        <v>-3806</v>
      </c>
      <c r="O47" s="45">
        <v>-5164</v>
      </c>
      <c r="P47" s="45">
        <v>-7433</v>
      </c>
      <c r="Q47" s="45">
        <v>0</v>
      </c>
      <c r="R47" s="74">
        <v>-6010</v>
      </c>
      <c r="S47" s="7">
        <v>-10195.63515</v>
      </c>
      <c r="T47" s="45">
        <v>-14811</v>
      </c>
      <c r="U47" s="45">
        <v>0</v>
      </c>
      <c r="W47" s="45">
        <f t="shared" si="67"/>
        <v>-2226.9593300000001</v>
      </c>
      <c r="X47" s="45">
        <f t="shared" si="84"/>
        <v>-652.69662999999991</v>
      </c>
      <c r="Y47" s="45">
        <f t="shared" si="85"/>
        <v>-1190.3191299999999</v>
      </c>
      <c r="Z47" s="45">
        <f t="shared" si="86"/>
        <v>-3191.8321599999999</v>
      </c>
      <c r="AA47" s="45">
        <f t="shared" si="87"/>
        <v>-1114</v>
      </c>
      <c r="AB47" s="45">
        <f t="shared" si="88"/>
        <v>93.45575000000008</v>
      </c>
      <c r="AC47" s="45">
        <f t="shared" si="88"/>
        <v>-5170.2395700000006</v>
      </c>
      <c r="AD47" s="45">
        <f t="shared" si="88"/>
        <v>1640.7838200000006</v>
      </c>
      <c r="AE47" s="45">
        <f t="shared" si="89"/>
        <v>-1143</v>
      </c>
      <c r="AF47" s="45">
        <f t="shared" si="90"/>
        <v>-2663</v>
      </c>
      <c r="AG47" s="45">
        <f t="shared" si="90"/>
        <v>-1358</v>
      </c>
      <c r="AH47" s="45">
        <f t="shared" si="90"/>
        <v>-2269</v>
      </c>
      <c r="AI47" s="45">
        <f t="shared" si="11"/>
        <v>0</v>
      </c>
      <c r="AJ47" s="45">
        <f t="shared" si="91"/>
        <v>-6010</v>
      </c>
      <c r="AK47" s="45">
        <f t="shared" si="92"/>
        <v>-4185.6351500000001</v>
      </c>
      <c r="AL47" s="45">
        <f t="shared" si="93"/>
        <v>-4615.3648499999999</v>
      </c>
      <c r="AM47" s="45">
        <f t="shared" si="64"/>
        <v>0</v>
      </c>
      <c r="AO47" s="45">
        <f>H47-D47</f>
        <v>-3725.8072499999998</v>
      </c>
      <c r="AP47" s="45">
        <f>L47-H47</f>
        <v>2711.8072499999998</v>
      </c>
      <c r="AQ47" s="45">
        <f t="shared" si="94"/>
        <v>-2883</v>
      </c>
      <c r="AR47" s="45">
        <f t="shared" si="17"/>
        <v>-7378</v>
      </c>
    </row>
    <row r="48" spans="2:44" ht="15" customHeight="1" x14ac:dyDescent="0.35">
      <c r="B48" s="7" t="s">
        <v>207</v>
      </c>
      <c r="C48" s="7">
        <v>0</v>
      </c>
      <c r="D48" s="45">
        <v>0</v>
      </c>
      <c r="E48" s="45">
        <v>0</v>
      </c>
      <c r="F48" s="45">
        <v>0</v>
      </c>
      <c r="G48" s="45">
        <v>0</v>
      </c>
      <c r="H48" s="45">
        <v>0</v>
      </c>
      <c r="I48" s="45">
        <v>0</v>
      </c>
      <c r="J48" s="45">
        <v>0</v>
      </c>
      <c r="K48" s="45">
        <v>0</v>
      </c>
      <c r="L48" s="45">
        <v>0</v>
      </c>
      <c r="M48" s="45">
        <v>0</v>
      </c>
      <c r="N48" s="45">
        <v>0</v>
      </c>
      <c r="O48" s="45">
        <v>-276759.52380952385</v>
      </c>
      <c r="P48" s="45">
        <v>-276760</v>
      </c>
      <c r="Q48" s="45">
        <v>0</v>
      </c>
      <c r="R48" s="74">
        <v>0</v>
      </c>
      <c r="S48" s="7">
        <v>0</v>
      </c>
      <c r="T48" s="45">
        <v>0</v>
      </c>
      <c r="U48" s="45">
        <v>11096</v>
      </c>
      <c r="W48" s="45">
        <f t="shared" si="67"/>
        <v>0</v>
      </c>
      <c r="X48" s="45">
        <f t="shared" si="84"/>
        <v>0</v>
      </c>
      <c r="Y48" s="45">
        <f t="shared" si="85"/>
        <v>0</v>
      </c>
      <c r="Z48" s="45">
        <f t="shared" si="86"/>
        <v>0</v>
      </c>
      <c r="AA48" s="45">
        <f t="shared" si="87"/>
        <v>0</v>
      </c>
      <c r="AB48" s="45">
        <f t="shared" si="88"/>
        <v>0</v>
      </c>
      <c r="AC48" s="45">
        <f t="shared" si="88"/>
        <v>0</v>
      </c>
      <c r="AD48" s="45">
        <f t="shared" si="88"/>
        <v>0</v>
      </c>
      <c r="AE48" s="45">
        <f t="shared" si="89"/>
        <v>0</v>
      </c>
      <c r="AF48" s="45">
        <f t="shared" si="90"/>
        <v>0</v>
      </c>
      <c r="AG48" s="45">
        <f t="shared" si="90"/>
        <v>-276759.52380952385</v>
      </c>
      <c r="AH48" s="45">
        <f t="shared" si="90"/>
        <v>-0.47619047615444288</v>
      </c>
      <c r="AI48" s="45">
        <f t="shared" si="11"/>
        <v>0</v>
      </c>
      <c r="AJ48" s="45">
        <f t="shared" si="91"/>
        <v>0</v>
      </c>
      <c r="AK48" s="45">
        <f t="shared" si="92"/>
        <v>0</v>
      </c>
      <c r="AL48" s="45">
        <f t="shared" si="93"/>
        <v>0</v>
      </c>
      <c r="AM48" s="45">
        <f t="shared" si="64"/>
        <v>11096</v>
      </c>
      <c r="AO48" s="45"/>
      <c r="AP48" s="45"/>
      <c r="AQ48" s="45">
        <f t="shared" si="94"/>
        <v>-276760</v>
      </c>
      <c r="AR48" s="45">
        <f t="shared" si="17"/>
        <v>276760</v>
      </c>
    </row>
    <row r="49" spans="2:44" ht="15" customHeight="1" x14ac:dyDescent="0.35">
      <c r="B49" s="7" t="s">
        <v>308</v>
      </c>
      <c r="C49" s="45">
        <v>0</v>
      </c>
      <c r="D49" s="45">
        <v>0</v>
      </c>
      <c r="E49" s="45">
        <v>0</v>
      </c>
      <c r="F49" s="45">
        <v>0</v>
      </c>
      <c r="G49" s="45">
        <v>0</v>
      </c>
      <c r="H49" s="45">
        <v>0</v>
      </c>
      <c r="I49" s="45">
        <v>0</v>
      </c>
      <c r="J49" s="45">
        <v>-77</v>
      </c>
      <c r="K49" s="45">
        <v>-79</v>
      </c>
      <c r="L49" s="45">
        <v>0</v>
      </c>
      <c r="M49" s="45">
        <v>0</v>
      </c>
      <c r="N49" s="45">
        <v>0</v>
      </c>
      <c r="O49" s="45">
        <v>0</v>
      </c>
      <c r="P49" s="45">
        <v>0</v>
      </c>
      <c r="Q49" s="45">
        <v>0</v>
      </c>
      <c r="R49" s="74">
        <v>0</v>
      </c>
      <c r="S49" s="7">
        <v>0</v>
      </c>
      <c r="T49" s="45">
        <v>0</v>
      </c>
      <c r="U49" s="45">
        <v>0</v>
      </c>
      <c r="W49" s="45">
        <f t="shared" si="67"/>
        <v>0</v>
      </c>
      <c r="X49" s="45">
        <f t="shared" si="84"/>
        <v>0</v>
      </c>
      <c r="Y49" s="45">
        <f t="shared" si="85"/>
        <v>0</v>
      </c>
      <c r="Z49" s="45">
        <f t="shared" si="86"/>
        <v>0</v>
      </c>
      <c r="AA49" s="45">
        <f t="shared" si="87"/>
        <v>0</v>
      </c>
      <c r="AB49" s="45">
        <f t="shared" si="88"/>
        <v>-77</v>
      </c>
      <c r="AC49" s="45">
        <f t="shared" si="88"/>
        <v>-2</v>
      </c>
      <c r="AD49" s="45">
        <f t="shared" si="88"/>
        <v>79</v>
      </c>
      <c r="AE49" s="45">
        <f t="shared" si="89"/>
        <v>0</v>
      </c>
      <c r="AF49" s="45">
        <f t="shared" si="90"/>
        <v>0</v>
      </c>
      <c r="AG49" s="45">
        <f t="shared" si="90"/>
        <v>0</v>
      </c>
      <c r="AH49" s="45">
        <f t="shared" si="90"/>
        <v>0</v>
      </c>
      <c r="AI49" s="45">
        <f t="shared" si="11"/>
        <v>0</v>
      </c>
      <c r="AJ49" s="45">
        <f t="shared" si="91"/>
        <v>0</v>
      </c>
      <c r="AK49" s="45">
        <f t="shared" si="92"/>
        <v>0</v>
      </c>
      <c r="AL49" s="45">
        <f t="shared" si="93"/>
        <v>0</v>
      </c>
      <c r="AM49" s="45">
        <f t="shared" si="64"/>
        <v>0</v>
      </c>
      <c r="AO49" s="45">
        <f>H49-D49</f>
        <v>0</v>
      </c>
      <c r="AP49" s="45">
        <f>L49-H49</f>
        <v>0</v>
      </c>
      <c r="AQ49" s="45">
        <f t="shared" si="94"/>
        <v>0</v>
      </c>
      <c r="AR49" s="45">
        <f t="shared" si="17"/>
        <v>0</v>
      </c>
    </row>
    <row r="50" spans="2:44" ht="15" customHeight="1" x14ac:dyDescent="0.35">
      <c r="B50" s="7" t="s">
        <v>309</v>
      </c>
      <c r="C50" s="45">
        <v>-207121</v>
      </c>
      <c r="D50" s="45">
        <v>192617</v>
      </c>
      <c r="E50" s="45">
        <v>-10603.062</v>
      </c>
      <c r="F50" s="45">
        <v>-32492</v>
      </c>
      <c r="G50" s="45">
        <v>-112407.77800000001</v>
      </c>
      <c r="H50" s="45">
        <v>-62772.035000000003</v>
      </c>
      <c r="I50" s="45">
        <v>79545</v>
      </c>
      <c r="J50" s="45">
        <v>79505</v>
      </c>
      <c r="K50" s="45">
        <v>-2697772</v>
      </c>
      <c r="L50" s="45">
        <v>-3011242</v>
      </c>
      <c r="M50" s="45">
        <v>8630</v>
      </c>
      <c r="N50" s="45">
        <v>18768</v>
      </c>
      <c r="O50" s="45">
        <v>30319</v>
      </c>
      <c r="P50" s="45">
        <v>-96476</v>
      </c>
      <c r="Q50" s="45">
        <v>138371</v>
      </c>
      <c r="R50" s="74">
        <v>138371</v>
      </c>
      <c r="S50" s="7">
        <v>313729</v>
      </c>
      <c r="T50" s="45">
        <v>522081</v>
      </c>
      <c r="U50" s="45">
        <v>1236775</v>
      </c>
      <c r="W50" s="45">
        <f t="shared" si="67"/>
        <v>-10603.062</v>
      </c>
      <c r="X50" s="45">
        <f t="shared" si="84"/>
        <v>-21888.938000000002</v>
      </c>
      <c r="Y50" s="45">
        <f t="shared" si="85"/>
        <v>-79915.778000000006</v>
      </c>
      <c r="Z50" s="45">
        <f t="shared" si="86"/>
        <v>49635.743000000002</v>
      </c>
      <c r="AA50" s="45">
        <f t="shared" si="87"/>
        <v>79545</v>
      </c>
      <c r="AB50" s="45">
        <f t="shared" si="88"/>
        <v>-40</v>
      </c>
      <c r="AC50" s="45">
        <f t="shared" si="88"/>
        <v>-2777277</v>
      </c>
      <c r="AD50" s="45">
        <f t="shared" si="88"/>
        <v>-313470</v>
      </c>
      <c r="AE50" s="45">
        <f t="shared" si="89"/>
        <v>8630</v>
      </c>
      <c r="AF50" s="45">
        <f t="shared" si="90"/>
        <v>10138</v>
      </c>
      <c r="AG50" s="45">
        <f t="shared" si="90"/>
        <v>11551</v>
      </c>
      <c r="AH50" s="45">
        <f t="shared" si="90"/>
        <v>-126795</v>
      </c>
      <c r="AI50" s="45">
        <f t="shared" si="11"/>
        <v>138371</v>
      </c>
      <c r="AJ50" s="45">
        <f t="shared" si="91"/>
        <v>0</v>
      </c>
      <c r="AK50" s="45">
        <f t="shared" si="92"/>
        <v>175358</v>
      </c>
      <c r="AL50" s="45">
        <f>U50-T50</f>
        <v>714694</v>
      </c>
      <c r="AM50" s="45">
        <f t="shared" si="64"/>
        <v>1236775</v>
      </c>
      <c r="AN50" s="45"/>
      <c r="AO50" s="45">
        <f>H50-D50</f>
        <v>-255389.035</v>
      </c>
      <c r="AP50" s="45">
        <f>L50-H50</f>
        <v>-2948469.9649999999</v>
      </c>
      <c r="AQ50" s="45">
        <f t="shared" si="94"/>
        <v>2914766</v>
      </c>
      <c r="AR50" s="45">
        <f>T50-P50</f>
        <v>618557</v>
      </c>
    </row>
    <row r="51" spans="2:44" ht="14.25" customHeight="1" x14ac:dyDescent="0.35">
      <c r="B51" s="7" t="s">
        <v>310</v>
      </c>
      <c r="C51" s="45">
        <v>-12252</v>
      </c>
      <c r="D51" s="45">
        <v>-6948</v>
      </c>
      <c r="E51" s="45">
        <v>-4701.0050000000001</v>
      </c>
      <c r="F51" s="45">
        <v>-20391.112000000001</v>
      </c>
      <c r="G51" s="45">
        <v>-38201.574999999997</v>
      </c>
      <c r="H51" s="45">
        <v>-53355.574999999997</v>
      </c>
      <c r="I51" s="45">
        <v>-589716</v>
      </c>
      <c r="J51" s="45">
        <v>-175226</v>
      </c>
      <c r="K51" s="45">
        <v>-28066.034520000005</v>
      </c>
      <c r="L51" s="45">
        <v>46942</v>
      </c>
      <c r="M51" s="45">
        <v>-142229</v>
      </c>
      <c r="N51" s="45">
        <v>-86741</v>
      </c>
      <c r="O51" s="45">
        <v>-63776</v>
      </c>
      <c r="P51" s="45">
        <v>-371647</v>
      </c>
      <c r="Q51" s="45">
        <v>41086</v>
      </c>
      <c r="R51" s="74">
        <v>-1668125</v>
      </c>
      <c r="S51" s="7">
        <v>-1773511</v>
      </c>
      <c r="T51" s="45">
        <v>-1895651</v>
      </c>
      <c r="U51" s="45">
        <v>-19662</v>
      </c>
      <c r="W51" s="45">
        <f t="shared" si="67"/>
        <v>-4701.0050000000001</v>
      </c>
      <c r="X51" s="45">
        <f t="shared" si="84"/>
        <v>-15690.107</v>
      </c>
      <c r="Y51" s="45">
        <f t="shared" si="85"/>
        <v>-17810.462999999996</v>
      </c>
      <c r="Z51" s="45">
        <f t="shared" si="86"/>
        <v>-15154</v>
      </c>
      <c r="AA51" s="45">
        <f t="shared" si="87"/>
        <v>-589716</v>
      </c>
      <c r="AB51" s="45">
        <f t="shared" si="88"/>
        <v>414490</v>
      </c>
      <c r="AC51" s="45">
        <f t="shared" si="88"/>
        <v>147159.96547999998</v>
      </c>
      <c r="AD51" s="45">
        <f t="shared" si="88"/>
        <v>75008.034520000001</v>
      </c>
      <c r="AE51" s="45">
        <f t="shared" si="89"/>
        <v>-142229</v>
      </c>
      <c r="AF51" s="45">
        <f t="shared" si="90"/>
        <v>55488</v>
      </c>
      <c r="AG51" s="45">
        <f t="shared" si="90"/>
        <v>22965</v>
      </c>
      <c r="AH51" s="45">
        <f t="shared" si="90"/>
        <v>-307871</v>
      </c>
      <c r="AI51" s="45">
        <f t="shared" si="11"/>
        <v>41086</v>
      </c>
      <c r="AJ51" s="45">
        <f t="shared" si="91"/>
        <v>-1709211</v>
      </c>
      <c r="AK51" s="45">
        <f t="shared" si="92"/>
        <v>-105386</v>
      </c>
      <c r="AL51" s="45">
        <f>T50-S51</f>
        <v>2295592</v>
      </c>
      <c r="AM51" s="45">
        <f>U51</f>
        <v>-19662</v>
      </c>
      <c r="AO51" s="45">
        <f>H51-D51</f>
        <v>-46407.574999999997</v>
      </c>
      <c r="AP51" s="45">
        <f>L51-H51</f>
        <v>100297.575</v>
      </c>
      <c r="AQ51" s="45">
        <f t="shared" si="94"/>
        <v>-418589</v>
      </c>
      <c r="AR51" s="45">
        <f>T50-P51</f>
        <v>893728</v>
      </c>
    </row>
    <row r="52" spans="2:44" ht="14.25" customHeight="1" x14ac:dyDescent="0.35">
      <c r="B52" s="5" t="s">
        <v>115</v>
      </c>
      <c r="C52" s="31">
        <f t="shared" ref="C52:R52" si="95">SUM(C42:C51)</f>
        <v>-344629</v>
      </c>
      <c r="D52" s="31">
        <f t="shared" si="95"/>
        <v>-244045</v>
      </c>
      <c r="E52" s="31">
        <f t="shared" si="95"/>
        <v>-306110.34987825097</v>
      </c>
      <c r="F52" s="31">
        <f t="shared" si="95"/>
        <v>-691820.60991810996</v>
      </c>
      <c r="G52" s="31">
        <f t="shared" si="95"/>
        <v>-1057318.59134215</v>
      </c>
      <c r="H52" s="31">
        <f t="shared" si="95"/>
        <v>-1335063.0754199999</v>
      </c>
      <c r="I52" s="31">
        <f t="shared" si="95"/>
        <v>-808702.13901000004</v>
      </c>
      <c r="J52" s="31">
        <f t="shared" si="95"/>
        <v>-556845.44506497378</v>
      </c>
      <c r="K52" s="31">
        <f t="shared" si="95"/>
        <v>-3289692.1260679178</v>
      </c>
      <c r="L52" s="31">
        <f t="shared" si="95"/>
        <v>-3651478</v>
      </c>
      <c r="M52" s="31">
        <f t="shared" si="95"/>
        <v>-279913</v>
      </c>
      <c r="N52" s="31">
        <f t="shared" si="95"/>
        <v>-347185</v>
      </c>
      <c r="O52" s="31">
        <f t="shared" si="95"/>
        <v>-714914.52380952379</v>
      </c>
      <c r="P52" s="31">
        <f t="shared" si="95"/>
        <v>-1365874</v>
      </c>
      <c r="Q52" s="31">
        <f t="shared" si="95"/>
        <v>-102496</v>
      </c>
      <c r="R52" s="75">
        <f t="shared" si="95"/>
        <v>-1980369</v>
      </c>
      <c r="S52" s="75">
        <f>SUM(S42:S51)</f>
        <v>-1949487.6904671239</v>
      </c>
      <c r="T52" s="75">
        <f>SUM(T42:T51)</f>
        <v>-2032513.4057200002</v>
      </c>
      <c r="U52" s="75">
        <f>SUM(U42:U51)</f>
        <v>549874</v>
      </c>
      <c r="W52" s="75">
        <f>SUM(W42:W51)</f>
        <v>-306110.34987825097</v>
      </c>
      <c r="X52" s="75">
        <f t="shared" ref="X52:AM52" si="96">SUM(X42:X51)</f>
        <v>-385710.26003985904</v>
      </c>
      <c r="Y52" s="75">
        <f t="shared" si="96"/>
        <v>-365497.98142403999</v>
      </c>
      <c r="Z52" s="75">
        <f t="shared" si="96"/>
        <v>-277744.48407785007</v>
      </c>
      <c r="AA52" s="75">
        <f t="shared" si="96"/>
        <v>-808702.13901000004</v>
      </c>
      <c r="AB52" s="75">
        <f t="shared" si="96"/>
        <v>251856.69394502623</v>
      </c>
      <c r="AC52" s="75">
        <f t="shared" si="96"/>
        <v>-2732846.6810029438</v>
      </c>
      <c r="AD52" s="75">
        <f t="shared" si="96"/>
        <v>-361785.8739320825</v>
      </c>
      <c r="AE52" s="75">
        <f t="shared" si="96"/>
        <v>-279913</v>
      </c>
      <c r="AF52" s="75">
        <f t="shared" si="96"/>
        <v>-67272</v>
      </c>
      <c r="AG52" s="75">
        <f t="shared" si="96"/>
        <v>-367729.52380952385</v>
      </c>
      <c r="AH52" s="75">
        <f t="shared" si="96"/>
        <v>-650959.47619047621</v>
      </c>
      <c r="AI52" s="75">
        <f t="shared" si="96"/>
        <v>-102496</v>
      </c>
      <c r="AJ52" s="75">
        <f t="shared" si="96"/>
        <v>-1877873</v>
      </c>
      <c r="AK52" s="75">
        <f t="shared" si="96"/>
        <v>30881.309532876243</v>
      </c>
      <c r="AL52" s="75">
        <f t="shared" si="96"/>
        <v>2841048.2847471237</v>
      </c>
      <c r="AM52" s="75">
        <f t="shared" si="96"/>
        <v>549874</v>
      </c>
      <c r="AO52" s="75">
        <f t="shared" ref="AO52" si="97">SUM(AO42:AO51)</f>
        <v>-1091018.0754199999</v>
      </c>
      <c r="AP52" s="75">
        <f t="shared" ref="AP52" si="98">SUM(AP42:AP51)</f>
        <v>-2316414.9245799999</v>
      </c>
      <c r="AQ52" s="75">
        <f t="shared" ref="AQ52" si="99">SUM(AQ42:AQ51)</f>
        <v>2285604</v>
      </c>
      <c r="AR52" s="75">
        <f t="shared" ref="AR52" si="100">SUM(AR42:AR51)</f>
        <v>1176517.3728</v>
      </c>
    </row>
    <row r="53" spans="2:44" ht="14.25" customHeight="1" x14ac:dyDescent="0.35">
      <c r="B53" s="5" t="s">
        <v>71</v>
      </c>
      <c r="C53" s="31"/>
      <c r="D53" s="31"/>
      <c r="E53" s="31"/>
      <c r="F53" s="31"/>
      <c r="G53" s="31"/>
      <c r="H53" s="31"/>
      <c r="I53" s="31"/>
      <c r="J53" s="31"/>
      <c r="K53" s="31"/>
      <c r="L53" s="31"/>
      <c r="M53" s="31"/>
      <c r="N53" s="31"/>
      <c r="O53" s="31"/>
      <c r="P53" s="31"/>
      <c r="Q53" s="31"/>
      <c r="R53" s="31"/>
      <c r="S53" s="31"/>
      <c r="T53" s="31"/>
      <c r="U53" s="31"/>
      <c r="W53" s="31"/>
      <c r="X53" s="31"/>
      <c r="Y53" s="31"/>
      <c r="Z53" s="31"/>
      <c r="AA53" s="31"/>
      <c r="AB53" s="31"/>
      <c r="AC53" s="31"/>
      <c r="AD53" s="31"/>
      <c r="AE53" s="31"/>
      <c r="AF53" s="31"/>
      <c r="AJ53" s="31"/>
      <c r="AK53" s="31"/>
      <c r="AL53" s="31"/>
      <c r="AM53" s="31">
        <f t="shared" si="64"/>
        <v>0</v>
      </c>
      <c r="AO53" s="31"/>
      <c r="AP53" s="31"/>
      <c r="AQ53" s="31"/>
      <c r="AR53" s="31"/>
    </row>
    <row r="54" spans="2:44" ht="14.25" customHeight="1" x14ac:dyDescent="0.35">
      <c r="B54" s="7" t="s">
        <v>198</v>
      </c>
      <c r="C54" s="45">
        <v>280224</v>
      </c>
      <c r="D54" s="45">
        <v>257821</v>
      </c>
      <c r="E54" s="45">
        <v>296603.58</v>
      </c>
      <c r="F54" s="45">
        <v>844272.08</v>
      </c>
      <c r="G54" s="45">
        <v>1341886.486</v>
      </c>
      <c r="H54" s="45">
        <v>1833282</v>
      </c>
      <c r="I54" s="45">
        <v>575453</v>
      </c>
      <c r="J54" s="45">
        <v>671185.772</v>
      </c>
      <c r="K54" s="45">
        <v>6368059.33005</v>
      </c>
      <c r="L54" s="45">
        <v>6963799</v>
      </c>
      <c r="M54" s="45">
        <v>80000</v>
      </c>
      <c r="N54" s="45">
        <v>820848</v>
      </c>
      <c r="O54" s="45">
        <v>1319440</v>
      </c>
      <c r="P54" s="45">
        <v>2627332</v>
      </c>
      <c r="Q54" s="45">
        <v>1294711</v>
      </c>
      <c r="R54" s="74">
        <v>3184638</v>
      </c>
      <c r="S54" s="7">
        <v>3311586.5722583593</v>
      </c>
      <c r="T54" s="45">
        <v>4199271</v>
      </c>
      <c r="U54" s="45">
        <v>2378671</v>
      </c>
      <c r="W54" s="45">
        <f t="shared" ref="W54:W63" si="101">E54</f>
        <v>296603.58</v>
      </c>
      <c r="X54" s="45">
        <f t="shared" ref="X54:X63" si="102">F54-E54</f>
        <v>547668.5</v>
      </c>
      <c r="Y54" s="45">
        <f t="shared" ref="Y54:Y63" si="103">G54-F54</f>
        <v>497614.40600000008</v>
      </c>
      <c r="Z54" s="45">
        <f t="shared" ref="Z54:Z63" si="104">H54-G54</f>
        <v>491395.51399999997</v>
      </c>
      <c r="AA54" s="45">
        <f t="shared" ref="AA54:AA63" si="105">I54</f>
        <v>575453</v>
      </c>
      <c r="AB54" s="45">
        <f t="shared" ref="AB54:AB63" si="106">J54-I54</f>
        <v>95732.771999999997</v>
      </c>
      <c r="AC54" s="45">
        <f t="shared" ref="AC54:AC63" si="107">K54-J54</f>
        <v>5696873.5580500001</v>
      </c>
      <c r="AD54" s="45">
        <f t="shared" ref="AD54:AD63" si="108">L54-K54</f>
        <v>595739.66995000001</v>
      </c>
      <c r="AE54" s="45">
        <f t="shared" ref="AE54:AE63" si="109">M54</f>
        <v>80000</v>
      </c>
      <c r="AF54" s="45">
        <f t="shared" ref="AF54:AF63" si="110">N54-M54</f>
        <v>740848</v>
      </c>
      <c r="AG54" s="45">
        <f t="shared" ref="AG54:AG63" si="111">O54-N54</f>
        <v>498592</v>
      </c>
      <c r="AH54" s="45">
        <f t="shared" ref="AH54:AH63" si="112">P54-O54</f>
        <v>1307892</v>
      </c>
      <c r="AI54" s="45">
        <f t="shared" si="11"/>
        <v>1294711</v>
      </c>
      <c r="AJ54" s="45">
        <f>R54-Q54</f>
        <v>1889927</v>
      </c>
      <c r="AK54" s="45">
        <f t="shared" ref="AK54:AK63" si="113">S54-R54</f>
        <v>126948.57225835929</v>
      </c>
      <c r="AL54" s="45">
        <f t="shared" ref="AL54:AL63" si="114">T54-S54</f>
        <v>887684.42774164071</v>
      </c>
      <c r="AM54" s="45">
        <f t="shared" si="64"/>
        <v>2378671</v>
      </c>
      <c r="AN54" s="60"/>
      <c r="AO54" s="45">
        <f t="shared" ref="AO54:AO63" si="115">H54-D54</f>
        <v>1575461</v>
      </c>
      <c r="AP54" s="45">
        <f t="shared" ref="AP54:AP63" si="116">L54-H54</f>
        <v>5130517</v>
      </c>
      <c r="AQ54" s="45">
        <f t="shared" ref="AQ54:AQ63" si="117">P54-L54</f>
        <v>-4336467</v>
      </c>
      <c r="AR54" s="45">
        <f t="shared" si="17"/>
        <v>1571939</v>
      </c>
    </row>
    <row r="55" spans="2:44" ht="14.25" customHeight="1" x14ac:dyDescent="0.35">
      <c r="B55" s="7" t="s">
        <v>311</v>
      </c>
      <c r="C55" s="45">
        <v>22660</v>
      </c>
      <c r="D55" s="45">
        <v>-39591</v>
      </c>
      <c r="E55" s="45">
        <v>-4505.8090000000002</v>
      </c>
      <c r="F55" s="45">
        <v>-19048</v>
      </c>
      <c r="G55" s="45">
        <v>-48133.31</v>
      </c>
      <c r="H55" s="45">
        <v>-63602.681969999998</v>
      </c>
      <c r="I55" s="45">
        <v>0</v>
      </c>
      <c r="J55" s="45">
        <v>0</v>
      </c>
      <c r="K55" s="45">
        <v>-47586</v>
      </c>
      <c r="L55" s="45">
        <v>-48560</v>
      </c>
      <c r="M55" s="45">
        <v>0</v>
      </c>
      <c r="N55" s="45">
        <v>0</v>
      </c>
      <c r="O55" s="45">
        <v>0</v>
      </c>
      <c r="P55" s="45">
        <v>0</v>
      </c>
      <c r="Q55" s="45">
        <v>-27127</v>
      </c>
      <c r="R55" s="74">
        <v>0</v>
      </c>
      <c r="S55" s="7">
        <v>0</v>
      </c>
      <c r="T55" s="45">
        <v>0</v>
      </c>
      <c r="U55" s="45">
        <v>-47819</v>
      </c>
      <c r="W55" s="45">
        <f t="shared" si="101"/>
        <v>-4505.8090000000002</v>
      </c>
      <c r="X55" s="45">
        <f t="shared" si="102"/>
        <v>-14542.190999999999</v>
      </c>
      <c r="Y55" s="45">
        <f t="shared" si="103"/>
        <v>-29085.309999999998</v>
      </c>
      <c r="Z55" s="45">
        <f t="shared" si="104"/>
        <v>-15469.37197</v>
      </c>
      <c r="AA55" s="45">
        <f t="shared" si="105"/>
        <v>0</v>
      </c>
      <c r="AB55" s="45">
        <f t="shared" si="106"/>
        <v>0</v>
      </c>
      <c r="AC55" s="45">
        <f t="shared" si="107"/>
        <v>-47586</v>
      </c>
      <c r="AD55" s="45">
        <f t="shared" si="108"/>
        <v>-974</v>
      </c>
      <c r="AE55" s="45">
        <f t="shared" si="109"/>
        <v>0</v>
      </c>
      <c r="AF55" s="45">
        <f t="shared" si="110"/>
        <v>0</v>
      </c>
      <c r="AG55" s="45">
        <f t="shared" si="111"/>
        <v>0</v>
      </c>
      <c r="AH55" s="45">
        <f t="shared" si="112"/>
        <v>0</v>
      </c>
      <c r="AI55" s="45">
        <f t="shared" si="11"/>
        <v>-27127</v>
      </c>
      <c r="AJ55" s="45">
        <f>R55-Q55</f>
        <v>27127</v>
      </c>
      <c r="AK55" s="45">
        <f t="shared" si="113"/>
        <v>0</v>
      </c>
      <c r="AL55" s="45">
        <f t="shared" si="114"/>
        <v>0</v>
      </c>
      <c r="AM55" s="45">
        <f t="shared" si="64"/>
        <v>-47819</v>
      </c>
      <c r="AO55" s="45">
        <f t="shared" si="115"/>
        <v>-24011.681969999998</v>
      </c>
      <c r="AP55" s="45">
        <f t="shared" si="116"/>
        <v>15042.681969999998</v>
      </c>
      <c r="AQ55" s="45">
        <f t="shared" si="117"/>
        <v>48560</v>
      </c>
      <c r="AR55" s="45">
        <f t="shared" si="17"/>
        <v>0</v>
      </c>
    </row>
    <row r="56" spans="2:44" ht="13.5" customHeight="1" x14ac:dyDescent="0.35">
      <c r="B56" s="7" t="s">
        <v>199</v>
      </c>
      <c r="C56" s="45">
        <v>-2000</v>
      </c>
      <c r="D56" s="45">
        <v>-28581</v>
      </c>
      <c r="E56" s="45">
        <v>-36624.249000000003</v>
      </c>
      <c r="F56" s="45">
        <v>-39624.249000000003</v>
      </c>
      <c r="G56" s="45">
        <v>-46390.555</v>
      </c>
      <c r="H56" s="45">
        <v>-68291</v>
      </c>
      <c r="I56" s="45">
        <v>-194624</v>
      </c>
      <c r="J56" s="45">
        <v>-325700.30429</v>
      </c>
      <c r="K56" s="45">
        <v>-2279823</v>
      </c>
      <c r="L56" s="45">
        <v>-2690840</v>
      </c>
      <c r="M56" s="45">
        <v>-159130</v>
      </c>
      <c r="N56" s="45">
        <v>-180340</v>
      </c>
      <c r="O56" s="45">
        <v>-194630</v>
      </c>
      <c r="P56" s="45">
        <v>-657047</v>
      </c>
      <c r="Q56" s="45">
        <v>-520174</v>
      </c>
      <c r="R56" s="74">
        <v>-842938.508161376</v>
      </c>
      <c r="S56" s="45">
        <v>-1300740</v>
      </c>
      <c r="T56" s="45">
        <v>-1589516</v>
      </c>
      <c r="U56" s="45">
        <v>-2191672</v>
      </c>
      <c r="W56" s="45">
        <f>E56</f>
        <v>-36624.249000000003</v>
      </c>
      <c r="X56" s="45">
        <f>F56-E56</f>
        <v>-3000</v>
      </c>
      <c r="Y56" s="45">
        <f t="shared" si="103"/>
        <v>-6766.3059999999969</v>
      </c>
      <c r="Z56" s="45">
        <f>H56-G56</f>
        <v>-21900.445</v>
      </c>
      <c r="AA56" s="45">
        <f>I56</f>
        <v>-194624</v>
      </c>
      <c r="AB56" s="45">
        <f>J56-I56</f>
        <v>-131076.30429</v>
      </c>
      <c r="AC56" s="45">
        <f>K56-J56</f>
        <v>-1954122.6957100001</v>
      </c>
      <c r="AD56" s="45">
        <f>L56-K56</f>
        <v>-411017</v>
      </c>
      <c r="AE56" s="45">
        <f>M56</f>
        <v>-159130</v>
      </c>
      <c r="AF56" s="45">
        <f>N56-M56</f>
        <v>-21210</v>
      </c>
      <c r="AG56" s="45">
        <f>O56-N56</f>
        <v>-14290</v>
      </c>
      <c r="AH56" s="45">
        <f>P56-O56</f>
        <v>-462417</v>
      </c>
      <c r="AI56" s="45">
        <f t="shared" si="11"/>
        <v>-520174</v>
      </c>
      <c r="AJ56" s="45">
        <f>R56-Q56</f>
        <v>-322764.508161376</v>
      </c>
      <c r="AK56" s="45">
        <f>S56-R56</f>
        <v>-457801.491838624</v>
      </c>
      <c r="AL56" s="45">
        <f>T56-S56</f>
        <v>-288776</v>
      </c>
      <c r="AM56" s="45">
        <f>U56</f>
        <v>-2191672</v>
      </c>
      <c r="AO56" s="45">
        <f>H56-D56</f>
        <v>-39710</v>
      </c>
      <c r="AP56" s="45">
        <f>L56-H56</f>
        <v>-2622549</v>
      </c>
      <c r="AQ56" s="45">
        <f>P56-L56</f>
        <v>2033793</v>
      </c>
      <c r="AR56" s="45">
        <f>T56-P56</f>
        <v>-932469</v>
      </c>
    </row>
    <row r="57" spans="2:44" ht="13.5" customHeight="1" x14ac:dyDescent="0.35">
      <c r="B57" s="7" t="s">
        <v>312</v>
      </c>
      <c r="C57" s="45">
        <v>0</v>
      </c>
      <c r="D57" s="45">
        <v>0</v>
      </c>
      <c r="E57" s="45">
        <v>0</v>
      </c>
      <c r="F57" s="45">
        <v>0</v>
      </c>
      <c r="G57" s="45">
        <v>0</v>
      </c>
      <c r="H57" s="45">
        <v>0</v>
      </c>
      <c r="I57" s="45">
        <v>0</v>
      </c>
      <c r="J57" s="45">
        <v>0</v>
      </c>
      <c r="K57" s="45">
        <v>0</v>
      </c>
      <c r="L57" s="45">
        <v>0</v>
      </c>
      <c r="M57" s="45">
        <v>0</v>
      </c>
      <c r="N57" s="45">
        <v>0</v>
      </c>
      <c r="O57" s="45">
        <v>0</v>
      </c>
      <c r="P57" s="45">
        <v>0</v>
      </c>
      <c r="Q57" s="45">
        <v>0</v>
      </c>
      <c r="R57" s="74">
        <v>0</v>
      </c>
      <c r="S57" s="7">
        <v>0</v>
      </c>
      <c r="T57" s="45">
        <v>0</v>
      </c>
      <c r="U57" s="45">
        <v>-521391</v>
      </c>
      <c r="W57" s="45">
        <f t="shared" si="101"/>
        <v>0</v>
      </c>
      <c r="X57" s="45">
        <f t="shared" si="102"/>
        <v>0</v>
      </c>
      <c r="Y57" s="45">
        <f t="shared" si="103"/>
        <v>0</v>
      </c>
      <c r="Z57" s="45">
        <f t="shared" si="104"/>
        <v>0</v>
      </c>
      <c r="AA57" s="45">
        <f t="shared" si="105"/>
        <v>0</v>
      </c>
      <c r="AB57" s="45">
        <f t="shared" si="106"/>
        <v>0</v>
      </c>
      <c r="AC57" s="45">
        <f t="shared" si="107"/>
        <v>0</v>
      </c>
      <c r="AD57" s="45">
        <f t="shared" si="108"/>
        <v>0</v>
      </c>
      <c r="AE57" s="45">
        <f t="shared" si="109"/>
        <v>0</v>
      </c>
      <c r="AF57" s="45">
        <f t="shared" si="110"/>
        <v>0</v>
      </c>
      <c r="AG57" s="45">
        <f t="shared" si="111"/>
        <v>0</v>
      </c>
      <c r="AH57" s="45">
        <f t="shared" si="112"/>
        <v>0</v>
      </c>
      <c r="AI57" s="45">
        <f t="shared" si="11"/>
        <v>0</v>
      </c>
      <c r="AJ57" s="45">
        <f t="shared" ref="AJ57:AJ59" si="118">R57-Q57</f>
        <v>0</v>
      </c>
      <c r="AK57" s="45">
        <f t="shared" si="113"/>
        <v>0</v>
      </c>
      <c r="AL57" s="45">
        <f t="shared" si="114"/>
        <v>0</v>
      </c>
      <c r="AM57" s="45">
        <f t="shared" si="64"/>
        <v>-521391</v>
      </c>
      <c r="AO57" s="45">
        <f t="shared" si="115"/>
        <v>0</v>
      </c>
      <c r="AP57" s="45">
        <f t="shared" si="116"/>
        <v>0</v>
      </c>
      <c r="AQ57" s="45">
        <f t="shared" si="117"/>
        <v>0</v>
      </c>
      <c r="AR57" s="45">
        <f t="shared" si="17"/>
        <v>0</v>
      </c>
    </row>
    <row r="58" spans="2:44" ht="13.5" customHeight="1" x14ac:dyDescent="0.35">
      <c r="B58" s="7" t="s">
        <v>262</v>
      </c>
      <c r="C58" s="45">
        <v>0</v>
      </c>
      <c r="D58" s="45">
        <v>-16031</v>
      </c>
      <c r="E58" s="45">
        <v>0</v>
      </c>
      <c r="F58" s="45">
        <v>0</v>
      </c>
      <c r="G58" s="45">
        <v>0</v>
      </c>
      <c r="H58" s="45">
        <v>-31318</v>
      </c>
      <c r="I58" s="45">
        <v>0</v>
      </c>
      <c r="J58" s="45">
        <v>0</v>
      </c>
      <c r="K58" s="45">
        <v>0</v>
      </c>
      <c r="L58" s="45">
        <v>0</v>
      </c>
      <c r="M58" s="45">
        <v>-254275</v>
      </c>
      <c r="N58" s="45">
        <v>-513720</v>
      </c>
      <c r="O58" s="45">
        <v>-856023</v>
      </c>
      <c r="P58" s="45">
        <v>-1143720</v>
      </c>
      <c r="Q58" s="45">
        <v>-377500</v>
      </c>
      <c r="R58" s="74">
        <v>-702500</v>
      </c>
      <c r="S58" s="7">
        <v>-712900</v>
      </c>
      <c r="T58" s="45">
        <v>-712900</v>
      </c>
      <c r="U58" s="45">
        <v>-645384</v>
      </c>
      <c r="W58" s="45">
        <f t="shared" si="101"/>
        <v>0</v>
      </c>
      <c r="X58" s="45">
        <f t="shared" si="102"/>
        <v>0</v>
      </c>
      <c r="Y58" s="45">
        <f t="shared" si="103"/>
        <v>0</v>
      </c>
      <c r="Z58" s="45">
        <f t="shared" si="104"/>
        <v>-31318</v>
      </c>
      <c r="AA58" s="45">
        <f t="shared" si="105"/>
        <v>0</v>
      </c>
      <c r="AB58" s="45">
        <f t="shared" si="106"/>
        <v>0</v>
      </c>
      <c r="AC58" s="45">
        <f t="shared" si="107"/>
        <v>0</v>
      </c>
      <c r="AD58" s="45">
        <f t="shared" si="108"/>
        <v>0</v>
      </c>
      <c r="AE58" s="45">
        <f t="shared" si="109"/>
        <v>-254275</v>
      </c>
      <c r="AF58" s="45">
        <f t="shared" si="110"/>
        <v>-259445</v>
      </c>
      <c r="AG58" s="45">
        <f t="shared" si="111"/>
        <v>-342303</v>
      </c>
      <c r="AH58" s="45">
        <f t="shared" si="112"/>
        <v>-287697</v>
      </c>
      <c r="AI58" s="45">
        <f t="shared" si="11"/>
        <v>-377500</v>
      </c>
      <c r="AJ58" s="45">
        <f t="shared" si="118"/>
        <v>-325000</v>
      </c>
      <c r="AK58" s="45">
        <f t="shared" si="113"/>
        <v>-10400</v>
      </c>
      <c r="AL58" s="45">
        <f t="shared" si="114"/>
        <v>0</v>
      </c>
      <c r="AM58" s="45">
        <f t="shared" si="64"/>
        <v>-645384</v>
      </c>
      <c r="AO58" s="45">
        <f t="shared" si="115"/>
        <v>-15287</v>
      </c>
      <c r="AP58" s="45">
        <f t="shared" si="116"/>
        <v>31318</v>
      </c>
      <c r="AQ58" s="45">
        <f t="shared" si="117"/>
        <v>-1143720</v>
      </c>
      <c r="AR58" s="45">
        <f t="shared" si="17"/>
        <v>430820</v>
      </c>
    </row>
    <row r="59" spans="2:44" ht="13.5" customHeight="1" x14ac:dyDescent="0.35">
      <c r="B59" s="7" t="s">
        <v>313</v>
      </c>
      <c r="C59" s="45">
        <v>0</v>
      </c>
      <c r="D59" s="45">
        <v>0</v>
      </c>
      <c r="E59" s="45">
        <v>0</v>
      </c>
      <c r="F59" s="45">
        <v>0</v>
      </c>
      <c r="G59" s="45">
        <v>0</v>
      </c>
      <c r="H59" s="45">
        <v>0</v>
      </c>
      <c r="I59" s="45">
        <v>-693</v>
      </c>
      <c r="J59" s="45">
        <v>-693</v>
      </c>
      <c r="K59" s="45">
        <v>-4193</v>
      </c>
      <c r="L59" s="45">
        <v>-4725</v>
      </c>
      <c r="M59" s="45">
        <v>-893</v>
      </c>
      <c r="N59" s="45">
        <v>-2538</v>
      </c>
      <c r="O59" s="45">
        <v>-5061</v>
      </c>
      <c r="P59" s="45">
        <v>-14729</v>
      </c>
      <c r="Q59" s="45">
        <v>-11519</v>
      </c>
      <c r="R59" s="74">
        <v>-12389</v>
      </c>
      <c r="S59" s="7">
        <v>-16836</v>
      </c>
      <c r="T59" s="45">
        <v>-22418</v>
      </c>
      <c r="U59" s="45">
        <v>-19262</v>
      </c>
      <c r="W59" s="45">
        <f t="shared" si="101"/>
        <v>0</v>
      </c>
      <c r="X59" s="45">
        <f t="shared" si="102"/>
        <v>0</v>
      </c>
      <c r="Y59" s="45">
        <f t="shared" si="103"/>
        <v>0</v>
      </c>
      <c r="Z59" s="45">
        <f t="shared" si="104"/>
        <v>0</v>
      </c>
      <c r="AA59" s="45">
        <f t="shared" si="105"/>
        <v>-693</v>
      </c>
      <c r="AB59" s="45">
        <f t="shared" si="106"/>
        <v>0</v>
      </c>
      <c r="AC59" s="45">
        <f t="shared" si="107"/>
        <v>-3500</v>
      </c>
      <c r="AD59" s="45">
        <f t="shared" si="108"/>
        <v>-532</v>
      </c>
      <c r="AE59" s="45">
        <f t="shared" si="109"/>
        <v>-893</v>
      </c>
      <c r="AF59" s="45">
        <f t="shared" si="110"/>
        <v>-1645</v>
      </c>
      <c r="AG59" s="45">
        <f t="shared" si="111"/>
        <v>-2523</v>
      </c>
      <c r="AH59" s="45">
        <f t="shared" si="112"/>
        <v>-9668</v>
      </c>
      <c r="AI59" s="45">
        <f t="shared" si="11"/>
        <v>-11519</v>
      </c>
      <c r="AJ59" s="45">
        <f t="shared" si="118"/>
        <v>-870</v>
      </c>
      <c r="AK59" s="45">
        <f t="shared" si="113"/>
        <v>-4447</v>
      </c>
      <c r="AL59" s="45">
        <f t="shared" si="114"/>
        <v>-5582</v>
      </c>
      <c r="AM59" s="45">
        <f t="shared" si="64"/>
        <v>-19262</v>
      </c>
      <c r="AO59" s="45">
        <f t="shared" si="115"/>
        <v>0</v>
      </c>
      <c r="AP59" s="45">
        <f t="shared" si="116"/>
        <v>-4725</v>
      </c>
      <c r="AQ59" s="45">
        <f t="shared" si="117"/>
        <v>-10004</v>
      </c>
      <c r="AR59" s="45">
        <f t="shared" si="17"/>
        <v>-7689</v>
      </c>
    </row>
    <row r="60" spans="2:44" ht="13.5" customHeight="1" x14ac:dyDescent="0.35">
      <c r="B60" s="7" t="s">
        <v>314</v>
      </c>
      <c r="C60" s="45">
        <v>35368</v>
      </c>
      <c r="D60" s="45">
        <v>0</v>
      </c>
      <c r="E60" s="45">
        <v>0</v>
      </c>
      <c r="F60" s="45">
        <v>0</v>
      </c>
      <c r="G60" s="45">
        <v>0</v>
      </c>
      <c r="H60" s="45">
        <v>0</v>
      </c>
      <c r="I60" s="45">
        <v>0</v>
      </c>
      <c r="J60" s="45">
        <v>0</v>
      </c>
      <c r="K60" s="45">
        <v>4504</v>
      </c>
      <c r="L60" s="45">
        <v>4425</v>
      </c>
      <c r="M60" s="45">
        <v>0</v>
      </c>
      <c r="N60" s="45">
        <v>0</v>
      </c>
      <c r="O60" s="45">
        <v>0</v>
      </c>
      <c r="P60" s="45">
        <v>0</v>
      </c>
      <c r="Q60" s="45">
        <v>37</v>
      </c>
      <c r="R60" s="74">
        <v>194.93987730238587</v>
      </c>
      <c r="S60" s="7">
        <v>4731</v>
      </c>
      <c r="T60" s="45">
        <v>4731</v>
      </c>
      <c r="U60" s="45">
        <v>47</v>
      </c>
      <c r="W60" s="45">
        <f t="shared" si="101"/>
        <v>0</v>
      </c>
      <c r="X60" s="45">
        <f t="shared" si="102"/>
        <v>0</v>
      </c>
      <c r="Y60" s="45">
        <f t="shared" si="103"/>
        <v>0</v>
      </c>
      <c r="Z60" s="45">
        <f t="shared" si="104"/>
        <v>0</v>
      </c>
      <c r="AA60" s="45">
        <f t="shared" si="105"/>
        <v>0</v>
      </c>
      <c r="AB60" s="45">
        <f t="shared" si="106"/>
        <v>0</v>
      </c>
      <c r="AC60" s="45">
        <f t="shared" si="107"/>
        <v>4504</v>
      </c>
      <c r="AD60" s="45">
        <f t="shared" si="108"/>
        <v>-79</v>
      </c>
      <c r="AE60" s="45">
        <f t="shared" si="109"/>
        <v>0</v>
      </c>
      <c r="AF60" s="45">
        <f t="shared" si="110"/>
        <v>0</v>
      </c>
      <c r="AG60" s="45">
        <f t="shared" si="111"/>
        <v>0</v>
      </c>
      <c r="AH60" s="45">
        <f t="shared" si="112"/>
        <v>0</v>
      </c>
      <c r="AI60" s="45">
        <f t="shared" si="11"/>
        <v>37</v>
      </c>
      <c r="AJ60" s="45">
        <f>R60-AI60</f>
        <v>157.93987730238587</v>
      </c>
      <c r="AK60" s="45">
        <f t="shared" si="113"/>
        <v>4536.0601226976141</v>
      </c>
      <c r="AL60" s="45">
        <f t="shared" si="114"/>
        <v>0</v>
      </c>
      <c r="AM60" s="45">
        <f t="shared" si="64"/>
        <v>47</v>
      </c>
      <c r="AO60" s="45">
        <f t="shared" si="115"/>
        <v>0</v>
      </c>
      <c r="AP60" s="45">
        <f t="shared" si="116"/>
        <v>4425</v>
      </c>
      <c r="AQ60" s="45">
        <f t="shared" si="117"/>
        <v>-4425</v>
      </c>
      <c r="AR60" s="45">
        <f t="shared" si="17"/>
        <v>4731</v>
      </c>
    </row>
    <row r="61" spans="2:44" ht="13.5" customHeight="1" x14ac:dyDescent="0.35">
      <c r="B61" s="7" t="s">
        <v>315</v>
      </c>
      <c r="C61" s="45">
        <v>5026</v>
      </c>
      <c r="D61" s="45">
        <v>0</v>
      </c>
      <c r="E61" s="45">
        <v>-11744.802</v>
      </c>
      <c r="F61" s="45">
        <v>0</v>
      </c>
      <c r="G61" s="45">
        <v>-170.41500000000087</v>
      </c>
      <c r="H61" s="45">
        <v>0</v>
      </c>
      <c r="I61" s="45">
        <v>1273</v>
      </c>
      <c r="J61" s="45">
        <v>0</v>
      </c>
      <c r="K61" s="45">
        <v>-1314.5032500000016</v>
      </c>
      <c r="L61" s="45">
        <v>-1410</v>
      </c>
      <c r="M61" s="45">
        <v>-37758</v>
      </c>
      <c r="N61" s="45">
        <v>98</v>
      </c>
      <c r="O61" s="45">
        <v>-82461</v>
      </c>
      <c r="P61" s="45">
        <v>-103236</v>
      </c>
      <c r="Q61" s="45">
        <v>-272182</v>
      </c>
      <c r="R61" s="74">
        <v>-286488</v>
      </c>
      <c r="S61" s="7">
        <v>-521961.49325</v>
      </c>
      <c r="T61" s="45">
        <v>-529481</v>
      </c>
      <c r="U61" s="45">
        <v>-251659</v>
      </c>
      <c r="W61" s="45">
        <f t="shared" si="101"/>
        <v>-11744.802</v>
      </c>
      <c r="X61" s="45">
        <f t="shared" si="102"/>
        <v>11744.802</v>
      </c>
      <c r="Y61" s="45">
        <f t="shared" si="103"/>
        <v>-170.41500000000087</v>
      </c>
      <c r="Z61" s="45">
        <f t="shared" ref="Z61" si="119">H61-G61</f>
        <v>170.41500000000087</v>
      </c>
      <c r="AA61" s="45">
        <f t="shared" ref="AA61" si="120">I61</f>
        <v>1273</v>
      </c>
      <c r="AB61" s="45">
        <f t="shared" ref="AB61" si="121">J61-I61</f>
        <v>-1273</v>
      </c>
      <c r="AC61" s="45">
        <f t="shared" ref="AC61" si="122">K61-J61</f>
        <v>-1314.5032500000016</v>
      </c>
      <c r="AD61" s="45">
        <f t="shared" ref="AD61" si="123">L61-K61</f>
        <v>-95.496749999998428</v>
      </c>
      <c r="AE61" s="45">
        <f t="shared" ref="AE61" si="124">M61</f>
        <v>-37758</v>
      </c>
      <c r="AF61" s="45">
        <f t="shared" ref="AF61" si="125">N61-M61</f>
        <v>37856</v>
      </c>
      <c r="AG61" s="45">
        <f t="shared" ref="AG61" si="126">O61-N61</f>
        <v>-82559</v>
      </c>
      <c r="AH61" s="45">
        <f t="shared" ref="AH61" si="127">P61-O61</f>
        <v>-20775</v>
      </c>
      <c r="AI61" s="45">
        <f t="shared" si="11"/>
        <v>-272182</v>
      </c>
      <c r="AJ61" s="45">
        <f>R61-AI61</f>
        <v>-14306</v>
      </c>
      <c r="AK61" s="45">
        <f t="shared" ref="AK61" si="128">S61-R61</f>
        <v>-235473.49325</v>
      </c>
      <c r="AL61" s="45">
        <f t="shared" ref="AL61" si="129">T61-S61</f>
        <v>-7519.5067500000005</v>
      </c>
      <c r="AM61" s="45">
        <f t="shared" ref="AM61" si="130">U61</f>
        <v>-251659</v>
      </c>
      <c r="AO61" s="45"/>
      <c r="AP61" s="45"/>
      <c r="AQ61" s="45"/>
      <c r="AR61" s="45"/>
    </row>
    <row r="62" spans="2:44" ht="14.25" customHeight="1" x14ac:dyDescent="0.35">
      <c r="B62" s="5" t="s">
        <v>116</v>
      </c>
      <c r="C62" s="31">
        <f>SUM(C54:C61)</f>
        <v>341278</v>
      </c>
      <c r="D62" s="31">
        <f t="shared" ref="D62:T62" si="131">SUM(D54:D61)</f>
        <v>173618</v>
      </c>
      <c r="E62" s="31">
        <f t="shared" si="131"/>
        <v>243728.72</v>
      </c>
      <c r="F62" s="31">
        <f t="shared" si="131"/>
        <v>785599.83100000001</v>
      </c>
      <c r="G62" s="31">
        <f t="shared" si="131"/>
        <v>1247192.206</v>
      </c>
      <c r="H62" s="31">
        <f t="shared" si="131"/>
        <v>1670070.31803</v>
      </c>
      <c r="I62" s="31">
        <f t="shared" si="131"/>
        <v>381409</v>
      </c>
      <c r="J62" s="31">
        <f t="shared" si="131"/>
        <v>344792.46771</v>
      </c>
      <c r="K62" s="31">
        <f t="shared" si="131"/>
        <v>4039646.8267999999</v>
      </c>
      <c r="L62" s="31">
        <f t="shared" si="131"/>
        <v>4222689</v>
      </c>
      <c r="M62" s="31">
        <f t="shared" si="131"/>
        <v>-372056</v>
      </c>
      <c r="N62" s="31">
        <f t="shared" si="131"/>
        <v>124348</v>
      </c>
      <c r="O62" s="31">
        <f t="shared" si="131"/>
        <v>181265</v>
      </c>
      <c r="P62" s="31">
        <f t="shared" si="131"/>
        <v>708600</v>
      </c>
      <c r="Q62" s="31">
        <f t="shared" si="131"/>
        <v>86246</v>
      </c>
      <c r="R62" s="31">
        <f t="shared" si="131"/>
        <v>1340517.4317159262</v>
      </c>
      <c r="S62" s="31">
        <f t="shared" si="131"/>
        <v>763880.07900835923</v>
      </c>
      <c r="T62" s="31">
        <f t="shared" si="131"/>
        <v>1349687</v>
      </c>
      <c r="U62" s="31">
        <f>SUM(U54:U61)</f>
        <v>-1298469</v>
      </c>
      <c r="W62" s="31">
        <f>SUM(W54:W61)</f>
        <v>243728.72</v>
      </c>
      <c r="X62" s="31">
        <f t="shared" ref="X62:AM62" si="132">SUM(X54:X61)</f>
        <v>541871.11100000003</v>
      </c>
      <c r="Y62" s="31">
        <f t="shared" si="132"/>
        <v>461592.37500000012</v>
      </c>
      <c r="Z62" s="31">
        <f t="shared" si="132"/>
        <v>422878.11202999996</v>
      </c>
      <c r="AA62" s="31">
        <f t="shared" si="132"/>
        <v>381409</v>
      </c>
      <c r="AB62" s="31">
        <f t="shared" si="132"/>
        <v>-36616.532290000003</v>
      </c>
      <c r="AC62" s="31">
        <f t="shared" si="132"/>
        <v>3694854.3590899999</v>
      </c>
      <c r="AD62" s="31">
        <f t="shared" si="132"/>
        <v>183042.17320000002</v>
      </c>
      <c r="AE62" s="31">
        <f t="shared" si="132"/>
        <v>-372056</v>
      </c>
      <c r="AF62" s="31">
        <f t="shared" si="132"/>
        <v>496404</v>
      </c>
      <c r="AG62" s="31">
        <f t="shared" si="132"/>
        <v>56917</v>
      </c>
      <c r="AH62" s="31">
        <f t="shared" si="132"/>
        <v>527335</v>
      </c>
      <c r="AI62" s="31">
        <f t="shared" si="132"/>
        <v>86246</v>
      </c>
      <c r="AJ62" s="31">
        <f t="shared" si="132"/>
        <v>1254271.4317159264</v>
      </c>
      <c r="AK62" s="31">
        <f t="shared" si="132"/>
        <v>-576637.35270756716</v>
      </c>
      <c r="AL62" s="31">
        <f t="shared" si="132"/>
        <v>585806.92099164077</v>
      </c>
      <c r="AM62" s="31">
        <f t="shared" si="132"/>
        <v>-1298469</v>
      </c>
      <c r="AO62" s="31">
        <f t="shared" ref="AO62" si="133">SUM(AO54:AO61)</f>
        <v>1496452.31803</v>
      </c>
      <c r="AP62" s="31">
        <f t="shared" ref="AP62" si="134">SUM(AP54:AP61)</f>
        <v>2554028.6819700003</v>
      </c>
      <c r="AQ62" s="31">
        <f t="shared" ref="AQ62" si="135">SUM(AQ54:AQ61)</f>
        <v>-3412263</v>
      </c>
      <c r="AR62" s="31">
        <f t="shared" ref="AR62" si="136">SUM(AR54:AR61)</f>
        <v>1067332</v>
      </c>
    </row>
    <row r="63" spans="2:44" ht="14.25" customHeight="1" thickBot="1" x14ac:dyDescent="0.4">
      <c r="B63" s="5" t="s">
        <v>156</v>
      </c>
      <c r="C63" s="31">
        <v>0</v>
      </c>
      <c r="D63" s="45">
        <v>0</v>
      </c>
      <c r="E63" s="45">
        <v>0</v>
      </c>
      <c r="F63" s="45">
        <v>0</v>
      </c>
      <c r="G63" s="45">
        <v>0</v>
      </c>
      <c r="H63" s="45">
        <v>0</v>
      </c>
      <c r="I63" s="45">
        <v>0</v>
      </c>
      <c r="J63" s="45">
        <v>0</v>
      </c>
      <c r="K63" s="45">
        <v>0</v>
      </c>
      <c r="L63" s="45">
        <v>151</v>
      </c>
      <c r="M63" s="45">
        <v>-195</v>
      </c>
      <c r="N63" s="45">
        <v>-89</v>
      </c>
      <c r="O63" s="45">
        <v>1798</v>
      </c>
      <c r="P63" s="45">
        <v>-21764</v>
      </c>
      <c r="Q63" s="45">
        <v>3611</v>
      </c>
      <c r="R63" s="74">
        <v>14215.941747429433</v>
      </c>
      <c r="S63" s="7">
        <v>9985</v>
      </c>
      <c r="T63" s="45">
        <v>17710</v>
      </c>
      <c r="U63" s="45">
        <v>-5390</v>
      </c>
      <c r="W63" s="31">
        <f t="shared" si="101"/>
        <v>0</v>
      </c>
      <c r="X63" s="31">
        <f t="shared" si="102"/>
        <v>0</v>
      </c>
      <c r="Y63" s="31">
        <f t="shared" si="103"/>
        <v>0</v>
      </c>
      <c r="Z63" s="31">
        <f t="shared" si="104"/>
        <v>0</v>
      </c>
      <c r="AA63" s="31">
        <f t="shared" si="105"/>
        <v>0</v>
      </c>
      <c r="AB63" s="31">
        <f t="shared" si="106"/>
        <v>0</v>
      </c>
      <c r="AC63" s="31">
        <f t="shared" si="107"/>
        <v>0</v>
      </c>
      <c r="AD63" s="31">
        <f t="shared" si="108"/>
        <v>151</v>
      </c>
      <c r="AE63" s="31">
        <f t="shared" si="109"/>
        <v>-195</v>
      </c>
      <c r="AF63" s="31">
        <f t="shared" si="110"/>
        <v>106</v>
      </c>
      <c r="AG63" s="31">
        <f t="shared" si="111"/>
        <v>1887</v>
      </c>
      <c r="AH63" s="31">
        <f t="shared" si="112"/>
        <v>-23562</v>
      </c>
      <c r="AI63" s="31">
        <f t="shared" si="11"/>
        <v>3611</v>
      </c>
      <c r="AJ63" s="31">
        <f t="shared" ref="AJ63" si="137">R63-AI63</f>
        <v>10604.941747429433</v>
      </c>
      <c r="AK63" s="31">
        <f t="shared" si="113"/>
        <v>-4230.9417474294332</v>
      </c>
      <c r="AL63" s="31">
        <f t="shared" si="114"/>
        <v>7725</v>
      </c>
      <c r="AM63" s="31">
        <f t="shared" si="64"/>
        <v>-5390</v>
      </c>
      <c r="AO63" s="31">
        <f t="shared" si="115"/>
        <v>0</v>
      </c>
      <c r="AP63" s="31">
        <f t="shared" si="116"/>
        <v>151</v>
      </c>
      <c r="AQ63" s="31">
        <f t="shared" si="117"/>
        <v>-21915</v>
      </c>
      <c r="AR63" s="31">
        <f t="shared" si="17"/>
        <v>39474</v>
      </c>
    </row>
    <row r="64" spans="2:44" ht="14.25" customHeight="1" thickBot="1" x14ac:dyDescent="0.4">
      <c r="B64" s="9" t="s">
        <v>317</v>
      </c>
      <c r="C64" s="29">
        <f t="shared" ref="C64:Q64" si="138">C62+C52+C40+C63</f>
        <v>7805.6229999999923</v>
      </c>
      <c r="D64" s="29">
        <f t="shared" si="138"/>
        <v>1761.7999999999884</v>
      </c>
      <c r="E64" s="29">
        <f t="shared" si="138"/>
        <v>30009.074890463657</v>
      </c>
      <c r="F64" s="29">
        <f t="shared" si="138"/>
        <v>20411.800284503202</v>
      </c>
      <c r="G64" s="29">
        <f t="shared" si="138"/>
        <v>7489.4900894860912</v>
      </c>
      <c r="H64" s="29">
        <f t="shared" si="138"/>
        <v>298718.48714617389</v>
      </c>
      <c r="I64" s="29">
        <f t="shared" si="138"/>
        <v>-79008.228430767194</v>
      </c>
      <c r="J64" s="29">
        <f t="shared" si="138"/>
        <v>188942.65205999999</v>
      </c>
      <c r="K64" s="29">
        <f t="shared" si="138"/>
        <v>283831.01590151049</v>
      </c>
      <c r="L64" s="29">
        <f t="shared" si="138"/>
        <v>638612</v>
      </c>
      <c r="M64" s="29">
        <f t="shared" si="138"/>
        <v>-88795</v>
      </c>
      <c r="N64" s="29">
        <f t="shared" si="138"/>
        <v>-259174.67790468939</v>
      </c>
      <c r="O64" s="29">
        <f t="shared" si="138"/>
        <v>108709.15952380956</v>
      </c>
      <c r="P64" s="29">
        <f t="shared" si="138"/>
        <v>770581.25867999997</v>
      </c>
      <c r="Q64" s="29">
        <f t="shared" si="138"/>
        <v>1172627.5362064</v>
      </c>
      <c r="R64" s="29">
        <f>R40+R52+R62+R63</f>
        <v>-129339.77989664476</v>
      </c>
      <c r="S64" s="29">
        <f>S40+S52+S62+S63</f>
        <v>-875015.44928555354</v>
      </c>
      <c r="T64" s="29">
        <f>T40+T52+T62+T63</f>
        <v>-344339.22121000011</v>
      </c>
      <c r="U64" s="29">
        <f>U40+U52+U62+U63</f>
        <v>784222</v>
      </c>
      <c r="W64" s="29">
        <f>W40+W52+W62+W63</f>
        <v>30009.074890463642</v>
      </c>
      <c r="X64" s="29">
        <f t="shared" ref="X64:AM64" si="139">X40+X52+X62+X63</f>
        <v>-9597.2746059605852</v>
      </c>
      <c r="Y64" s="29">
        <f t="shared" si="139"/>
        <v>-12922.310195016908</v>
      </c>
      <c r="Z64" s="29">
        <f t="shared" si="139"/>
        <v>291228.9970566876</v>
      </c>
      <c r="AA64" s="29">
        <f t="shared" si="139"/>
        <v>-79008.228430767194</v>
      </c>
      <c r="AB64" s="29">
        <f t="shared" si="139"/>
        <v>267950.88049076719</v>
      </c>
      <c r="AC64" s="29">
        <f t="shared" si="139"/>
        <v>94888.363841510843</v>
      </c>
      <c r="AD64" s="29">
        <f t="shared" si="139"/>
        <v>354780.98409848928</v>
      </c>
      <c r="AE64" s="29">
        <f t="shared" si="139"/>
        <v>-88795</v>
      </c>
      <c r="AF64" s="29">
        <f t="shared" si="139"/>
        <v>-170379.67790468934</v>
      </c>
      <c r="AG64" s="29">
        <f t="shared" si="139"/>
        <v>367883.83742849895</v>
      </c>
      <c r="AH64" s="29">
        <f t="shared" si="139"/>
        <v>661872.09915619041</v>
      </c>
      <c r="AI64" s="29">
        <f t="shared" si="139"/>
        <v>1172627.5362064</v>
      </c>
      <c r="AJ64" s="29">
        <f t="shared" si="139"/>
        <v>-1301967.3161030444</v>
      </c>
      <c r="AK64" s="29">
        <f t="shared" si="139"/>
        <v>-745675.66938890901</v>
      </c>
      <c r="AL64" s="29">
        <f t="shared" si="139"/>
        <v>3454750.2280755537</v>
      </c>
      <c r="AM64" s="29">
        <f t="shared" si="139"/>
        <v>784222</v>
      </c>
      <c r="AO64" s="29">
        <f t="shared" ref="AO64" si="140">AO40+AO52+AO62+AO63</f>
        <v>296956.68714617402</v>
      </c>
      <c r="AP64" s="29">
        <f t="shared" ref="AP64" si="141">AP40+AP52+AP62+AP63</f>
        <v>341303.5128538264</v>
      </c>
      <c r="AQ64" s="29">
        <f t="shared" ref="AQ64" si="142">AQ40+AQ52+AQ62+AQ63</f>
        <v>233795.25867999997</v>
      </c>
      <c r="AR64" s="29">
        <f t="shared" ref="AR64" si="143">AR40+AR52+AR62+AR63</f>
        <v>1198588.2986300001</v>
      </c>
    </row>
    <row r="65" spans="2:44" ht="14.1" customHeight="1" x14ac:dyDescent="0.35">
      <c r="B65" s="6" t="s">
        <v>72</v>
      </c>
      <c r="C65" s="30">
        <v>6403</v>
      </c>
      <c r="D65" s="45">
        <v>9521</v>
      </c>
      <c r="E65" s="30">
        <v>11282.829</v>
      </c>
      <c r="F65" s="30">
        <v>11282.829</v>
      </c>
      <c r="G65" s="30">
        <v>11282.829</v>
      </c>
      <c r="H65" s="30">
        <v>11282.829</v>
      </c>
      <c r="I65" s="30">
        <v>310001</v>
      </c>
      <c r="J65" s="30">
        <v>310001</v>
      </c>
      <c r="K65" s="30">
        <v>310001</v>
      </c>
      <c r="L65" s="30">
        <v>310001</v>
      </c>
      <c r="M65" s="30">
        <v>948613</v>
      </c>
      <c r="N65" s="30">
        <v>948613</v>
      </c>
      <c r="O65" s="30">
        <v>948612.664924877</v>
      </c>
      <c r="P65" s="30">
        <v>948613</v>
      </c>
      <c r="Q65" s="30">
        <f>P66</f>
        <v>1719194.25868</v>
      </c>
      <c r="R65" s="74">
        <v>1719194.4510499861</v>
      </c>
      <c r="S65" s="30">
        <v>1719194</v>
      </c>
      <c r="T65" s="30">
        <f>P66</f>
        <v>1719194.25868</v>
      </c>
      <c r="U65" s="30">
        <f>T66</f>
        <v>1374855.0374699999</v>
      </c>
      <c r="AM65" s="55"/>
    </row>
    <row r="66" spans="2:44" ht="14.25" customHeight="1" thickBot="1" x14ac:dyDescent="0.4">
      <c r="B66" s="8" t="s">
        <v>73</v>
      </c>
      <c r="C66" s="35">
        <f t="shared" ref="C66:M66" si="144">C64+C65</f>
        <v>14208.622999999992</v>
      </c>
      <c r="D66" s="35">
        <f t="shared" si="144"/>
        <v>11282.799999999988</v>
      </c>
      <c r="E66" s="35">
        <f t="shared" si="144"/>
        <v>41291.903890463655</v>
      </c>
      <c r="F66" s="35">
        <f t="shared" si="144"/>
        <v>31694.6292845032</v>
      </c>
      <c r="G66" s="35">
        <f t="shared" si="144"/>
        <v>18772.319089486089</v>
      </c>
      <c r="H66" s="35">
        <f t="shared" si="144"/>
        <v>310001.31614617392</v>
      </c>
      <c r="I66" s="35">
        <f t="shared" si="144"/>
        <v>230992.77156923281</v>
      </c>
      <c r="J66" s="35">
        <f t="shared" si="144"/>
        <v>498943.65205999999</v>
      </c>
      <c r="K66" s="35">
        <f t="shared" si="144"/>
        <v>593832.01590151049</v>
      </c>
      <c r="L66" s="35">
        <f t="shared" si="144"/>
        <v>948613</v>
      </c>
      <c r="M66" s="35">
        <f t="shared" si="144"/>
        <v>859818</v>
      </c>
      <c r="N66" s="35">
        <f t="shared" ref="N66:U66" si="145">N64+N65</f>
        <v>689438.32209531055</v>
      </c>
      <c r="O66" s="35">
        <f t="shared" si="145"/>
        <v>1057321.8244486866</v>
      </c>
      <c r="P66" s="35">
        <f t="shared" si="145"/>
        <v>1719194.25868</v>
      </c>
      <c r="Q66" s="35">
        <f t="shared" si="145"/>
        <v>2891821.7948864</v>
      </c>
      <c r="R66" s="35">
        <f t="shared" si="145"/>
        <v>1589854.6711533414</v>
      </c>
      <c r="S66" s="35">
        <f t="shared" si="145"/>
        <v>844178.55071444646</v>
      </c>
      <c r="T66" s="35">
        <f t="shared" si="145"/>
        <v>1374855.0374699999</v>
      </c>
      <c r="U66" s="35">
        <f t="shared" si="145"/>
        <v>2159077.0374699999</v>
      </c>
      <c r="AM66" s="55"/>
    </row>
    <row r="67" spans="2:44" ht="14.25" customHeight="1" x14ac:dyDescent="0.35">
      <c r="B67" s="1"/>
      <c r="C67" s="1"/>
      <c r="D67" s="1"/>
      <c r="E67" s="1" t="s">
        <v>128</v>
      </c>
      <c r="F67" s="1"/>
      <c r="G67" s="1"/>
      <c r="H67" s="1"/>
      <c r="I67" s="1"/>
      <c r="J67" s="1"/>
      <c r="K67" s="1"/>
      <c r="AM67" s="55"/>
    </row>
    <row r="68" spans="2:44" ht="14.25" customHeight="1" thickBot="1" x14ac:dyDescent="0.4">
      <c r="B68" s="8" t="s">
        <v>264</v>
      </c>
      <c r="C68" s="35">
        <f>SUM(C23:C36)</f>
        <v>-60682</v>
      </c>
      <c r="D68" s="35">
        <f t="shared" ref="D68:U68" si="146">SUM(D23:D36)</f>
        <v>-98244.200000000012</v>
      </c>
      <c r="E68" s="35">
        <f t="shared" si="146"/>
        <v>50079.180179999996</v>
      </c>
      <c r="F68" s="35">
        <f t="shared" si="146"/>
        <v>-122693.39400000003</v>
      </c>
      <c r="G68" s="35">
        <f t="shared" si="146"/>
        <v>-305377.39951000002</v>
      </c>
      <c r="H68" s="35">
        <f t="shared" si="146"/>
        <v>-254875.62831297409</v>
      </c>
      <c r="I68" s="35">
        <f t="shared" si="146"/>
        <v>298785.13901000004</v>
      </c>
      <c r="J68" s="35">
        <f t="shared" si="146"/>
        <v>101413.93145000009</v>
      </c>
      <c r="K68" s="35">
        <f t="shared" si="146"/>
        <v>-340490.9047500001</v>
      </c>
      <c r="L68" s="35">
        <f t="shared" si="146"/>
        <v>-163737</v>
      </c>
      <c r="M68" s="35">
        <f t="shared" si="146"/>
        <v>237992</v>
      </c>
      <c r="N68" s="35">
        <f t="shared" si="146"/>
        <v>-799320.68577468931</v>
      </c>
      <c r="O68" s="35">
        <f t="shared" si="146"/>
        <v>-711011</v>
      </c>
      <c r="P68" s="35">
        <f t="shared" si="146"/>
        <v>-288439.74131999997</v>
      </c>
      <c r="Q68" s="35">
        <f t="shared" si="146"/>
        <v>552534</v>
      </c>
      <c r="R68" s="35">
        <f t="shared" si="146"/>
        <v>-490776</v>
      </c>
      <c r="S68" s="35">
        <f t="shared" si="146"/>
        <v>-737997.94775000005</v>
      </c>
      <c r="T68" s="35">
        <f t="shared" si="146"/>
        <v>-481930</v>
      </c>
      <c r="U68" s="35">
        <f t="shared" si="146"/>
        <v>1117724</v>
      </c>
      <c r="W68" s="35">
        <f t="shared" ref="W68:AL68" si="147">SUM(W23:W34)</f>
        <v>43003.833129999999</v>
      </c>
      <c r="X68" s="35">
        <f t="shared" si="147"/>
        <v>-167580.70413000003</v>
      </c>
      <c r="Y68" s="35">
        <f t="shared" si="147"/>
        <v>-183565.08704999997</v>
      </c>
      <c r="Z68" s="35">
        <f t="shared" si="147"/>
        <v>57466.517697025934</v>
      </c>
      <c r="AA68" s="35">
        <f t="shared" si="147"/>
        <v>295536.13901000004</v>
      </c>
      <c r="AB68" s="35">
        <f t="shared" si="147"/>
        <v>-202635.76006999996</v>
      </c>
      <c r="AC68" s="35">
        <f t="shared" si="147"/>
        <v>-409847.63262000011</v>
      </c>
      <c r="AD68" s="35">
        <f t="shared" si="147"/>
        <v>172285.25367999999</v>
      </c>
      <c r="AE68" s="35">
        <f t="shared" si="147"/>
        <v>257069</v>
      </c>
      <c r="AF68" s="35">
        <f t="shared" si="147"/>
        <v>-1011047</v>
      </c>
      <c r="AG68" s="35">
        <f t="shared" si="147"/>
        <v>108053</v>
      </c>
      <c r="AH68" s="35">
        <f t="shared" si="147"/>
        <v>476339</v>
      </c>
      <c r="AI68" s="35">
        <f t="shared" si="147"/>
        <v>634663</v>
      </c>
      <c r="AJ68" s="35">
        <f t="shared" si="147"/>
        <v>-898837</v>
      </c>
      <c r="AK68" s="35">
        <f t="shared" si="147"/>
        <v>-263926.77786999999</v>
      </c>
      <c r="AL68" s="35">
        <f t="shared" si="147"/>
        <v>302295.77786999999</v>
      </c>
      <c r="AM68" s="35">
        <f t="shared" si="64"/>
        <v>1117724</v>
      </c>
      <c r="AO68" s="35">
        <f>SUM(AO23:AO34)</f>
        <v>-137596.44035297405</v>
      </c>
      <c r="AP68" s="35">
        <f>SUM(AP23:AP34)</f>
        <v>106013.44035297405</v>
      </c>
      <c r="AQ68" s="35">
        <f>SUM(AQ23:AQ34)</f>
        <v>-24924</v>
      </c>
      <c r="AR68" s="35">
        <f>SUM(AR23:AR34)</f>
        <v>-12112</v>
      </c>
    </row>
  </sheetData>
  <mergeCells count="41">
    <mergeCell ref="AR5:AR6"/>
    <mergeCell ref="C5:C6"/>
    <mergeCell ref="AP5:AP6"/>
    <mergeCell ref="W5:W6"/>
    <mergeCell ref="X5:X6"/>
    <mergeCell ref="Y5:Y6"/>
    <mergeCell ref="AB5:AB6"/>
    <mergeCell ref="AC5:AC6"/>
    <mergeCell ref="Z5:Z6"/>
    <mergeCell ref="AO5:AO6"/>
    <mergeCell ref="AA5:AA6"/>
    <mergeCell ref="AD5:AD6"/>
    <mergeCell ref="AE5:AE6"/>
    <mergeCell ref="O5:O6"/>
    <mergeCell ref="AG5:AG6"/>
    <mergeCell ref="L5:L6"/>
    <mergeCell ref="K5:K6"/>
    <mergeCell ref="D5:D6"/>
    <mergeCell ref="E5:E6"/>
    <mergeCell ref="F5:F6"/>
    <mergeCell ref="I5:I6"/>
    <mergeCell ref="J5:J6"/>
    <mergeCell ref="G5:G6"/>
    <mergeCell ref="H5:H6"/>
    <mergeCell ref="O2:U3"/>
    <mergeCell ref="N5:N6"/>
    <mergeCell ref="P5:P6"/>
    <mergeCell ref="AI5:AI6"/>
    <mergeCell ref="R5:R6"/>
    <mergeCell ref="S5:S6"/>
    <mergeCell ref="Q5:Q6"/>
    <mergeCell ref="T5:T6"/>
    <mergeCell ref="U5:U6"/>
    <mergeCell ref="AM5:AM6"/>
    <mergeCell ref="AH5:AH6"/>
    <mergeCell ref="AQ5:AQ6"/>
    <mergeCell ref="AF5:AF6"/>
    <mergeCell ref="M5:M6"/>
    <mergeCell ref="AJ5:AJ6"/>
    <mergeCell ref="AK5:AK6"/>
    <mergeCell ref="AL5:AL6"/>
  </mergeCells>
  <phoneticPr fontId="19" type="noConversion"/>
  <pageMargins left="0.7" right="0.7" top="0.75" bottom="0.75" header="0.3" footer="0.3"/>
  <pageSetup paperSize="9" orientation="portrait" r:id="rId1"/>
  <ignoredErrors>
    <ignoredError sqref="AA5:AA7 AE45:AE47 AA45:AA47 AE7 AA16 AA15 AE15 AE57:AE58 AA57:AA58 AA63 AE63 AA41:AA42 AE41:AE42 AA65:AA67 AA49:AA51 AE49:AE51 AE22:AE24 AA22:AA24 AA31:AA36 AE31:AE36 AE9 AA9 AE16 AE12 AA12 AA17:AA19 AE17:AE19 AE27:AE28 AA27:AA28 AA37:AA38 AE37:AE38 AE60 AA60 AA53:AA55 AE53:AE55" formula="1"/>
    <ignoredError sqref="C69:T6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E0FFB-193F-4268-BBCC-5650463E59F4}">
  <sheetPr>
    <tabColor rgb="FF1B7754"/>
  </sheetPr>
  <dimension ref="B2:AP63"/>
  <sheetViews>
    <sheetView showGridLines="0" topLeftCell="Q1" zoomScaleNormal="100" workbookViewId="0"/>
  </sheetViews>
  <sheetFormatPr defaultColWidth="9.140625" defaultRowHeight="14.25" customHeight="1" x14ac:dyDescent="0.35"/>
  <cols>
    <col min="1" max="1" width="1.7109375" style="2" customWidth="1"/>
    <col min="2" max="2" width="55.5703125" style="2" customWidth="1"/>
    <col min="3" max="18" width="10.5703125" style="2" customWidth="1"/>
    <col min="19" max="28" width="10.5703125" customWidth="1"/>
    <col min="29" max="42" width="10.5703125" style="2" customWidth="1"/>
    <col min="43" max="16384" width="9.140625" style="2"/>
  </cols>
  <sheetData>
    <row r="2" spans="2:42" ht="14.25" customHeight="1" x14ac:dyDescent="0.35">
      <c r="H2" s="58"/>
      <c r="S2" s="100" t="s">
        <v>224</v>
      </c>
      <c r="T2" s="100"/>
      <c r="U2" s="100"/>
      <c r="V2" s="100"/>
      <c r="W2" s="100"/>
      <c r="X2" s="100"/>
      <c r="Y2" s="100"/>
    </row>
    <row r="3" spans="2:42" ht="14.25" customHeight="1" x14ac:dyDescent="0.35">
      <c r="H3" s="58"/>
      <c r="J3" s="58"/>
      <c r="K3" s="58"/>
      <c r="S3" s="100"/>
      <c r="T3" s="100"/>
      <c r="U3" s="100"/>
      <c r="V3" s="100"/>
      <c r="W3" s="100"/>
      <c r="X3" s="100"/>
      <c r="Y3" s="100"/>
    </row>
    <row r="5" spans="2:42" s="3" customFormat="1" ht="14.25" customHeight="1" x14ac:dyDescent="0.25">
      <c r="B5" s="83" t="s">
        <v>153</v>
      </c>
      <c r="C5" s="101" t="s">
        <v>163</v>
      </c>
      <c r="D5" s="101" t="s">
        <v>158</v>
      </c>
      <c r="E5" s="99" t="s">
        <v>9</v>
      </c>
      <c r="F5" s="99" t="s">
        <v>10</v>
      </c>
      <c r="G5" s="99" t="s">
        <v>11</v>
      </c>
      <c r="H5" s="99" t="s">
        <v>12</v>
      </c>
      <c r="I5" s="99" t="s">
        <v>152</v>
      </c>
      <c r="J5" s="99" t="s">
        <v>121</v>
      </c>
      <c r="K5" s="99" t="s">
        <v>122</v>
      </c>
      <c r="L5" s="99" t="s">
        <v>133</v>
      </c>
      <c r="M5" s="99" t="s">
        <v>157</v>
      </c>
      <c r="N5" s="99" t="s">
        <v>154</v>
      </c>
      <c r="O5" s="99" t="s">
        <v>162</v>
      </c>
      <c r="P5" s="99" t="s">
        <v>190</v>
      </c>
      <c r="Q5" s="99" t="s">
        <v>202</v>
      </c>
      <c r="R5" s="99" t="s">
        <v>215</v>
      </c>
      <c r="S5" s="99" t="s">
        <v>214</v>
      </c>
      <c r="T5" s="99" t="s">
        <v>222</v>
      </c>
      <c r="U5" s="99" t="s">
        <v>225</v>
      </c>
      <c r="V5" s="99" t="s">
        <v>257</v>
      </c>
      <c r="W5" s="99" t="s">
        <v>266</v>
      </c>
      <c r="X5" s="99" t="s">
        <v>265</v>
      </c>
      <c r="Y5" s="99" t="s">
        <v>281</v>
      </c>
      <c r="Z5"/>
      <c r="AA5" s="99" t="s">
        <v>163</v>
      </c>
      <c r="AB5" s="99" t="s">
        <v>158</v>
      </c>
      <c r="AC5" s="99" t="s">
        <v>152</v>
      </c>
      <c r="AD5" s="99" t="s">
        <v>167</v>
      </c>
      <c r="AE5" s="99" t="s">
        <v>168</v>
      </c>
      <c r="AF5" s="99" t="s">
        <v>169</v>
      </c>
      <c r="AG5" s="99" t="s">
        <v>154</v>
      </c>
      <c r="AH5" s="99" t="s">
        <v>189</v>
      </c>
      <c r="AI5" s="99" t="s">
        <v>192</v>
      </c>
      <c r="AJ5" s="99" t="s">
        <v>204</v>
      </c>
      <c r="AK5" s="99" t="s">
        <v>214</v>
      </c>
      <c r="AL5" s="99" t="s">
        <v>223</v>
      </c>
      <c r="AM5" s="99" t="s">
        <v>227</v>
      </c>
      <c r="AN5" s="99" t="s">
        <v>258</v>
      </c>
      <c r="AO5" s="99" t="s">
        <v>265</v>
      </c>
      <c r="AP5" s="99" t="s">
        <v>282</v>
      </c>
    </row>
    <row r="6" spans="2:42" s="3" customFormat="1" ht="14.25" customHeight="1" x14ac:dyDescent="0.25">
      <c r="B6" s="84" t="s">
        <v>113</v>
      </c>
      <c r="C6" s="101"/>
      <c r="D6" s="101"/>
      <c r="E6" s="99"/>
      <c r="F6" s="99"/>
      <c r="G6" s="99"/>
      <c r="H6" s="99"/>
      <c r="I6" s="99"/>
      <c r="J6" s="99"/>
      <c r="K6" s="99"/>
      <c r="L6" s="99"/>
      <c r="M6" s="99"/>
      <c r="N6" s="99"/>
      <c r="O6" s="99"/>
      <c r="P6" s="99"/>
      <c r="Q6" s="99"/>
      <c r="R6" s="99"/>
      <c r="S6" s="99"/>
      <c r="T6" s="99"/>
      <c r="U6" s="99"/>
      <c r="V6" s="99"/>
      <c r="W6" s="99"/>
      <c r="X6" s="99"/>
      <c r="Y6" s="99"/>
      <c r="Z6"/>
      <c r="AA6" s="99"/>
      <c r="AB6" s="99"/>
      <c r="AC6" s="99"/>
      <c r="AD6" s="99"/>
      <c r="AE6" s="99"/>
      <c r="AF6" s="99"/>
      <c r="AG6" s="99"/>
      <c r="AH6" s="99"/>
      <c r="AI6" s="99"/>
      <c r="AJ6" s="99"/>
      <c r="AK6" s="99"/>
      <c r="AL6" s="99"/>
      <c r="AM6" s="99"/>
      <c r="AN6" s="99"/>
      <c r="AO6" s="99"/>
      <c r="AP6" s="99"/>
    </row>
    <row r="7" spans="2:42" ht="14.25" customHeight="1" x14ac:dyDescent="0.35">
      <c r="B7" s="5" t="s">
        <v>147</v>
      </c>
      <c r="C7" s="4">
        <f>(5095345+128993833-6403609-3260976)/1000</f>
        <v>124424.59299999999</v>
      </c>
      <c r="D7" s="4">
        <f>Debt!C13</f>
        <v>203462.49800000002</v>
      </c>
      <c r="E7" s="4">
        <f>Debt!D$13</f>
        <v>695926</v>
      </c>
      <c r="F7" s="4">
        <f>Debt!E$13</f>
        <v>899861.63899999997</v>
      </c>
      <c r="G7" s="4">
        <f>Debt!F$13</f>
        <v>1484149.064</v>
      </c>
      <c r="H7" s="4">
        <f>Debt!G$13</f>
        <v>1872327</v>
      </c>
      <c r="I7" s="4">
        <f>E7</f>
        <v>695926</v>
      </c>
      <c r="J7" s="4">
        <f>I17</f>
        <v>2608740.1231275117</v>
      </c>
      <c r="K7" s="4">
        <f>J17</f>
        <v>2882275.9701275118</v>
      </c>
      <c r="L7" s="4">
        <f>K17</f>
        <v>3202336.2744175121</v>
      </c>
      <c r="M7" s="4">
        <f>L17</f>
        <v>5388526.7866491573</v>
      </c>
      <c r="N7" s="4">
        <f>J7</f>
        <v>2608740.1231275117</v>
      </c>
      <c r="O7" s="4">
        <f>M17</f>
        <v>5699923.8144394783</v>
      </c>
      <c r="P7" s="4">
        <f>O17</f>
        <v>4966106.6731085693</v>
      </c>
      <c r="Q7" s="4">
        <f>P17</f>
        <v>6009627.7626332585</v>
      </c>
      <c r="R7" s="4">
        <f>Q17</f>
        <v>6162939.974788093</v>
      </c>
      <c r="S7" s="4">
        <v>2972111.3108685999</v>
      </c>
      <c r="T7" s="4">
        <f>S17</f>
        <v>3041554.8158286</v>
      </c>
      <c r="U7" s="4">
        <f>T17</f>
        <v>3294534.2272286001</v>
      </c>
      <c r="V7" s="4">
        <f>U17</f>
        <v>4615241.5770486007</v>
      </c>
      <c r="W7" s="4">
        <v>5066502.8495326154</v>
      </c>
      <c r="X7" s="4">
        <v>3041554.8158286</v>
      </c>
      <c r="Y7" s="4">
        <v>4842116.8695511948</v>
      </c>
      <c r="AA7" s="4">
        <f t="shared" ref="AA7:AF7" si="0">C7</f>
        <v>124424.59299999999</v>
      </c>
      <c r="AB7" s="4">
        <f t="shared" si="0"/>
        <v>203462.49800000002</v>
      </c>
      <c r="AC7" s="4">
        <f t="shared" si="0"/>
        <v>695926</v>
      </c>
      <c r="AD7" s="4">
        <f t="shared" si="0"/>
        <v>899861.63899999997</v>
      </c>
      <c r="AE7" s="4">
        <f t="shared" si="0"/>
        <v>1484149.064</v>
      </c>
      <c r="AF7" s="4">
        <f t="shared" si="0"/>
        <v>1872327</v>
      </c>
      <c r="AG7" s="4">
        <f>N7</f>
        <v>2608740.1231275117</v>
      </c>
      <c r="AH7" s="4">
        <f>AD17</f>
        <v>2844878.5046875114</v>
      </c>
      <c r="AI7" s="4">
        <f>AE17</f>
        <v>3161938.5954291122</v>
      </c>
      <c r="AJ7" s="4">
        <f>AF17</f>
        <v>5342131.9989391575</v>
      </c>
      <c r="AK7" s="4">
        <f t="shared" ref="AK7:AK16" si="1">S7</f>
        <v>2972111.3108685999</v>
      </c>
      <c r="AL7" s="4">
        <f>AH17</f>
        <v>4928709.2076685689</v>
      </c>
      <c r="AM7" s="31">
        <f>AI17</f>
        <v>5969230.0836448595</v>
      </c>
      <c r="AN7" s="31">
        <f>AJ17</f>
        <v>6116545.1870780941</v>
      </c>
      <c r="AO7" s="31">
        <f>X7</f>
        <v>3041554.8158286</v>
      </c>
      <c r="AP7" s="31">
        <f>Y7</f>
        <v>4842116.8695511948</v>
      </c>
    </row>
    <row r="8" spans="2:42" ht="14.25" customHeight="1" x14ac:dyDescent="0.35">
      <c r="B8" s="7" t="s">
        <v>3</v>
      </c>
      <c r="C8" s="34">
        <f>'Statement of income'!C29</f>
        <v>78219</v>
      </c>
      <c r="D8" s="34">
        <f>'Statement of income'!D29</f>
        <v>212614.28200000001</v>
      </c>
      <c r="E8" s="34">
        <f>'Statement of income'!E29</f>
        <v>79381.493748251407</v>
      </c>
      <c r="F8" s="34">
        <f>'Statement of income'!F29</f>
        <v>86661.878251748567</v>
      </c>
      <c r="G8" s="34">
        <f>'Statement of income'!G29</f>
        <v>129484.73352735231</v>
      </c>
      <c r="H8" s="34">
        <f>'Statement of income'!H29</f>
        <v>184994</v>
      </c>
      <c r="I8" s="34">
        <f>SUM(E8:H8)</f>
        <v>480522.10552735231</v>
      </c>
      <c r="J8" s="30">
        <f>'Statement of income'!J29</f>
        <v>170730.84004923279</v>
      </c>
      <c r="K8" s="30">
        <v>244134.226075741</v>
      </c>
      <c r="L8" s="30">
        <f>'Statement of income'!L29</f>
        <v>325091.18347835477</v>
      </c>
      <c r="M8" s="30">
        <v>420123.75039667101</v>
      </c>
      <c r="N8" s="30">
        <v>1160079.8165216448</v>
      </c>
      <c r="O8" s="30">
        <f>'Statement of income'!O29</f>
        <v>526202</v>
      </c>
      <c r="P8" s="30">
        <f>'Statement of income'!P29</f>
        <v>616978</v>
      </c>
      <c r="Q8" s="30">
        <v>852664</v>
      </c>
      <c r="R8" s="30">
        <v>625924</v>
      </c>
      <c r="S8" s="30">
        <v>2621768</v>
      </c>
      <c r="T8" s="30">
        <v>675996.87303999986</v>
      </c>
      <c r="U8" s="30">
        <v>707433.84663999965</v>
      </c>
      <c r="V8" s="30">
        <v>519503.09030712384</v>
      </c>
      <c r="W8" s="30">
        <v>489163.37452287646</v>
      </c>
      <c r="X8" s="30">
        <v>2392097.1845100001</v>
      </c>
      <c r="Y8" s="30">
        <v>377102</v>
      </c>
      <c r="AA8" s="34">
        <f t="shared" ref="AA8:AA16" si="2">C8</f>
        <v>78219</v>
      </c>
      <c r="AB8" s="34">
        <f t="shared" ref="AB8:AB16" si="3">D8</f>
        <v>212614.28200000001</v>
      </c>
      <c r="AC8" s="34">
        <f>SUM(E8:H8)</f>
        <v>480522.10552735231</v>
      </c>
      <c r="AD8" s="34">
        <f>SUM(F8:H8,J8)</f>
        <v>571871.45182833367</v>
      </c>
      <c r="AE8" s="34">
        <f>SUM(G8:H8,J8:K8)</f>
        <v>729343.79965232615</v>
      </c>
      <c r="AF8" s="34">
        <f>SUM(H8,J8:L8)</f>
        <v>924950.24960332853</v>
      </c>
      <c r="AG8" s="34">
        <f>N8</f>
        <v>1160079.8165216448</v>
      </c>
      <c r="AH8" s="30">
        <f>SUM(O8,K8:M8)</f>
        <v>1515551.1599507667</v>
      </c>
      <c r="AI8" s="30">
        <f>SUM(O8:P8,L8:M8)</f>
        <v>1888394.9338750257</v>
      </c>
      <c r="AJ8" s="30">
        <f>SUM(O8:Q8,M8)</f>
        <v>2415967.7503966708</v>
      </c>
      <c r="AK8" s="30">
        <f t="shared" si="1"/>
        <v>2621768</v>
      </c>
      <c r="AL8" s="30">
        <f>SUM(T8,P8:R8)</f>
        <v>2771562.87304</v>
      </c>
      <c r="AM8" s="30">
        <f>SUM(U8,T8,R8,Q8)</f>
        <v>2862018.7196799996</v>
      </c>
      <c r="AN8" s="30">
        <f>SUM(V8,U8,T8,R8)</f>
        <v>2528857.8099871236</v>
      </c>
      <c r="AO8" s="30">
        <f t="shared" ref="AO8:AP16" si="4">X8</f>
        <v>2392097.1845100001</v>
      </c>
      <c r="AP8" s="30">
        <f t="shared" si="4"/>
        <v>377102</v>
      </c>
    </row>
    <row r="9" spans="2:42" ht="14.25" customHeight="1" x14ac:dyDescent="0.35">
      <c r="B9" s="7" t="s">
        <v>210</v>
      </c>
      <c r="C9" s="45">
        <v>-13880.905000000001</v>
      </c>
      <c r="D9" s="45">
        <v>-235168.77299999993</v>
      </c>
      <c r="E9" s="45">
        <v>4114.3638399996562</v>
      </c>
      <c r="F9" s="45">
        <v>-228082.5349124393</v>
      </c>
      <c r="G9" s="45">
        <v>-286683.91392135201</v>
      </c>
      <c r="H9" s="45">
        <v>16586.166040338576</v>
      </c>
      <c r="I9" s="45">
        <v>-494065.91895345319</v>
      </c>
      <c r="J9" s="45">
        <v>298785.13901000004</v>
      </c>
      <c r="K9" s="45">
        <v>-197371.20755999995</v>
      </c>
      <c r="L9" s="45">
        <v>-441904.83620000014</v>
      </c>
      <c r="M9" s="45">
        <v>176753.90474999999</v>
      </c>
      <c r="N9" s="30">
        <v>-163737</v>
      </c>
      <c r="O9" s="45">
        <v>237992</v>
      </c>
      <c r="P9" s="45">
        <v>-1037312.6857746893</v>
      </c>
      <c r="Q9" s="30">
        <v>88309.685774689322</v>
      </c>
      <c r="R9" s="30">
        <v>422571.25868000003</v>
      </c>
      <c r="S9" s="45">
        <v>-288439.74131999997</v>
      </c>
      <c r="T9" s="45">
        <v>552534</v>
      </c>
      <c r="U9" s="30">
        <v>-1043310</v>
      </c>
      <c r="V9" s="30">
        <v>-247221.94774999999</v>
      </c>
      <c r="W9" s="30">
        <v>256067.94774999999</v>
      </c>
      <c r="X9" s="30">
        <v>-481930</v>
      </c>
      <c r="Y9" s="30">
        <v>1117724</v>
      </c>
      <c r="AA9" s="45">
        <f t="shared" si="2"/>
        <v>-13880.905000000001</v>
      </c>
      <c r="AB9" s="45">
        <f t="shared" si="3"/>
        <v>-235168.77299999993</v>
      </c>
      <c r="AC9" s="45">
        <f>SUM(E9:H9)</f>
        <v>-494065.91895345307</v>
      </c>
      <c r="AD9" s="45">
        <f>SUM(F9:H9,J9)</f>
        <v>-199395.14378345269</v>
      </c>
      <c r="AE9" s="45">
        <f>SUM(G9:H9,J9:K9)</f>
        <v>-168683.81643101334</v>
      </c>
      <c r="AF9" s="45">
        <f>SUM(H9,J9:L9)</f>
        <v>-323904.73870966147</v>
      </c>
      <c r="AG9" s="34">
        <f>N9</f>
        <v>-163737</v>
      </c>
      <c r="AH9" s="30">
        <f>SUM(O9,K9:M9)</f>
        <v>-224530.1390100001</v>
      </c>
      <c r="AI9" s="30">
        <f>SUM(O9:P9,L9:M9)</f>
        <v>-1064471.6172246893</v>
      </c>
      <c r="AJ9" s="30">
        <f>SUM(O9:Q9,M9)</f>
        <v>-534257.09525000001</v>
      </c>
      <c r="AK9" s="30">
        <f t="shared" si="1"/>
        <v>-288439.74131999997</v>
      </c>
      <c r="AL9" s="30">
        <f>SUM(T9,P9:R9)</f>
        <v>26102.258680000028</v>
      </c>
      <c r="AM9" s="30">
        <f>SUM(U9,T9,R9,Q9)</f>
        <v>20104.94445468935</v>
      </c>
      <c r="AN9" s="30">
        <f>SUM(V9,U9,T9,R9)</f>
        <v>-315426.68907000002</v>
      </c>
      <c r="AO9" s="30">
        <f t="shared" si="4"/>
        <v>-481930</v>
      </c>
      <c r="AP9" s="30">
        <f t="shared" si="4"/>
        <v>1117724</v>
      </c>
    </row>
    <row r="10" spans="2:42" ht="14.25" customHeight="1" x14ac:dyDescent="0.35">
      <c r="B10" s="7" t="s">
        <v>148</v>
      </c>
      <c r="C10" s="45">
        <f>'Statement of cash flow'!C39</f>
        <v>0</v>
      </c>
      <c r="D10" s="45">
        <f>'Statement of cash flow'!D39</f>
        <v>-16446</v>
      </c>
      <c r="E10" s="45">
        <v>-7672.8398099999995</v>
      </c>
      <c r="F10" s="45">
        <v>0</v>
      </c>
      <c r="G10" s="45">
        <v>0</v>
      </c>
      <c r="H10" s="45">
        <v>0</v>
      </c>
      <c r="I10" s="45">
        <v>-8445.8092500000002</v>
      </c>
      <c r="J10" s="45">
        <v>0</v>
      </c>
      <c r="K10" s="45">
        <v>0</v>
      </c>
      <c r="L10" s="45">
        <v>0</v>
      </c>
      <c r="M10" s="45">
        <v>0</v>
      </c>
      <c r="N10" s="45">
        <v>0</v>
      </c>
      <c r="O10" s="45">
        <v>-25867</v>
      </c>
      <c r="P10" s="45">
        <v>-23175</v>
      </c>
      <c r="Q10" s="45">
        <v>-14853</v>
      </c>
      <c r="R10" s="45">
        <v>-23965</v>
      </c>
      <c r="S10" s="45">
        <v>-87860</v>
      </c>
      <c r="T10" s="45">
        <v>0</v>
      </c>
      <c r="U10" s="45">
        <v>0</v>
      </c>
      <c r="V10" s="45">
        <v>0</v>
      </c>
      <c r="W10" s="45">
        <v>0</v>
      </c>
      <c r="X10" s="45">
        <v>0</v>
      </c>
      <c r="Y10" s="45">
        <v>0</v>
      </c>
      <c r="AA10" s="34">
        <f t="shared" si="2"/>
        <v>0</v>
      </c>
      <c r="AB10" s="34">
        <f t="shared" si="3"/>
        <v>-16446</v>
      </c>
      <c r="AC10" s="34">
        <f>SUM(E10:H10)</f>
        <v>-7672.8398099999995</v>
      </c>
      <c r="AD10" s="34">
        <f>SUM(F10:H10,J10)</f>
        <v>0</v>
      </c>
      <c r="AE10" s="34">
        <f>SUM(G10:H10,J10:K10)</f>
        <v>0</v>
      </c>
      <c r="AF10" s="34">
        <f>SUM(H10,J10:L10)</f>
        <v>0</v>
      </c>
      <c r="AG10" s="34">
        <f>N10</f>
        <v>0</v>
      </c>
      <c r="AH10" s="30">
        <f>SUM(O10,K10:M10)</f>
        <v>-25867</v>
      </c>
      <c r="AI10" s="30">
        <f>SUM(O10:P10,L10:M10)</f>
        <v>-49042</v>
      </c>
      <c r="AJ10" s="30">
        <f>SUM(O10:Q10,M10)</f>
        <v>-63895</v>
      </c>
      <c r="AK10" s="30">
        <f t="shared" si="1"/>
        <v>-87860</v>
      </c>
      <c r="AL10" s="30">
        <f>SUM(T10,P10:R10)</f>
        <v>-61993</v>
      </c>
      <c r="AM10" s="30">
        <f>SUM(U10,T10,R10,Q10)</f>
        <v>-38818</v>
      </c>
      <c r="AN10" s="30">
        <f>SUM(V10,U10,T10,R10)</f>
        <v>-23965</v>
      </c>
      <c r="AO10" s="30">
        <f t="shared" si="4"/>
        <v>0</v>
      </c>
      <c r="AP10" s="30">
        <f t="shared" si="4"/>
        <v>0</v>
      </c>
    </row>
    <row r="11" spans="2:42" ht="14.25" customHeight="1" x14ac:dyDescent="0.35">
      <c r="B11" s="54" t="s">
        <v>149</v>
      </c>
      <c r="C11" s="31">
        <f t="shared" ref="C11:V11" si="5">SUM(C8:C10)</f>
        <v>64338.095000000001</v>
      </c>
      <c r="D11" s="31">
        <f>SUM(D8:D10)</f>
        <v>-39000.490999999922</v>
      </c>
      <c r="E11" s="31">
        <f t="shared" si="5"/>
        <v>75823.017778251058</v>
      </c>
      <c r="F11" s="31">
        <f t="shared" si="5"/>
        <v>-141420.65666069073</v>
      </c>
      <c r="G11" s="31">
        <f t="shared" si="5"/>
        <v>-157199.1803939997</v>
      </c>
      <c r="H11" s="31">
        <f t="shared" si="5"/>
        <v>201580.16604033858</v>
      </c>
      <c r="I11" s="31">
        <f t="shared" si="5"/>
        <v>-21989.62267610088</v>
      </c>
      <c r="J11" s="31">
        <f t="shared" si="5"/>
        <v>469515.97905923286</v>
      </c>
      <c r="K11" s="31">
        <f t="shared" si="5"/>
        <v>46763.018515741045</v>
      </c>
      <c r="L11" s="31">
        <f t="shared" si="5"/>
        <v>-116813.65272164537</v>
      </c>
      <c r="M11" s="31">
        <v>596877.65514667099</v>
      </c>
      <c r="N11" s="31">
        <v>996342.81652164483</v>
      </c>
      <c r="O11" s="31">
        <f t="shared" si="5"/>
        <v>738327</v>
      </c>
      <c r="P11" s="31">
        <f t="shared" si="5"/>
        <v>-443509.68577468931</v>
      </c>
      <c r="Q11" s="31">
        <f t="shared" si="5"/>
        <v>926120.68577468931</v>
      </c>
      <c r="R11" s="31">
        <f t="shared" si="5"/>
        <v>1024530.25868</v>
      </c>
      <c r="S11" s="31">
        <f t="shared" si="5"/>
        <v>2245468.25868</v>
      </c>
      <c r="T11" s="31">
        <f>SUM(T8:T10)</f>
        <v>1228530.87304</v>
      </c>
      <c r="U11" s="31">
        <f t="shared" si="5"/>
        <v>-335876.15336000035</v>
      </c>
      <c r="V11" s="31">
        <f t="shared" si="5"/>
        <v>272281.14255712385</v>
      </c>
      <c r="W11" s="31">
        <f t="shared" ref="W11:X11" si="6">SUM(W8:W10)</f>
        <v>745231.32227287651</v>
      </c>
      <c r="X11" s="31">
        <f t="shared" si="6"/>
        <v>1910167.1845100001</v>
      </c>
      <c r="Y11" s="31">
        <f t="shared" ref="Y11" si="7">SUM(Y8:Y10)</f>
        <v>1494826</v>
      </c>
      <c r="AA11" s="31">
        <f t="shared" si="2"/>
        <v>64338.095000000001</v>
      </c>
      <c r="AB11" s="31">
        <f t="shared" si="3"/>
        <v>-39000.490999999922</v>
      </c>
      <c r="AC11" s="31">
        <f>SUM(AC8:AC10)</f>
        <v>-21216.653236100763</v>
      </c>
      <c r="AD11" s="31">
        <f t="shared" ref="AD11:AJ11" si="8">SUM(AD8:AD10)</f>
        <v>372476.30804488098</v>
      </c>
      <c r="AE11" s="31">
        <f t="shared" si="8"/>
        <v>560659.98322131275</v>
      </c>
      <c r="AF11" s="31">
        <f t="shared" si="8"/>
        <v>601045.51089366712</v>
      </c>
      <c r="AG11" s="31">
        <f t="shared" si="8"/>
        <v>996342.81652164483</v>
      </c>
      <c r="AH11" s="31">
        <f t="shared" si="8"/>
        <v>1265154.0209407667</v>
      </c>
      <c r="AI11" s="31">
        <f t="shared" si="8"/>
        <v>774881.31665033638</v>
      </c>
      <c r="AJ11" s="31">
        <f t="shared" si="8"/>
        <v>1817815.6551466708</v>
      </c>
      <c r="AK11" s="31">
        <f t="shared" si="1"/>
        <v>2245468.25868</v>
      </c>
      <c r="AL11" s="31">
        <f t="shared" ref="AL11:AM11" si="9">SUM(AL8:AL10)</f>
        <v>2735672.1317199999</v>
      </c>
      <c r="AM11" s="31">
        <f t="shared" si="9"/>
        <v>2843305.6641346891</v>
      </c>
      <c r="AN11" s="31">
        <f t="shared" ref="AN11" si="10">SUM(AN8:AN10)</f>
        <v>2189466.1209171237</v>
      </c>
      <c r="AO11" s="31">
        <f t="shared" si="4"/>
        <v>1910167.1845100001</v>
      </c>
      <c r="AP11" s="31">
        <f t="shared" si="4"/>
        <v>1494826</v>
      </c>
    </row>
    <row r="12" spans="2:42" ht="14.25" customHeight="1" x14ac:dyDescent="0.35">
      <c r="B12" s="7" t="s">
        <v>8</v>
      </c>
      <c r="C12" s="45">
        <f>'Statement of cash flow'!C42+'Statement of cash flow'!C45+'Statement of cash flow'!C47</f>
        <v>-109791</v>
      </c>
      <c r="D12" s="45">
        <f>'Statement of cash flow'!D42+'Statement of cash flow'!D45+'Statement of cash flow'!D47</f>
        <v>-386852</v>
      </c>
      <c r="E12" s="45">
        <v>-280821.54723825096</v>
      </c>
      <c r="F12" s="45">
        <v>-331645.33842770907</v>
      </c>
      <c r="G12" s="45">
        <v>-263967.08942403994</v>
      </c>
      <c r="H12" s="45">
        <v>-277093.0562528501</v>
      </c>
      <c r="I12" s="45">
        <f t="shared" ref="I12:I15" si="11">SUM(E12:H12)</f>
        <v>-1153527.0313428501</v>
      </c>
      <c r="J12" s="45">
        <f>'Statement of cash flow'!AA42+'Statement of cash flow'!AA45+'Statement of cash flow'!AA47</f>
        <v>-281400.13901000004</v>
      </c>
      <c r="K12" s="45">
        <v>-142676.306054974</v>
      </c>
      <c r="L12" s="45">
        <f>'Statement of cash flow'!AC42+'Statement of cash flow'!AC45+'Statement of cash flow'!AC47</f>
        <v>-84638.646482943717</v>
      </c>
      <c r="M12" s="45">
        <v>-106203.90845208248</v>
      </c>
      <c r="N12" s="30">
        <v>-614919</v>
      </c>
      <c r="O12" s="45">
        <f>'Statement of cash flow'!M42+'Statement of cash flow'!M45+'Statement of cash flow'!M47</f>
        <v>-145563</v>
      </c>
      <c r="P12" s="45">
        <f>'Statement of cash flow'!AF42+'Statement of cash flow'!AF45+'Statement of cash flow'!AF47</f>
        <v>-132775</v>
      </c>
      <c r="Q12" s="45">
        <v>-125442</v>
      </c>
      <c r="R12" s="45">
        <v>-215712</v>
      </c>
      <c r="S12" s="45">
        <v>-619492</v>
      </c>
      <c r="T12" s="45">
        <v>-281895</v>
      </c>
      <c r="U12" s="45">
        <v>-197750</v>
      </c>
      <c r="V12" s="45">
        <v>-105986.69046712377</v>
      </c>
      <c r="W12" s="45">
        <v>-97730.088052876279</v>
      </c>
      <c r="X12" s="45">
        <v>-683361.77852000005</v>
      </c>
      <c r="Y12" s="45">
        <v>-662340</v>
      </c>
      <c r="AA12" s="34">
        <f t="shared" si="2"/>
        <v>-109791</v>
      </c>
      <c r="AB12" s="34">
        <f t="shared" si="3"/>
        <v>-386852</v>
      </c>
      <c r="AC12" s="34">
        <f>SUM(E12:H12)</f>
        <v>-1153527.0313428501</v>
      </c>
      <c r="AD12" s="34">
        <f>SUM(F12:H12,J12)</f>
        <v>-1154105.6231145991</v>
      </c>
      <c r="AE12" s="34">
        <f>SUM(G12:H12,J12:K12)</f>
        <v>-965136.59074186406</v>
      </c>
      <c r="AF12" s="34">
        <f>SUM(H12,J12:L12)</f>
        <v>-785808.14780076779</v>
      </c>
      <c r="AG12" s="34">
        <f>N12</f>
        <v>-614919</v>
      </c>
      <c r="AH12" s="30">
        <f>SUM(O12,K12:M12)</f>
        <v>-479081.86099000019</v>
      </c>
      <c r="AI12" s="30">
        <f>SUM(O12:P12,L12:M12)</f>
        <v>-469180.55493502622</v>
      </c>
      <c r="AJ12" s="30">
        <f>SUM(O12:Q12,M12)</f>
        <v>-509983.90845208248</v>
      </c>
      <c r="AK12" s="30">
        <f t="shared" si="1"/>
        <v>-619492</v>
      </c>
      <c r="AL12" s="30">
        <f>SUM(T12,P12:R12)</f>
        <v>-755824</v>
      </c>
      <c r="AM12" s="30">
        <f>SUM(U12,T12,R12,Q12)</f>
        <v>-820799</v>
      </c>
      <c r="AN12" s="30">
        <f>SUM(V12,U12,T12,R12)</f>
        <v>-801343.69046712376</v>
      </c>
      <c r="AO12" s="30">
        <f t="shared" si="4"/>
        <v>-683361.77852000005</v>
      </c>
      <c r="AP12" s="30">
        <f t="shared" si="4"/>
        <v>-662340</v>
      </c>
    </row>
    <row r="13" spans="2:42" ht="14.25" customHeight="1" x14ac:dyDescent="0.35">
      <c r="B13" s="7" t="s">
        <v>263</v>
      </c>
      <c r="C13" s="45">
        <f>-'Statement of cash flow'!C11</f>
        <v>-16216</v>
      </c>
      <c r="D13" s="45">
        <f>'Statement of cash flow'!D11</f>
        <v>29333</v>
      </c>
      <c r="E13" s="45">
        <f>-'Statement of cash flow'!E11</f>
        <v>-15875.356539999999</v>
      </c>
      <c r="F13" s="45">
        <f>-'Statement of cash flow'!X11</f>
        <v>-20141.643459999999</v>
      </c>
      <c r="G13" s="45">
        <f>-'Statement of cash flow'!Y11</f>
        <v>-18847.468903560635</v>
      </c>
      <c r="H13" s="45">
        <f>-'Statement of cash flow'!Z11</f>
        <v>-50812.440204999955</v>
      </c>
      <c r="I13" s="45">
        <f>SUM(E13:H13)</f>
        <v>-105676.90910856059</v>
      </c>
      <c r="J13" s="45">
        <f>-'Statement of cash flow'!AA11</f>
        <v>-67693</v>
      </c>
      <c r="K13" s="45">
        <f>-'Statement of cash flow'!AB11</f>
        <v>-76280.478819999989</v>
      </c>
      <c r="L13" s="45">
        <f>-'Statement of cash flow'!AC11</f>
        <v>-71876.681080000009</v>
      </c>
      <c r="M13" s="45">
        <v>-168559.8401</v>
      </c>
      <c r="N13" s="30">
        <v>-384410</v>
      </c>
      <c r="O13" s="45">
        <v>-18075.91090909089</v>
      </c>
      <c r="P13" s="45">
        <f>-'Statement of cash flow'!AF11</f>
        <v>-183666</v>
      </c>
      <c r="Q13" s="45">
        <v>-50578.482500000042</v>
      </c>
      <c r="R13" s="45">
        <f>-'Statement of cash flow'!AH11</f>
        <v>-234283</v>
      </c>
      <c r="S13" s="45">
        <v>-486603</v>
      </c>
      <c r="T13" s="45">
        <v>-113293</v>
      </c>
      <c r="U13" s="45">
        <v>-248938</v>
      </c>
      <c r="V13" s="45">
        <v>-111970.15217391297</v>
      </c>
      <c r="W13" s="45">
        <v>-452620.84782608703</v>
      </c>
      <c r="X13" s="45">
        <v>-926822</v>
      </c>
      <c r="Y13" s="45">
        <v>-112416</v>
      </c>
      <c r="AA13" s="34">
        <f t="shared" si="2"/>
        <v>-16216</v>
      </c>
      <c r="AB13" s="34">
        <f t="shared" si="3"/>
        <v>29333</v>
      </c>
      <c r="AC13" s="34">
        <f>SUM(E13:H13)</f>
        <v>-105676.90910856059</v>
      </c>
      <c r="AD13" s="34">
        <f>SUM(F13:H13,J13)</f>
        <v>-157494.55256856058</v>
      </c>
      <c r="AE13" s="34">
        <f>SUM(G13:H13,J13:K13)</f>
        <v>-213633.38792856058</v>
      </c>
      <c r="AF13" s="34">
        <f>SUM(H13,J13:L13)</f>
        <v>-266662.60010499996</v>
      </c>
      <c r="AG13" s="34">
        <f>N13</f>
        <v>-384410</v>
      </c>
      <c r="AH13" s="30">
        <f>SUM(O13,K13:M13)</f>
        <v>-334792.91090909089</v>
      </c>
      <c r="AI13" s="30">
        <f>SUM(O13:P13,L13:M13)</f>
        <v>-442178.43208909093</v>
      </c>
      <c r="AJ13" s="30">
        <f>SUM(O13:Q13,M13)</f>
        <v>-420880.23350909096</v>
      </c>
      <c r="AK13" s="30">
        <f t="shared" si="1"/>
        <v>-486603</v>
      </c>
      <c r="AL13" s="30">
        <f>SUM(T13,P13:R13)</f>
        <v>-581820.48250000004</v>
      </c>
      <c r="AM13" s="30">
        <f>SUM(U13,T13,R13,Q13)</f>
        <v>-647092.48250000004</v>
      </c>
      <c r="AN13" s="30">
        <f>SUM(V13,U13,T13,R13)</f>
        <v>-708484.15217391297</v>
      </c>
      <c r="AO13" s="30">
        <f t="shared" si="4"/>
        <v>-926822</v>
      </c>
      <c r="AP13" s="30">
        <f t="shared" si="4"/>
        <v>-112416</v>
      </c>
    </row>
    <row r="14" spans="2:42" ht="14.25" customHeight="1" x14ac:dyDescent="0.35">
      <c r="B14" s="7" t="s">
        <v>208</v>
      </c>
      <c r="C14" s="34">
        <f>'Statement of income'!C18+'Statement of cash flow'!C61</f>
        <v>-12681</v>
      </c>
      <c r="D14" s="34">
        <f>'Statement of income'!D18</f>
        <v>-79913</v>
      </c>
      <c r="E14" s="34">
        <f>'Statement of income'!E18</f>
        <v>16938</v>
      </c>
      <c r="F14" s="34">
        <f>'Statement of income'!F18</f>
        <v>-91080</v>
      </c>
      <c r="G14" s="34">
        <f>'Statement of income'!G18</f>
        <v>52605</v>
      </c>
      <c r="H14" s="34">
        <f>'Statement of income'!H18</f>
        <v>-541792.56000000006</v>
      </c>
      <c r="I14" s="34">
        <f t="shared" si="11"/>
        <v>-563329.56000000006</v>
      </c>
      <c r="J14" s="30">
        <v>-199334.68704923289</v>
      </c>
      <c r="K14" s="30">
        <v>-16790.233640767168</v>
      </c>
      <c r="L14" s="30">
        <v>41261.163762943819</v>
      </c>
      <c r="M14" s="45">
        <v>-222493.93438490998</v>
      </c>
      <c r="N14" s="30">
        <v>-397356.93438490998</v>
      </c>
      <c r="O14" s="45">
        <v>318259.05223999999</v>
      </c>
      <c r="P14" s="45">
        <v>-262360.40375</v>
      </c>
      <c r="Q14" s="45">
        <v>-284349.89162000001</v>
      </c>
      <c r="R14" s="45">
        <v>440114.47949</v>
      </c>
      <c r="S14" s="45">
        <v>211663.23636000004</v>
      </c>
      <c r="T14" s="45">
        <v>-708822.28444000008</v>
      </c>
      <c r="U14" s="45">
        <v>-213143.19646000001</v>
      </c>
      <c r="V14" s="45">
        <v>-495185.57240010193</v>
      </c>
      <c r="W14" s="45">
        <v>29505.593587507436</v>
      </c>
      <c r="X14" s="45">
        <v>-1387645.4597125945</v>
      </c>
      <c r="Y14" s="45">
        <v>-266926.28275544418</v>
      </c>
      <c r="AA14" s="34">
        <f t="shared" si="2"/>
        <v>-12681</v>
      </c>
      <c r="AB14" s="34">
        <f t="shared" si="3"/>
        <v>-79913</v>
      </c>
      <c r="AC14" s="34">
        <f>SUM(E14:H14)</f>
        <v>-563329.56000000006</v>
      </c>
      <c r="AD14" s="34">
        <f>SUM(F14:H14,J14)</f>
        <v>-779602.24704923294</v>
      </c>
      <c r="AE14" s="34">
        <f>SUM(G14:H14,J14:K14)</f>
        <v>-705312.48069000011</v>
      </c>
      <c r="AF14" s="34">
        <f>SUM(H14,J14:L14)</f>
        <v>-716656.31692705629</v>
      </c>
      <c r="AG14" s="34">
        <f>N14</f>
        <v>-397356.93438490998</v>
      </c>
      <c r="AH14" s="30">
        <f>SUM(O14,K14:M14)</f>
        <v>120236.04797726666</v>
      </c>
      <c r="AI14" s="30">
        <f>SUM(O14:P14,L14:M14)</f>
        <v>-125334.12213196617</v>
      </c>
      <c r="AJ14" s="30">
        <f>SUM(O14:Q14,M14)</f>
        <v>-450945.17751491</v>
      </c>
      <c r="AK14" s="30">
        <f t="shared" si="1"/>
        <v>211663.23636000004</v>
      </c>
      <c r="AL14" s="30">
        <f>SUM(T14,P14:R14)</f>
        <v>-815418.10031999997</v>
      </c>
      <c r="AM14" s="30">
        <f>SUM(U14,T14,R14,Q14)</f>
        <v>-766200.89303000015</v>
      </c>
      <c r="AN14" s="30">
        <f>SUM(V14,U14,T14,R14)</f>
        <v>-977036.57381010195</v>
      </c>
      <c r="AO14" s="30">
        <f t="shared" si="4"/>
        <v>-1387645.4597125945</v>
      </c>
      <c r="AP14" s="30">
        <f t="shared" si="4"/>
        <v>-266926.28275544418</v>
      </c>
    </row>
    <row r="15" spans="2:42" ht="14.25" customHeight="1" x14ac:dyDescent="0.35">
      <c r="B15" s="7" t="s">
        <v>165</v>
      </c>
      <c r="C15" s="45">
        <f>'Statement of cash flow'!C58</f>
        <v>0</v>
      </c>
      <c r="D15" s="45">
        <f>'Statement of cash flow'!D58</f>
        <v>-16031</v>
      </c>
      <c r="E15" s="45">
        <f>'Statement of cash flow'!E56</f>
        <v>-36624.249000000003</v>
      </c>
      <c r="F15" s="45">
        <f>'Statement of cash flow'!F56-SUM($E$15:E15)</f>
        <v>-3000</v>
      </c>
      <c r="G15" s="45">
        <f>'Statement of cash flow'!G56-SUM($E$15:F15)</f>
        <v>-6766.3059999999969</v>
      </c>
      <c r="H15" s="45">
        <f>'Statement of cash flow'!H56-SUM($E$15:G15)</f>
        <v>-21900.445</v>
      </c>
      <c r="I15" s="45">
        <f t="shared" si="11"/>
        <v>-68291</v>
      </c>
      <c r="J15" s="45">
        <f>'Statement of cash flow'!AA56</f>
        <v>-194624</v>
      </c>
      <c r="K15" s="45">
        <f>'Statement of cash flow'!AB56</f>
        <v>-131076.30429</v>
      </c>
      <c r="L15" s="45">
        <f>'Statement of cash flow'!AC56</f>
        <v>-1954122.6957100001</v>
      </c>
      <c r="M15" s="45">
        <f>'Statement of cash flow'!AD56</f>
        <v>-411017</v>
      </c>
      <c r="N15" s="30">
        <f>SUM(J15:M15)</f>
        <v>-2690840</v>
      </c>
      <c r="O15" s="45">
        <f>'Statement of cash flow'!M56</f>
        <v>-159130</v>
      </c>
      <c r="P15" s="45">
        <f>'Statement of cash flow'!AF56</f>
        <v>-21210</v>
      </c>
      <c r="Q15" s="45">
        <v>-342303</v>
      </c>
      <c r="R15" s="45">
        <v>-287697</v>
      </c>
      <c r="S15" s="45">
        <v>-1143720</v>
      </c>
      <c r="T15" s="45">
        <v>-377500</v>
      </c>
      <c r="U15" s="45">
        <v>-325000</v>
      </c>
      <c r="V15" s="45">
        <v>-10400</v>
      </c>
      <c r="W15" s="45">
        <v>0</v>
      </c>
      <c r="X15" s="45">
        <v>-712900</v>
      </c>
      <c r="Y15" s="45">
        <v>-645384</v>
      </c>
      <c r="AA15" s="34">
        <f t="shared" si="2"/>
        <v>0</v>
      </c>
      <c r="AB15" s="34">
        <f t="shared" si="3"/>
        <v>-16031</v>
      </c>
      <c r="AC15" s="34">
        <f>SUM(E15:H15)</f>
        <v>-68291</v>
      </c>
      <c r="AD15" s="34">
        <f>SUM(F15:H15,J15)</f>
        <v>-226290.75099999999</v>
      </c>
      <c r="AE15" s="34">
        <f>SUM(G15:H15,J15:K15)</f>
        <v>-354367.05528999999</v>
      </c>
      <c r="AF15" s="34">
        <f>SUM(H15,J15:L15)</f>
        <v>-2301723.4450000003</v>
      </c>
      <c r="AG15" s="34">
        <f>N15</f>
        <v>-2690840</v>
      </c>
      <c r="AH15" s="30">
        <f>SUM(O15,K15:M15)</f>
        <v>-2655346</v>
      </c>
      <c r="AI15" s="30">
        <f>SUM(O15:P15,L15:M15)</f>
        <v>-2545479.6957100001</v>
      </c>
      <c r="AJ15" s="30">
        <f>SUM(O15:Q15,M15)</f>
        <v>-933660</v>
      </c>
      <c r="AK15" s="30">
        <f t="shared" si="1"/>
        <v>-1143720</v>
      </c>
      <c r="AL15" s="30">
        <f>SUM(T15,P15:R15)</f>
        <v>-1028710</v>
      </c>
      <c r="AM15" s="30">
        <f>SUM(U15,T15,R15,Q15)</f>
        <v>-1332500</v>
      </c>
      <c r="AN15" s="30">
        <f>SUM(V15,U15,T15,R15)</f>
        <v>-1000597</v>
      </c>
      <c r="AO15" s="30">
        <f t="shared" si="4"/>
        <v>-712900</v>
      </c>
      <c r="AP15" s="30">
        <f t="shared" si="4"/>
        <v>-645384</v>
      </c>
    </row>
    <row r="16" spans="2:42" ht="14.25" customHeight="1" x14ac:dyDescent="0.35">
      <c r="B16" s="7" t="s">
        <v>209</v>
      </c>
      <c r="C16" s="45">
        <v>0</v>
      </c>
      <c r="D16" s="45">
        <v>0</v>
      </c>
      <c r="E16" s="45">
        <v>0</v>
      </c>
      <c r="F16" s="45">
        <v>0</v>
      </c>
      <c r="G16" s="45">
        <v>0</v>
      </c>
      <c r="H16" s="45">
        <v>0</v>
      </c>
      <c r="I16" s="45">
        <v>0</v>
      </c>
      <c r="J16" s="45">
        <v>0</v>
      </c>
      <c r="K16" s="45">
        <v>0</v>
      </c>
      <c r="L16" s="45">
        <v>0</v>
      </c>
      <c r="M16" s="45">
        <v>0</v>
      </c>
      <c r="N16" s="45">
        <v>0</v>
      </c>
      <c r="O16" s="45">
        <v>0</v>
      </c>
      <c r="P16" s="45">
        <v>0</v>
      </c>
      <c r="Q16" s="45">
        <v>-276759.52380952385</v>
      </c>
      <c r="R16" s="45">
        <v>-0.47619047615444288</v>
      </c>
      <c r="S16" s="45">
        <v>-276760</v>
      </c>
      <c r="T16" s="45">
        <v>0</v>
      </c>
      <c r="U16" s="45">
        <v>0</v>
      </c>
      <c r="V16" s="45">
        <v>0</v>
      </c>
      <c r="W16" s="45">
        <v>0</v>
      </c>
      <c r="X16" s="45">
        <v>0</v>
      </c>
      <c r="Y16" s="45">
        <v>0</v>
      </c>
      <c r="AA16" s="34">
        <f t="shared" si="2"/>
        <v>0</v>
      </c>
      <c r="AB16" s="34">
        <f t="shared" si="3"/>
        <v>0</v>
      </c>
      <c r="AC16" s="34">
        <f>SUM(E16:H16)</f>
        <v>0</v>
      </c>
      <c r="AD16" s="34">
        <f>SUM(F16:H16,J16)</f>
        <v>0</v>
      </c>
      <c r="AE16" s="34">
        <f>SUM(G16:H16,J16:K16)</f>
        <v>0</v>
      </c>
      <c r="AF16" s="34">
        <f>SUM(H16,J16:L16)</f>
        <v>0</v>
      </c>
      <c r="AG16" s="34">
        <f>N16</f>
        <v>0</v>
      </c>
      <c r="AH16" s="30">
        <f>SUM(O16,K16:M16)</f>
        <v>0</v>
      </c>
      <c r="AI16" s="30">
        <f>SUM(O16:P16,L16:M16)</f>
        <v>0</v>
      </c>
      <c r="AJ16" s="30">
        <f>SUM(O16:Q16,M16)</f>
        <v>-276759.52380952385</v>
      </c>
      <c r="AK16" s="30">
        <f t="shared" si="1"/>
        <v>-276760</v>
      </c>
      <c r="AL16" s="30">
        <f>SUM(T16,P16:R16)</f>
        <v>-276760</v>
      </c>
      <c r="AM16" s="30">
        <f>SUM(U16,T16,R16,Q16)</f>
        <v>-276760</v>
      </c>
      <c r="AN16" s="30">
        <f>SUM(V16,U16,T16,R16)</f>
        <v>-0.47619047615444288</v>
      </c>
      <c r="AO16" s="30">
        <f t="shared" si="4"/>
        <v>0</v>
      </c>
      <c r="AP16" s="30">
        <f t="shared" si="4"/>
        <v>0</v>
      </c>
    </row>
    <row r="17" spans="2:42" ht="14.25" customHeight="1" thickBot="1" x14ac:dyDescent="0.4">
      <c r="B17" s="8" t="s">
        <v>150</v>
      </c>
      <c r="C17" s="35">
        <f>C7-SUM(C8:C10,C12:C16)</f>
        <v>198774.49799999999</v>
      </c>
      <c r="D17" s="35">
        <f>D7-SUM(D11:D16)</f>
        <v>695925.98899999994</v>
      </c>
      <c r="E17" s="35">
        <f t="shared" ref="E17:M17" si="12">E7-SUM(E8:E10,E12:E16)</f>
        <v>936486.13499999989</v>
      </c>
      <c r="F17" s="35">
        <f t="shared" si="12"/>
        <v>1487149.2775483998</v>
      </c>
      <c r="G17" s="35">
        <f t="shared" si="12"/>
        <v>1878324.1087216004</v>
      </c>
      <c r="H17" s="35">
        <f t="shared" si="12"/>
        <v>2562345.3354175114</v>
      </c>
      <c r="I17" s="35">
        <f t="shared" si="12"/>
        <v>2608740.1231275117</v>
      </c>
      <c r="J17" s="35">
        <f t="shared" si="12"/>
        <v>2882275.9701275118</v>
      </c>
      <c r="K17" s="35">
        <f t="shared" si="12"/>
        <v>3202336.2744175121</v>
      </c>
      <c r="L17" s="35">
        <f t="shared" si="12"/>
        <v>5388526.7866491573</v>
      </c>
      <c r="M17" s="35">
        <f t="shared" si="12"/>
        <v>5699923.8144394783</v>
      </c>
      <c r="N17" s="35">
        <f>M17</f>
        <v>5699923.8144394783</v>
      </c>
      <c r="O17" s="35">
        <f t="shared" ref="O17:V17" si="13">O7-SUM(O8:O10,O12:O16)</f>
        <v>4966106.6731085693</v>
      </c>
      <c r="P17" s="35">
        <f t="shared" si="13"/>
        <v>6009627.7626332585</v>
      </c>
      <c r="Q17" s="35">
        <f t="shared" si="13"/>
        <v>6162939.974788093</v>
      </c>
      <c r="R17" s="35">
        <f t="shared" si="13"/>
        <v>5435987.712808569</v>
      </c>
      <c r="S17" s="35">
        <f t="shared" si="13"/>
        <v>3041554.8158286</v>
      </c>
      <c r="T17" s="35">
        <f t="shared" si="13"/>
        <v>3294534.2272286001</v>
      </c>
      <c r="U17" s="35">
        <f t="shared" si="13"/>
        <v>4615241.5770486007</v>
      </c>
      <c r="V17" s="35">
        <f t="shared" si="13"/>
        <v>5066502.8495326154</v>
      </c>
      <c r="W17" s="35">
        <f t="shared" ref="W17:X17" si="14">W7-SUM(W8:W10,W12:W16)</f>
        <v>4842116.8695511948</v>
      </c>
      <c r="X17" s="35">
        <f t="shared" si="14"/>
        <v>4842116.8695511948</v>
      </c>
      <c r="Y17" s="35">
        <f t="shared" ref="Y17" si="15">Y7-SUM(Y8:Y10,Y12:Y16)</f>
        <v>5034357.1523066387</v>
      </c>
      <c r="AA17" s="35">
        <f t="shared" ref="AA17:AN17" si="16">AA7-SUM(AA8:AA10,AA12:AA16)</f>
        <v>198774.49799999999</v>
      </c>
      <c r="AB17" s="35">
        <f t="shared" si="16"/>
        <v>695925.98899999994</v>
      </c>
      <c r="AC17" s="35">
        <f t="shared" si="16"/>
        <v>2607967.1536875116</v>
      </c>
      <c r="AD17" s="35">
        <f t="shared" si="16"/>
        <v>2844878.5046875114</v>
      </c>
      <c r="AE17" s="35">
        <f t="shared" si="16"/>
        <v>3161938.5954291122</v>
      </c>
      <c r="AF17" s="35">
        <f t="shared" si="16"/>
        <v>5342131.9989391575</v>
      </c>
      <c r="AG17" s="35">
        <f t="shared" si="16"/>
        <v>5699923.2409907766</v>
      </c>
      <c r="AH17" s="35">
        <f t="shared" si="16"/>
        <v>4928709.2076685689</v>
      </c>
      <c r="AI17" s="35">
        <f t="shared" si="16"/>
        <v>5969230.0836448595</v>
      </c>
      <c r="AJ17" s="35">
        <f t="shared" si="16"/>
        <v>6116545.1870780941</v>
      </c>
      <c r="AK17" s="35">
        <f t="shared" si="16"/>
        <v>3041554.8158286</v>
      </c>
      <c r="AL17" s="35">
        <f t="shared" si="16"/>
        <v>5651569.6587685691</v>
      </c>
      <c r="AM17" s="35">
        <f t="shared" si="16"/>
        <v>6969276.7950401707</v>
      </c>
      <c r="AN17" s="35">
        <f t="shared" si="16"/>
        <v>7414540.9588025855</v>
      </c>
      <c r="AO17" s="35">
        <f>AO7-SUM(AO8:AO10,AO12:AO16)</f>
        <v>4842116.8695511948</v>
      </c>
      <c r="AP17" s="35">
        <f>AP7-SUM(AP8:AP10,AP12:AP16)</f>
        <v>5034357.1523066387</v>
      </c>
    </row>
    <row r="18" spans="2:42" ht="5.25" customHeight="1" x14ac:dyDescent="0.35">
      <c r="B18" s="7"/>
      <c r="C18" s="45"/>
      <c r="D18" s="45"/>
      <c r="E18" s="45"/>
      <c r="F18" s="45"/>
      <c r="G18" s="45"/>
      <c r="H18" s="45"/>
      <c r="I18" s="45"/>
      <c r="J18" s="45"/>
      <c r="K18" s="45"/>
      <c r="L18" s="45"/>
      <c r="M18" s="45"/>
      <c r="N18" s="45"/>
      <c r="O18" s="45"/>
      <c r="P18" s="45"/>
      <c r="Q18" s="45"/>
      <c r="R18" s="45"/>
      <c r="S18" s="45"/>
      <c r="T18" s="45"/>
      <c r="U18" s="45"/>
      <c r="V18" s="45"/>
      <c r="W18" s="45"/>
      <c r="X18" s="45"/>
      <c r="Y18" s="45"/>
      <c r="AA18" s="45"/>
      <c r="AB18" s="45"/>
      <c r="AC18" s="45"/>
      <c r="AD18" s="45"/>
      <c r="AE18" s="45"/>
      <c r="AF18" s="45"/>
      <c r="AG18" s="45"/>
      <c r="AH18" s="45"/>
      <c r="AI18" s="45"/>
      <c r="AJ18" s="45"/>
      <c r="AK18" s="45"/>
      <c r="AL18" s="45"/>
      <c r="AM18" s="45"/>
      <c r="AN18" s="45"/>
      <c r="AO18" s="45"/>
      <c r="AP18" s="45"/>
    </row>
    <row r="19" spans="2:42" ht="14.25" customHeight="1" x14ac:dyDescent="0.35">
      <c r="B19" s="7" t="s">
        <v>151</v>
      </c>
      <c r="C19" s="33">
        <f t="shared" ref="C19:V19" si="17">C17-C7</f>
        <v>74349.904999999999</v>
      </c>
      <c r="D19" s="33">
        <f t="shared" si="17"/>
        <v>492463.49099999992</v>
      </c>
      <c r="E19" s="33">
        <f t="shared" si="17"/>
        <v>240560.13499999989</v>
      </c>
      <c r="F19" s="33">
        <f t="shared" si="17"/>
        <v>587287.63854839979</v>
      </c>
      <c r="G19" s="33">
        <f t="shared" si="17"/>
        <v>394175.04472160037</v>
      </c>
      <c r="H19" s="33">
        <f t="shared" si="17"/>
        <v>690018.33541751141</v>
      </c>
      <c r="I19" s="33">
        <f t="shared" si="17"/>
        <v>1912814.1231275117</v>
      </c>
      <c r="J19" s="33">
        <f t="shared" si="17"/>
        <v>273535.84700000007</v>
      </c>
      <c r="K19" s="33">
        <f t="shared" si="17"/>
        <v>320060.30429000035</v>
      </c>
      <c r="L19" s="33">
        <f t="shared" si="17"/>
        <v>2186190.5122316452</v>
      </c>
      <c r="M19" s="33">
        <f t="shared" si="17"/>
        <v>311397.02779032104</v>
      </c>
      <c r="N19" s="33">
        <f t="shared" si="17"/>
        <v>3091183.6913119666</v>
      </c>
      <c r="O19" s="33">
        <f t="shared" si="17"/>
        <v>-733817.14133090898</v>
      </c>
      <c r="P19" s="33">
        <f t="shared" si="17"/>
        <v>1043521.0895246891</v>
      </c>
      <c r="Q19" s="33">
        <f t="shared" si="17"/>
        <v>153312.21215483453</v>
      </c>
      <c r="R19" s="33">
        <f t="shared" si="17"/>
        <v>-726952.26197952405</v>
      </c>
      <c r="S19" s="33">
        <f t="shared" si="17"/>
        <v>69443.504960000049</v>
      </c>
      <c r="T19" s="33">
        <f t="shared" si="17"/>
        <v>252979.4114000001</v>
      </c>
      <c r="U19" s="33">
        <f t="shared" si="17"/>
        <v>1320707.3498200006</v>
      </c>
      <c r="V19" s="33">
        <f t="shared" si="17"/>
        <v>451261.27248401474</v>
      </c>
      <c r="W19" s="33">
        <f t="shared" ref="W19:X19" si="18">W17-W7</f>
        <v>-224385.97998142056</v>
      </c>
      <c r="X19" s="33">
        <f t="shared" si="18"/>
        <v>1800562.0537225949</v>
      </c>
      <c r="Y19" s="33">
        <f t="shared" ref="Y19" si="19">Y17-Y7</f>
        <v>192240.28275544383</v>
      </c>
      <c r="AA19" s="33">
        <f t="shared" ref="AA19:AO19" si="20">(AA7-AA17)*-1</f>
        <v>74349.904999999999</v>
      </c>
      <c r="AB19" s="33">
        <f t="shared" si="20"/>
        <v>492463.49099999992</v>
      </c>
      <c r="AC19" s="33">
        <f t="shared" si="20"/>
        <v>1912041.1536875116</v>
      </c>
      <c r="AD19" s="33">
        <f t="shared" si="20"/>
        <v>1945016.8656875114</v>
      </c>
      <c r="AE19" s="33">
        <f t="shared" si="20"/>
        <v>1677789.5314291122</v>
      </c>
      <c r="AF19" s="33">
        <f t="shared" si="20"/>
        <v>3469804.9989391575</v>
      </c>
      <c r="AG19" s="33">
        <f t="shared" si="20"/>
        <v>3091183.1178632649</v>
      </c>
      <c r="AH19" s="33">
        <f t="shared" si="20"/>
        <v>2083830.7029810576</v>
      </c>
      <c r="AI19" s="33">
        <f t="shared" si="20"/>
        <v>2807291.4882157473</v>
      </c>
      <c r="AJ19" s="33">
        <f t="shared" si="20"/>
        <v>774413.18813893665</v>
      </c>
      <c r="AK19" s="33">
        <f t="shared" si="20"/>
        <v>69443.504960000049</v>
      </c>
      <c r="AL19" s="33">
        <f t="shared" si="20"/>
        <v>722860.45110000018</v>
      </c>
      <c r="AM19" s="33">
        <f t="shared" si="20"/>
        <v>1000046.7113953112</v>
      </c>
      <c r="AN19" s="33">
        <f t="shared" si="20"/>
        <v>1297995.7717244914</v>
      </c>
      <c r="AO19" s="33">
        <f t="shared" si="20"/>
        <v>1800562.0537225949</v>
      </c>
      <c r="AP19" s="33">
        <f t="shared" ref="AP19" si="21">(AP7-AP17)*-1</f>
        <v>192240.28275544383</v>
      </c>
    </row>
    <row r="20" spans="2:42" ht="14.25" customHeight="1" x14ac:dyDescent="0.35">
      <c r="B20" s="7"/>
      <c r="C20" s="7"/>
      <c r="D20" s="7"/>
      <c r="E20" s="45"/>
      <c r="F20" s="45"/>
      <c r="G20" s="45"/>
      <c r="H20" s="45"/>
      <c r="I20" s="45"/>
      <c r="J20" s="45"/>
      <c r="K20" s="45"/>
      <c r="L20" s="45"/>
      <c r="M20" s="45"/>
      <c r="N20" s="45"/>
      <c r="O20" s="45"/>
      <c r="P20" s="45"/>
      <c r="Q20" s="45"/>
      <c r="R20" s="45"/>
      <c r="AC20" s="45"/>
      <c r="AD20" s="45"/>
      <c r="AE20" s="45"/>
      <c r="AF20" s="45"/>
    </row>
    <row r="21" spans="2:42" ht="14.25" customHeight="1" x14ac:dyDescent="0.35">
      <c r="B21" s="22" t="s">
        <v>213</v>
      </c>
      <c r="C21" s="22"/>
      <c r="D21" s="22"/>
      <c r="E21" s="45"/>
      <c r="F21" s="45"/>
      <c r="G21" s="45"/>
      <c r="H21" s="45"/>
      <c r="J21" s="86"/>
      <c r="K21" s="86"/>
      <c r="L21" s="86"/>
      <c r="M21" s="86"/>
      <c r="N21" s="86"/>
      <c r="O21" s="45"/>
      <c r="P21" s="45"/>
      <c r="Q21" s="45"/>
      <c r="R21" s="45"/>
      <c r="T21" s="55"/>
      <c r="AC21" s="45"/>
      <c r="AD21" s="45"/>
      <c r="AE21" s="45"/>
      <c r="AF21" s="45"/>
    </row>
    <row r="22" spans="2:42" ht="14.25" customHeight="1" x14ac:dyDescent="0.35">
      <c r="B22" s="7"/>
      <c r="C22" s="7"/>
      <c r="D22" s="7"/>
      <c r="E22" s="45"/>
      <c r="F22" s="45"/>
      <c r="G22" s="45"/>
      <c r="H22" s="45"/>
      <c r="O22" s="45"/>
      <c r="P22" s="45"/>
      <c r="Q22" s="45"/>
      <c r="R22" s="45"/>
      <c r="S22" s="55"/>
      <c r="T22" s="55"/>
      <c r="U22" s="55"/>
      <c r="V22" s="55"/>
      <c r="W22" s="55"/>
      <c r="X22" s="55"/>
      <c r="Y22" s="55"/>
      <c r="AC22" s="45"/>
      <c r="AD22" s="45"/>
      <c r="AE22" s="45"/>
      <c r="AF22" s="45"/>
    </row>
    <row r="23" spans="2:42" ht="14.25" customHeight="1" x14ac:dyDescent="0.35">
      <c r="B23" s="6"/>
      <c r="C23" s="6"/>
      <c r="D23" s="6"/>
      <c r="E23" s="6"/>
      <c r="F23" s="6"/>
      <c r="G23" s="6"/>
      <c r="H23" s="6"/>
      <c r="I23" s="6"/>
      <c r="J23" s="6"/>
      <c r="K23" s="6"/>
      <c r="L23" s="6"/>
      <c r="M23" s="6"/>
      <c r="N23" s="6"/>
      <c r="O23" s="6"/>
      <c r="P23" s="6"/>
      <c r="Q23" s="6"/>
      <c r="R23" s="6"/>
      <c r="S23" s="6"/>
      <c r="T23" s="6"/>
      <c r="U23" s="6"/>
      <c r="V23" s="6"/>
      <c r="W23" s="6"/>
      <c r="X23" s="6"/>
      <c r="Y23" s="6"/>
      <c r="Z23" s="6"/>
      <c r="AC23" s="45"/>
      <c r="AD23" s="30"/>
      <c r="AE23" s="30"/>
      <c r="AF23" s="30"/>
    </row>
    <row r="24" spans="2:42" ht="14.25" customHeight="1" x14ac:dyDescent="0.35">
      <c r="B24" s="6"/>
      <c r="C24" s="6"/>
      <c r="D24" s="6"/>
      <c r="E24" s="6"/>
      <c r="F24" s="6"/>
      <c r="G24" s="6"/>
      <c r="H24" s="6"/>
      <c r="I24" s="6"/>
      <c r="J24" s="6"/>
      <c r="K24" s="6"/>
      <c r="L24" s="6"/>
      <c r="M24" s="6"/>
      <c r="N24" s="6"/>
      <c r="O24" s="6"/>
      <c r="P24" s="6"/>
      <c r="Q24" s="6"/>
      <c r="R24" s="6"/>
      <c r="S24" s="6"/>
      <c r="T24" s="6"/>
      <c r="U24" s="6"/>
      <c r="V24" s="6"/>
      <c r="W24" s="6"/>
      <c r="X24" s="6"/>
      <c r="Y24" s="6"/>
      <c r="Z24" s="6"/>
      <c r="AC24" s="45"/>
      <c r="AD24" s="30"/>
      <c r="AE24" s="30"/>
      <c r="AF24" s="30"/>
    </row>
    <row r="25" spans="2:42" ht="14.25" customHeight="1" x14ac:dyDescent="0.35">
      <c r="B25" s="6"/>
      <c r="C25" s="6"/>
      <c r="D25" s="6"/>
      <c r="E25" s="6"/>
      <c r="F25" s="6"/>
      <c r="G25" s="6"/>
      <c r="H25" s="6"/>
      <c r="I25" s="6"/>
      <c r="J25" s="6"/>
      <c r="K25" s="6"/>
      <c r="L25" s="6"/>
      <c r="M25" s="6"/>
      <c r="N25" s="6"/>
      <c r="O25" s="6"/>
      <c r="P25" s="6"/>
      <c r="Q25" s="6"/>
      <c r="R25" s="6"/>
      <c r="S25" s="6"/>
      <c r="T25" s="6"/>
      <c r="U25" s="6"/>
      <c r="V25" s="6"/>
      <c r="W25" s="6"/>
      <c r="X25" s="6"/>
      <c r="Y25" s="6"/>
      <c r="Z25" s="6"/>
      <c r="AC25" s="45"/>
      <c r="AD25" s="30"/>
      <c r="AE25" s="30"/>
      <c r="AF25" s="30"/>
    </row>
    <row r="26" spans="2:42" ht="14.25" customHeight="1" x14ac:dyDescent="0.35">
      <c r="B26"/>
      <c r="C26"/>
      <c r="D26"/>
      <c r="E26"/>
      <c r="F26"/>
      <c r="G26"/>
      <c r="H26"/>
      <c r="I26"/>
      <c r="J26"/>
      <c r="K26"/>
      <c r="L26"/>
      <c r="M26"/>
      <c r="N26"/>
      <c r="O26"/>
      <c r="P26"/>
      <c r="Q26"/>
      <c r="R26"/>
      <c r="AC26" s="45"/>
      <c r="AD26"/>
      <c r="AE26"/>
      <c r="AF26"/>
    </row>
    <row r="27" spans="2:42" ht="14.25" customHeight="1" x14ac:dyDescent="0.35">
      <c r="B27"/>
      <c r="C27"/>
      <c r="D27"/>
      <c r="E27"/>
      <c r="F27"/>
      <c r="M27"/>
      <c r="N27"/>
      <c r="O27"/>
      <c r="P27"/>
      <c r="Q27"/>
      <c r="R27"/>
      <c r="AC27" s="45"/>
      <c r="AD27"/>
      <c r="AE27"/>
      <c r="AF27"/>
    </row>
    <row r="28" spans="2:42" ht="14.25" customHeight="1" x14ac:dyDescent="0.35">
      <c r="B28"/>
      <c r="C28"/>
      <c r="D28"/>
      <c r="E28"/>
      <c r="F28"/>
      <c r="M28"/>
      <c r="N28"/>
      <c r="O28"/>
      <c r="P28"/>
      <c r="Q28"/>
      <c r="R28"/>
      <c r="AC28" s="45"/>
      <c r="AD28"/>
      <c r="AE28"/>
      <c r="AF28"/>
    </row>
    <row r="29" spans="2:42" ht="14.25" customHeight="1" x14ac:dyDescent="0.35">
      <c r="B29"/>
      <c r="C29"/>
      <c r="D29"/>
      <c r="E29"/>
      <c r="F29"/>
      <c r="G29"/>
      <c r="H29"/>
      <c r="I29"/>
      <c r="J29"/>
      <c r="K29"/>
      <c r="L29"/>
      <c r="M29"/>
      <c r="N29"/>
      <c r="O29"/>
      <c r="P29"/>
      <c r="Q29"/>
      <c r="R29"/>
      <c r="AC29" s="45"/>
      <c r="AD29"/>
      <c r="AE29"/>
      <c r="AF29"/>
    </row>
    <row r="30" spans="2:42" ht="14.25" customHeight="1" x14ac:dyDescent="0.35">
      <c r="B30"/>
      <c r="C30"/>
      <c r="D30"/>
      <c r="E30"/>
      <c r="F30"/>
      <c r="G30"/>
      <c r="H30"/>
      <c r="I30"/>
      <c r="J30"/>
      <c r="K30"/>
      <c r="L30"/>
      <c r="M30"/>
      <c r="N30"/>
      <c r="O30"/>
      <c r="P30"/>
      <c r="Q30"/>
      <c r="R30"/>
      <c r="AC30" s="45"/>
      <c r="AD30"/>
      <c r="AE30"/>
      <c r="AF30"/>
    </row>
    <row r="31" spans="2:42" ht="14.25" customHeight="1" x14ac:dyDescent="0.35">
      <c r="B31"/>
      <c r="C31"/>
      <c r="D31"/>
      <c r="E31"/>
      <c r="F31"/>
      <c r="G31"/>
      <c r="H31"/>
      <c r="I31"/>
      <c r="J31"/>
      <c r="K31"/>
      <c r="L31"/>
      <c r="M31"/>
      <c r="N31"/>
      <c r="O31"/>
      <c r="P31"/>
      <c r="Q31"/>
      <c r="R31"/>
      <c r="AC31" s="45"/>
      <c r="AD31"/>
      <c r="AE31"/>
      <c r="AF31"/>
    </row>
    <row r="32" spans="2:42" ht="18" x14ac:dyDescent="0.35">
      <c r="B32"/>
      <c r="C32"/>
      <c r="D32"/>
      <c r="E32"/>
      <c r="F32"/>
      <c r="G32"/>
      <c r="H32"/>
      <c r="I32"/>
      <c r="J32"/>
      <c r="K32"/>
      <c r="L32"/>
      <c r="M32"/>
      <c r="N32"/>
      <c r="O32"/>
      <c r="P32"/>
      <c r="Q32"/>
      <c r="R32"/>
      <c r="AC32" s="45"/>
      <c r="AD32"/>
      <c r="AE32"/>
      <c r="AF32"/>
    </row>
    <row r="33" spans="2:32" ht="18" x14ac:dyDescent="0.35">
      <c r="B33"/>
      <c r="C33"/>
      <c r="D33"/>
      <c r="E33"/>
      <c r="F33"/>
      <c r="G33"/>
      <c r="H33"/>
      <c r="I33"/>
      <c r="J33"/>
      <c r="K33"/>
      <c r="L33"/>
      <c r="M33"/>
      <c r="N33"/>
      <c r="O33"/>
      <c r="P33"/>
      <c r="Q33"/>
      <c r="R33"/>
      <c r="AC33" s="45"/>
      <c r="AD33"/>
      <c r="AE33"/>
      <c r="AF33"/>
    </row>
    <row r="34" spans="2:32" ht="18" x14ac:dyDescent="0.35">
      <c r="B34"/>
      <c r="C34"/>
      <c r="D34"/>
      <c r="E34"/>
      <c r="F34"/>
      <c r="G34"/>
      <c r="H34"/>
      <c r="I34"/>
      <c r="J34"/>
      <c r="K34"/>
      <c r="L34"/>
      <c r="M34"/>
      <c r="N34"/>
      <c r="O34"/>
      <c r="P34"/>
      <c r="Q34"/>
      <c r="R34"/>
      <c r="AC34"/>
      <c r="AD34"/>
      <c r="AE34"/>
      <c r="AF34"/>
    </row>
    <row r="35" spans="2:32" ht="18" x14ac:dyDescent="0.35">
      <c r="B35"/>
      <c r="C35"/>
      <c r="D35"/>
      <c r="E35"/>
      <c r="F35"/>
      <c r="G35"/>
      <c r="H35"/>
      <c r="I35"/>
      <c r="J35"/>
      <c r="K35"/>
      <c r="L35"/>
      <c r="M35"/>
      <c r="N35"/>
      <c r="O35"/>
      <c r="P35"/>
      <c r="Q35"/>
      <c r="R35"/>
      <c r="AC35"/>
      <c r="AD35"/>
      <c r="AE35"/>
      <c r="AF35"/>
    </row>
    <row r="36" spans="2:32" ht="18" x14ac:dyDescent="0.35">
      <c r="B36"/>
      <c r="C36"/>
      <c r="D36"/>
      <c r="E36"/>
      <c r="F36"/>
      <c r="G36"/>
      <c r="H36"/>
      <c r="I36"/>
      <c r="J36"/>
      <c r="K36"/>
      <c r="L36"/>
      <c r="M36"/>
      <c r="N36"/>
      <c r="O36"/>
      <c r="P36"/>
      <c r="Q36"/>
      <c r="R36"/>
      <c r="AC36"/>
      <c r="AD36"/>
      <c r="AE36"/>
      <c r="AF36"/>
    </row>
    <row r="37" spans="2:32" ht="18" x14ac:dyDescent="0.35">
      <c r="B37"/>
      <c r="C37"/>
      <c r="D37"/>
      <c r="E37"/>
      <c r="F37"/>
      <c r="G37"/>
      <c r="H37"/>
      <c r="I37"/>
      <c r="J37"/>
      <c r="K37"/>
      <c r="L37"/>
      <c r="M37"/>
      <c r="N37"/>
      <c r="O37"/>
      <c r="P37"/>
      <c r="Q37"/>
      <c r="R37"/>
      <c r="AC37"/>
      <c r="AD37"/>
      <c r="AE37"/>
      <c r="AF37"/>
    </row>
    <row r="38" spans="2:32" ht="14.25" customHeight="1" x14ac:dyDescent="0.35">
      <c r="B38"/>
      <c r="C38"/>
      <c r="D38"/>
      <c r="E38"/>
      <c r="F38"/>
      <c r="G38"/>
      <c r="H38"/>
      <c r="I38"/>
      <c r="J38"/>
      <c r="K38"/>
      <c r="L38"/>
      <c r="M38"/>
      <c r="N38"/>
      <c r="O38"/>
      <c r="P38"/>
      <c r="Q38"/>
      <c r="R38"/>
      <c r="AC38"/>
      <c r="AD38"/>
      <c r="AE38"/>
      <c r="AF38"/>
    </row>
    <row r="39" spans="2:32" ht="18" x14ac:dyDescent="0.35">
      <c r="B39"/>
      <c r="C39"/>
      <c r="D39"/>
      <c r="E39"/>
      <c r="F39"/>
      <c r="G39"/>
      <c r="H39"/>
      <c r="I39"/>
      <c r="J39"/>
      <c r="K39"/>
      <c r="L39"/>
      <c r="M39"/>
      <c r="N39"/>
      <c r="O39"/>
      <c r="P39"/>
      <c r="Q39"/>
      <c r="R39"/>
      <c r="AC39"/>
      <c r="AD39"/>
      <c r="AE39"/>
      <c r="AF39"/>
    </row>
    <row r="40" spans="2:32" ht="14.25" customHeight="1" x14ac:dyDescent="0.35">
      <c r="B40"/>
      <c r="C40"/>
      <c r="D40"/>
      <c r="E40"/>
      <c r="F40"/>
      <c r="G40"/>
      <c r="H40"/>
      <c r="I40"/>
      <c r="J40"/>
      <c r="K40"/>
      <c r="L40"/>
      <c r="M40"/>
      <c r="N40"/>
      <c r="O40"/>
      <c r="P40"/>
      <c r="Q40"/>
      <c r="R40"/>
      <c r="AC40"/>
      <c r="AD40"/>
      <c r="AE40"/>
      <c r="AF40"/>
    </row>
    <row r="41" spans="2:32" ht="14.25" customHeight="1" x14ac:dyDescent="0.35">
      <c r="B41"/>
      <c r="C41"/>
      <c r="D41"/>
      <c r="E41"/>
      <c r="F41"/>
      <c r="G41"/>
      <c r="H41"/>
      <c r="I41"/>
      <c r="J41"/>
      <c r="K41"/>
      <c r="L41"/>
      <c r="M41"/>
      <c r="N41"/>
      <c r="O41"/>
      <c r="P41"/>
      <c r="Q41"/>
      <c r="R41"/>
      <c r="AC41"/>
      <c r="AD41"/>
      <c r="AE41"/>
      <c r="AF41"/>
    </row>
    <row r="42" spans="2:32" ht="14.25" customHeight="1" x14ac:dyDescent="0.35">
      <c r="B42"/>
      <c r="C42"/>
      <c r="D42"/>
      <c r="E42"/>
      <c r="F42"/>
      <c r="G42"/>
      <c r="H42"/>
      <c r="I42"/>
      <c r="J42"/>
      <c r="K42"/>
      <c r="L42"/>
      <c r="M42"/>
      <c r="N42"/>
      <c r="O42"/>
      <c r="P42"/>
      <c r="Q42"/>
      <c r="R42"/>
      <c r="AC42"/>
      <c r="AD42"/>
      <c r="AE42"/>
      <c r="AF42"/>
    </row>
    <row r="43" spans="2:32" ht="14.25" customHeight="1" x14ac:dyDescent="0.35">
      <c r="B43"/>
      <c r="C43"/>
      <c r="D43"/>
      <c r="E43"/>
      <c r="F43"/>
      <c r="G43"/>
      <c r="H43"/>
      <c r="I43"/>
      <c r="J43"/>
      <c r="K43"/>
      <c r="L43"/>
      <c r="M43"/>
      <c r="N43"/>
      <c r="O43"/>
      <c r="P43"/>
      <c r="Q43"/>
      <c r="R43"/>
      <c r="AC43"/>
      <c r="AD43"/>
      <c r="AE43"/>
      <c r="AF43"/>
    </row>
    <row r="44" spans="2:32" ht="15" customHeight="1" x14ac:dyDescent="0.35">
      <c r="B44"/>
      <c r="C44"/>
      <c r="D44"/>
      <c r="E44"/>
      <c r="F44"/>
      <c r="G44"/>
      <c r="H44"/>
      <c r="I44"/>
      <c r="J44"/>
      <c r="K44"/>
      <c r="L44"/>
      <c r="M44"/>
      <c r="N44"/>
      <c r="O44"/>
      <c r="P44"/>
      <c r="Q44"/>
      <c r="R44"/>
      <c r="AC44"/>
      <c r="AD44"/>
      <c r="AE44"/>
      <c r="AF44"/>
    </row>
    <row r="45" spans="2:32" ht="15" customHeight="1" x14ac:dyDescent="0.35">
      <c r="B45"/>
      <c r="C45"/>
      <c r="D45"/>
      <c r="E45"/>
      <c r="F45"/>
      <c r="G45"/>
      <c r="H45"/>
      <c r="I45"/>
      <c r="J45"/>
      <c r="K45"/>
      <c r="L45"/>
      <c r="M45"/>
      <c r="N45"/>
      <c r="O45"/>
      <c r="P45"/>
      <c r="Q45"/>
      <c r="R45"/>
      <c r="AC45"/>
      <c r="AD45"/>
      <c r="AE45"/>
      <c r="AF45"/>
    </row>
    <row r="46" spans="2:32" ht="15" customHeight="1" x14ac:dyDescent="0.35">
      <c r="B46"/>
      <c r="C46"/>
      <c r="D46"/>
      <c r="E46"/>
      <c r="F46"/>
      <c r="G46"/>
      <c r="H46"/>
      <c r="I46"/>
      <c r="J46"/>
      <c r="K46"/>
      <c r="L46"/>
      <c r="M46"/>
      <c r="N46"/>
      <c r="O46"/>
      <c r="P46"/>
      <c r="Q46"/>
      <c r="R46"/>
      <c r="AC46"/>
      <c r="AD46"/>
      <c r="AE46"/>
      <c r="AF46"/>
    </row>
    <row r="47" spans="2:32" ht="15" customHeight="1" x14ac:dyDescent="0.35">
      <c r="B47"/>
      <c r="C47"/>
      <c r="D47"/>
      <c r="E47"/>
      <c r="F47"/>
      <c r="G47"/>
      <c r="H47"/>
      <c r="I47"/>
      <c r="J47"/>
      <c r="K47"/>
      <c r="L47"/>
      <c r="M47"/>
      <c r="N47"/>
      <c r="O47"/>
      <c r="P47"/>
      <c r="Q47"/>
      <c r="R47"/>
      <c r="AC47"/>
      <c r="AD47"/>
      <c r="AE47"/>
      <c r="AF47"/>
    </row>
    <row r="48" spans="2:32" ht="14.25" customHeight="1" x14ac:dyDescent="0.35">
      <c r="B48"/>
      <c r="C48"/>
      <c r="D48"/>
      <c r="E48"/>
      <c r="F48"/>
      <c r="G48"/>
      <c r="H48"/>
      <c r="I48"/>
      <c r="J48"/>
      <c r="K48"/>
      <c r="L48"/>
      <c r="M48"/>
      <c r="N48"/>
      <c r="O48"/>
      <c r="P48"/>
      <c r="Q48"/>
      <c r="R48"/>
      <c r="AC48"/>
      <c r="AD48"/>
      <c r="AE48"/>
      <c r="AF48"/>
    </row>
    <row r="49" spans="2:32" ht="14.25" customHeight="1" x14ac:dyDescent="0.35">
      <c r="B49"/>
      <c r="C49"/>
      <c r="D49"/>
      <c r="E49"/>
      <c r="F49"/>
      <c r="G49"/>
      <c r="H49"/>
      <c r="I49"/>
      <c r="J49"/>
      <c r="K49"/>
      <c r="L49"/>
      <c r="M49"/>
      <c r="N49"/>
      <c r="O49"/>
      <c r="P49"/>
      <c r="Q49"/>
      <c r="R49"/>
      <c r="AC49"/>
      <c r="AD49"/>
      <c r="AE49"/>
      <c r="AF49"/>
    </row>
    <row r="50" spans="2:32" ht="14.25" customHeight="1" x14ac:dyDescent="0.35">
      <c r="B50"/>
      <c r="C50"/>
      <c r="D50"/>
      <c r="E50"/>
      <c r="F50"/>
      <c r="G50"/>
      <c r="H50"/>
      <c r="I50"/>
      <c r="J50"/>
      <c r="K50"/>
      <c r="L50"/>
      <c r="M50"/>
      <c r="N50"/>
      <c r="O50"/>
      <c r="P50"/>
      <c r="Q50"/>
      <c r="R50"/>
      <c r="AC50"/>
      <c r="AD50"/>
      <c r="AE50"/>
      <c r="AF50"/>
    </row>
    <row r="51" spans="2:32" ht="14.25" customHeight="1" x14ac:dyDescent="0.35">
      <c r="B51"/>
      <c r="C51"/>
      <c r="D51"/>
      <c r="E51"/>
      <c r="F51"/>
      <c r="G51"/>
      <c r="H51"/>
      <c r="I51"/>
      <c r="J51"/>
      <c r="K51"/>
      <c r="L51"/>
      <c r="M51"/>
      <c r="N51"/>
      <c r="O51"/>
      <c r="P51"/>
      <c r="Q51"/>
      <c r="R51"/>
      <c r="AC51"/>
      <c r="AD51"/>
      <c r="AE51"/>
      <c r="AF51"/>
    </row>
    <row r="52" spans="2:32" ht="14.25" customHeight="1" x14ac:dyDescent="0.35">
      <c r="B52"/>
      <c r="C52"/>
      <c r="D52"/>
      <c r="E52"/>
      <c r="F52"/>
      <c r="G52"/>
      <c r="H52"/>
      <c r="I52"/>
      <c r="J52"/>
      <c r="K52"/>
      <c r="L52"/>
      <c r="M52"/>
      <c r="N52"/>
      <c r="O52"/>
      <c r="P52"/>
      <c r="Q52"/>
      <c r="R52"/>
      <c r="AC52"/>
      <c r="AD52"/>
      <c r="AE52"/>
      <c r="AF52"/>
    </row>
    <row r="53" spans="2:32" ht="13.5" customHeight="1" x14ac:dyDescent="0.35">
      <c r="B53"/>
      <c r="C53"/>
      <c r="D53"/>
      <c r="E53"/>
      <c r="F53"/>
      <c r="G53"/>
      <c r="H53"/>
      <c r="I53"/>
      <c r="J53"/>
      <c r="K53"/>
      <c r="L53"/>
      <c r="M53"/>
      <c r="N53"/>
      <c r="O53"/>
      <c r="P53"/>
      <c r="Q53"/>
      <c r="R53"/>
      <c r="AC53"/>
      <c r="AD53"/>
      <c r="AE53"/>
      <c r="AF53"/>
    </row>
    <row r="54" spans="2:32" ht="13.5" customHeight="1" x14ac:dyDescent="0.35">
      <c r="B54"/>
      <c r="C54"/>
      <c r="D54"/>
      <c r="E54"/>
      <c r="F54"/>
      <c r="G54"/>
      <c r="H54"/>
      <c r="I54"/>
      <c r="J54"/>
      <c r="K54"/>
      <c r="L54"/>
      <c r="M54"/>
      <c r="N54"/>
      <c r="O54"/>
      <c r="P54"/>
      <c r="Q54"/>
      <c r="R54"/>
      <c r="AC54"/>
      <c r="AD54"/>
      <c r="AE54"/>
      <c r="AF54"/>
    </row>
    <row r="55" spans="2:32" ht="13.5" customHeight="1" x14ac:dyDescent="0.35">
      <c r="B55"/>
      <c r="C55"/>
      <c r="D55"/>
      <c r="E55"/>
      <c r="F55"/>
      <c r="G55"/>
      <c r="H55"/>
      <c r="I55"/>
      <c r="J55"/>
      <c r="K55"/>
      <c r="L55"/>
      <c r="M55"/>
      <c r="N55"/>
      <c r="O55"/>
      <c r="P55"/>
      <c r="Q55"/>
      <c r="R55"/>
      <c r="AC55"/>
      <c r="AD55"/>
      <c r="AE55"/>
      <c r="AF55"/>
    </row>
    <row r="56" spans="2:32" ht="13.5" customHeight="1" x14ac:dyDescent="0.35">
      <c r="B56"/>
      <c r="C56"/>
      <c r="D56"/>
      <c r="E56"/>
      <c r="F56"/>
      <c r="G56"/>
      <c r="H56"/>
      <c r="I56"/>
      <c r="J56"/>
      <c r="K56"/>
      <c r="L56"/>
      <c r="M56"/>
      <c r="N56"/>
      <c r="O56"/>
      <c r="P56"/>
      <c r="Q56"/>
      <c r="R56"/>
      <c r="AC56"/>
      <c r="AD56"/>
      <c r="AE56"/>
      <c r="AF56"/>
    </row>
    <row r="57" spans="2:32" ht="13.5" customHeight="1" x14ac:dyDescent="0.35">
      <c r="B57"/>
      <c r="C57"/>
      <c r="D57"/>
      <c r="E57"/>
      <c r="F57"/>
      <c r="G57"/>
      <c r="H57"/>
      <c r="I57"/>
      <c r="J57"/>
      <c r="K57"/>
      <c r="L57"/>
      <c r="M57"/>
      <c r="N57"/>
      <c r="O57"/>
      <c r="P57"/>
      <c r="Q57"/>
      <c r="R57"/>
      <c r="AC57"/>
      <c r="AD57"/>
      <c r="AE57"/>
      <c r="AF57"/>
    </row>
    <row r="58" spans="2:32" ht="14.25" customHeight="1" x14ac:dyDescent="0.35">
      <c r="B58"/>
      <c r="C58"/>
      <c r="D58"/>
      <c r="E58"/>
      <c r="F58"/>
      <c r="G58"/>
      <c r="H58"/>
      <c r="I58"/>
      <c r="J58"/>
      <c r="K58"/>
      <c r="L58"/>
      <c r="M58"/>
      <c r="N58"/>
      <c r="O58"/>
      <c r="P58"/>
      <c r="Q58"/>
      <c r="R58"/>
      <c r="AC58"/>
      <c r="AD58"/>
      <c r="AE58"/>
      <c r="AF58"/>
    </row>
    <row r="59" spans="2:32" ht="14.25" customHeight="1" x14ac:dyDescent="0.35">
      <c r="B59"/>
      <c r="C59"/>
      <c r="D59"/>
      <c r="E59"/>
      <c r="F59"/>
      <c r="G59"/>
      <c r="H59"/>
      <c r="I59"/>
      <c r="J59"/>
      <c r="K59"/>
      <c r="L59"/>
      <c r="M59"/>
      <c r="N59"/>
      <c r="O59"/>
      <c r="P59"/>
      <c r="Q59"/>
      <c r="R59"/>
      <c r="AC59"/>
      <c r="AD59"/>
      <c r="AE59"/>
      <c r="AF59"/>
    </row>
    <row r="60" spans="2:32" ht="14.25" customHeight="1" x14ac:dyDescent="0.35">
      <c r="B60"/>
      <c r="C60"/>
      <c r="D60"/>
      <c r="E60"/>
      <c r="F60"/>
      <c r="G60"/>
      <c r="H60"/>
      <c r="I60"/>
      <c r="J60"/>
      <c r="K60"/>
      <c r="L60"/>
      <c r="M60"/>
      <c r="N60"/>
      <c r="O60"/>
      <c r="P60"/>
      <c r="Q60"/>
      <c r="R60"/>
      <c r="AC60"/>
      <c r="AD60"/>
      <c r="AE60"/>
      <c r="AF60"/>
    </row>
    <row r="61" spans="2:32" ht="14.25" customHeight="1" x14ac:dyDescent="0.35">
      <c r="B61"/>
      <c r="C61"/>
      <c r="D61"/>
      <c r="E61"/>
      <c r="F61"/>
      <c r="G61"/>
      <c r="H61"/>
      <c r="I61"/>
      <c r="J61"/>
      <c r="K61"/>
      <c r="L61"/>
      <c r="M61"/>
      <c r="N61"/>
      <c r="O61"/>
      <c r="P61"/>
      <c r="Q61"/>
      <c r="R61"/>
      <c r="AC61"/>
      <c r="AD61"/>
      <c r="AE61"/>
      <c r="AF61"/>
    </row>
    <row r="62" spans="2:32" ht="14.25" customHeight="1" x14ac:dyDescent="0.35">
      <c r="B62"/>
      <c r="C62"/>
      <c r="D62"/>
      <c r="E62"/>
      <c r="F62"/>
      <c r="G62"/>
      <c r="H62"/>
      <c r="I62"/>
      <c r="J62"/>
      <c r="K62"/>
      <c r="L62"/>
      <c r="M62"/>
      <c r="N62"/>
      <c r="O62"/>
      <c r="P62"/>
      <c r="Q62"/>
      <c r="R62"/>
      <c r="AC62"/>
      <c r="AD62"/>
      <c r="AE62"/>
      <c r="AF62"/>
    </row>
    <row r="63" spans="2:32" ht="14.25" customHeight="1" x14ac:dyDescent="0.35">
      <c r="B63"/>
      <c r="C63"/>
      <c r="D63"/>
      <c r="E63"/>
      <c r="F63"/>
      <c r="G63"/>
      <c r="H63"/>
      <c r="I63"/>
      <c r="J63"/>
      <c r="K63"/>
      <c r="L63"/>
      <c r="M63"/>
      <c r="N63"/>
      <c r="O63"/>
      <c r="P63"/>
      <c r="Q63"/>
      <c r="R63"/>
      <c r="AC63"/>
      <c r="AD63"/>
      <c r="AE63"/>
      <c r="AF63"/>
    </row>
  </sheetData>
  <mergeCells count="40">
    <mergeCell ref="AO5:AO6"/>
    <mergeCell ref="AM5:AM6"/>
    <mergeCell ref="AL5:AL6"/>
    <mergeCell ref="AK5:AK6"/>
    <mergeCell ref="M5:M6"/>
    <mergeCell ref="AD5:AD6"/>
    <mergeCell ref="AE5:AE6"/>
    <mergeCell ref="AF5:AF6"/>
    <mergeCell ref="AJ5:AJ6"/>
    <mergeCell ref="T5:T6"/>
    <mergeCell ref="U5:U6"/>
    <mergeCell ref="V5:V6"/>
    <mergeCell ref="W5:W6"/>
    <mergeCell ref="X5:X6"/>
    <mergeCell ref="AN5:AN6"/>
    <mergeCell ref="Y5:Y6"/>
    <mergeCell ref="C5:C6"/>
    <mergeCell ref="D5:D6"/>
    <mergeCell ref="AA5:AA6"/>
    <mergeCell ref="O5:O6"/>
    <mergeCell ref="P5:P6"/>
    <mergeCell ref="S5:S6"/>
    <mergeCell ref="Q5:Q6"/>
    <mergeCell ref="R5:R6"/>
    <mergeCell ref="AP5:AP6"/>
    <mergeCell ref="S2:Y3"/>
    <mergeCell ref="AI5:AI6"/>
    <mergeCell ref="AH5:AH6"/>
    <mergeCell ref="E5:E6"/>
    <mergeCell ref="F5:F6"/>
    <mergeCell ref="G5:G6"/>
    <mergeCell ref="H5:H6"/>
    <mergeCell ref="J5:J6"/>
    <mergeCell ref="I5:I6"/>
    <mergeCell ref="AG5:AG6"/>
    <mergeCell ref="K5:K6"/>
    <mergeCell ref="L5:L6"/>
    <mergeCell ref="AC5:AC6"/>
    <mergeCell ref="AB5:AB6"/>
    <mergeCell ref="N5:N6"/>
  </mergeCells>
  <pageMargins left="0.511811024" right="0.511811024" top="0.78740157499999996" bottom="0.78740157499999996" header="0.31496062000000002" footer="0.31496062000000002"/>
  <pageSetup paperSize="9" orientation="portrait" horizontalDpi="0" verticalDpi="0" r:id="rId1"/>
  <ignoredErrors>
    <ignoredError sqref="I11" formula="1"/>
    <ignoredError sqref="AD10:AI10 AD14:AI14 AC9:AI9 AD12:AI12 AD13" formulaRange="1"/>
    <ignoredError sqref="AD11:AI11" formula="1"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E1B1-3993-4B52-91F9-836D82CD66FF}">
  <sheetPr>
    <tabColor rgb="FF1B7754"/>
    <outlinePr summaryRight="0"/>
  </sheetPr>
  <dimension ref="B1:AA158"/>
  <sheetViews>
    <sheetView showGridLines="0" topLeftCell="B4" zoomScaleNormal="100" workbookViewId="0">
      <selection activeCell="S17" sqref="S17"/>
    </sheetView>
  </sheetViews>
  <sheetFormatPr defaultColWidth="9.140625" defaultRowHeight="14.25" customHeight="1" x14ac:dyDescent="0.35"/>
  <cols>
    <col min="1" max="1" width="1.7109375" style="2" customWidth="1"/>
    <col min="2" max="2" width="56.7109375" style="2" customWidth="1"/>
    <col min="3" max="12" width="10.7109375" style="2" customWidth="1"/>
    <col min="13" max="14" width="10.7109375" style="20" customWidth="1"/>
    <col min="15" max="18" width="10.7109375" style="21" customWidth="1"/>
    <col min="19" max="20" width="10.7109375" style="2" customWidth="1"/>
    <col min="21" max="25" width="10.7109375" style="21" customWidth="1"/>
    <col min="26" max="16384" width="9.140625" style="2"/>
  </cols>
  <sheetData>
    <row r="1" spans="2:25" ht="14.25" customHeight="1" x14ac:dyDescent="0.35">
      <c r="D1" s="20"/>
      <c r="E1" s="20"/>
      <c r="F1" s="20"/>
      <c r="G1" s="20"/>
      <c r="H1" s="20"/>
      <c r="I1" s="20"/>
      <c r="J1" s="20"/>
      <c r="K1" s="20"/>
      <c r="L1" s="20"/>
    </row>
    <row r="2" spans="2:25" ht="14.25" customHeight="1" x14ac:dyDescent="0.35">
      <c r="D2" s="20"/>
      <c r="E2" s="20"/>
      <c r="F2" s="20"/>
      <c r="G2" s="20"/>
      <c r="H2" s="20"/>
      <c r="S2" s="100" t="s">
        <v>224</v>
      </c>
      <c r="T2" s="100"/>
      <c r="U2" s="100"/>
      <c r="V2" s="100"/>
      <c r="W2" s="100"/>
      <c r="X2" s="100"/>
      <c r="Y2" s="100"/>
    </row>
    <row r="3" spans="2:25" ht="14.25" customHeight="1" x14ac:dyDescent="0.35">
      <c r="D3" s="20"/>
      <c r="E3" s="20"/>
      <c r="F3" s="20"/>
      <c r="G3" s="20"/>
      <c r="H3" s="20"/>
      <c r="J3" s="58"/>
      <c r="K3" s="58"/>
      <c r="S3" s="100"/>
      <c r="T3" s="100"/>
      <c r="U3" s="100"/>
      <c r="V3" s="100"/>
      <c r="W3" s="100"/>
      <c r="X3" s="100"/>
      <c r="Y3" s="100"/>
    </row>
    <row r="5" spans="2:25" s="11" customFormat="1" ht="14.25" customHeight="1" x14ac:dyDescent="0.25">
      <c r="B5" s="83" t="s">
        <v>74</v>
      </c>
      <c r="C5" s="99" t="s">
        <v>164</v>
      </c>
      <c r="D5" s="99" t="s">
        <v>127</v>
      </c>
      <c r="E5" s="99" t="s">
        <v>9</v>
      </c>
      <c r="F5" s="99" t="s">
        <v>10</v>
      </c>
      <c r="G5" s="99" t="s">
        <v>11</v>
      </c>
      <c r="H5" s="99" t="s">
        <v>12</v>
      </c>
      <c r="I5" s="99" t="s">
        <v>4</v>
      </c>
      <c r="J5" s="99" t="s">
        <v>13</v>
      </c>
      <c r="K5" s="99" t="s">
        <v>14</v>
      </c>
      <c r="L5" s="99" t="s">
        <v>131</v>
      </c>
      <c r="M5" s="99" t="s">
        <v>155</v>
      </c>
      <c r="N5" s="99" t="s">
        <v>159</v>
      </c>
      <c r="O5" s="99" t="s">
        <v>162</v>
      </c>
      <c r="P5" s="99" t="s">
        <v>190</v>
      </c>
      <c r="Q5" s="99" t="s">
        <v>202</v>
      </c>
      <c r="R5" s="99" t="s">
        <v>215</v>
      </c>
      <c r="S5" s="99" t="s">
        <v>217</v>
      </c>
      <c r="T5" s="99" t="s">
        <v>222</v>
      </c>
      <c r="U5" s="99" t="s">
        <v>225</v>
      </c>
      <c r="V5" s="99" t="s">
        <v>257</v>
      </c>
      <c r="W5" s="99" t="s">
        <v>266</v>
      </c>
      <c r="X5" s="99" t="s">
        <v>268</v>
      </c>
      <c r="Y5" s="99" t="s">
        <v>281</v>
      </c>
    </row>
    <row r="6" spans="2:25" ht="14.25" customHeight="1" thickBot="1" x14ac:dyDescent="0.4">
      <c r="B6" s="84" t="s">
        <v>113</v>
      </c>
      <c r="C6" s="99"/>
      <c r="D6" s="99"/>
      <c r="E6" s="99"/>
      <c r="F6" s="99"/>
      <c r="G6" s="99"/>
      <c r="H6" s="99"/>
      <c r="I6" s="99"/>
      <c r="J6" s="99"/>
      <c r="K6" s="99"/>
      <c r="L6" s="99"/>
      <c r="M6" s="99"/>
      <c r="N6" s="99"/>
      <c r="O6" s="99"/>
      <c r="P6" s="99"/>
      <c r="Q6" s="99"/>
      <c r="R6" s="99"/>
      <c r="S6" s="102"/>
      <c r="T6" s="102"/>
      <c r="U6" s="99"/>
      <c r="V6" s="99"/>
      <c r="W6" s="99"/>
      <c r="X6" s="99"/>
      <c r="Y6" s="99"/>
    </row>
    <row r="7" spans="2:25" ht="13.5" customHeight="1" thickBot="1" x14ac:dyDescent="0.4">
      <c r="B7" s="9" t="s">
        <v>176</v>
      </c>
      <c r="C7" s="10"/>
      <c r="D7" s="10"/>
      <c r="E7" s="10"/>
      <c r="F7" s="10"/>
      <c r="G7" s="10"/>
      <c r="H7" s="10"/>
      <c r="I7" s="10"/>
      <c r="J7" s="10"/>
      <c r="K7" s="10"/>
      <c r="L7" s="10"/>
      <c r="M7" s="10"/>
      <c r="N7" s="10"/>
      <c r="O7" s="10"/>
      <c r="P7" s="10"/>
      <c r="Q7" s="10"/>
      <c r="R7" s="10"/>
      <c r="S7" s="10"/>
      <c r="T7" s="10"/>
      <c r="U7" s="10"/>
      <c r="V7" s="10"/>
      <c r="W7" s="10"/>
      <c r="X7" s="10"/>
      <c r="Y7" s="10"/>
    </row>
    <row r="8" spans="2:25" ht="14.25" customHeight="1" x14ac:dyDescent="0.35">
      <c r="B8" s="6" t="s">
        <v>75</v>
      </c>
      <c r="C8" s="53">
        <v>348528.47000000003</v>
      </c>
      <c r="D8" s="53">
        <v>625389</v>
      </c>
      <c r="E8" s="6">
        <v>309588</v>
      </c>
      <c r="F8" s="6">
        <v>286080</v>
      </c>
      <c r="G8" s="6">
        <v>320325</v>
      </c>
      <c r="H8" s="6">
        <v>372907</v>
      </c>
      <c r="I8" s="6">
        <f>SUM(E8:H8)</f>
        <v>1288900</v>
      </c>
      <c r="J8" s="6">
        <v>595649</v>
      </c>
      <c r="K8" s="6">
        <v>645987</v>
      </c>
      <c r="L8" s="6">
        <v>659967</v>
      </c>
      <c r="M8" s="6">
        <v>664946.31000000006</v>
      </c>
      <c r="N8" s="6">
        <v>2566548.31</v>
      </c>
      <c r="O8" s="6">
        <v>777506.03</v>
      </c>
      <c r="P8" s="6">
        <v>834486.33000000007</v>
      </c>
      <c r="Q8" s="6">
        <v>844819.16999999993</v>
      </c>
      <c r="R8" s="6">
        <v>819833.12000000011</v>
      </c>
      <c r="S8" s="6">
        <v>3276644.6500000004</v>
      </c>
      <c r="T8" s="6">
        <v>728664.53</v>
      </c>
      <c r="U8" s="6">
        <v>859495.49</v>
      </c>
      <c r="V8" s="6">
        <v>868225.86999999988</v>
      </c>
      <c r="W8" s="6">
        <v>859163.67</v>
      </c>
      <c r="X8" s="6">
        <v>3315549.56</v>
      </c>
      <c r="Y8" s="6">
        <v>1054966.07</v>
      </c>
    </row>
    <row r="9" spans="2:25" ht="14.25" customHeight="1" x14ac:dyDescent="0.35">
      <c r="B9" s="6" t="s">
        <v>76</v>
      </c>
      <c r="C9" s="6">
        <f>323212.1+101867.38</f>
        <v>425079.48</v>
      </c>
      <c r="D9" s="53">
        <v>681529.97059514048</v>
      </c>
      <c r="E9" s="6">
        <v>296999.21480000002</v>
      </c>
      <c r="F9" s="6">
        <v>282798.25300000003</v>
      </c>
      <c r="G9" s="6">
        <v>314722.9498</v>
      </c>
      <c r="H9" s="6">
        <v>425075.44400000002</v>
      </c>
      <c r="I9" s="6">
        <f>SUM(E9:H9)</f>
        <v>1319595.8615999999</v>
      </c>
      <c r="J9" s="6">
        <v>633456.62408199999</v>
      </c>
      <c r="K9" s="6">
        <v>629319.41421620001</v>
      </c>
      <c r="L9" s="6">
        <v>669309.37969999993</v>
      </c>
      <c r="M9" s="6">
        <v>691388.3074417999</v>
      </c>
      <c r="N9" s="6">
        <v>2629258.33</v>
      </c>
      <c r="O9" s="6">
        <v>748757.10042000003</v>
      </c>
      <c r="P9" s="6">
        <v>785167.12079999992</v>
      </c>
      <c r="Q9" s="6">
        <v>828006.87271420006</v>
      </c>
      <c r="R9" s="6">
        <v>798812.09603199991</v>
      </c>
      <c r="S9" s="6">
        <v>3160743.1899661999</v>
      </c>
      <c r="T9" s="6">
        <v>643826.44513240003</v>
      </c>
      <c r="U9" s="6">
        <v>724532.40938800003</v>
      </c>
      <c r="V9" s="6">
        <v>738194.72609020001</v>
      </c>
      <c r="W9" s="6">
        <v>756383.51556620002</v>
      </c>
      <c r="X9" s="6">
        <v>2862937.0961768003</v>
      </c>
      <c r="Y9" s="6">
        <v>899607.14970860002</v>
      </c>
    </row>
    <row r="10" spans="2:25" ht="14.1" customHeight="1" x14ac:dyDescent="0.35">
      <c r="B10" s="6" t="s">
        <v>177</v>
      </c>
      <c r="C10" s="6">
        <v>120769.60999999999</v>
      </c>
      <c r="D10" s="6">
        <v>258109.40735287283</v>
      </c>
      <c r="E10" s="6">
        <v>128659.4</v>
      </c>
      <c r="F10" s="6">
        <v>118747.36</v>
      </c>
      <c r="G10" s="6">
        <v>133615.81</v>
      </c>
      <c r="H10" s="6">
        <v>156411.01999999999</v>
      </c>
      <c r="I10" s="6">
        <f>H10+G10+F10+E10</f>
        <v>537433.59</v>
      </c>
      <c r="J10" s="6">
        <v>252740.98</v>
      </c>
      <c r="K10" s="6">
        <v>276025.38</v>
      </c>
      <c r="L10" s="6">
        <v>280304.87</v>
      </c>
      <c r="M10" s="6">
        <v>277767.23</v>
      </c>
      <c r="N10" s="6">
        <f>M10+L10+K10+J10</f>
        <v>1086838.46</v>
      </c>
      <c r="O10" s="6">
        <v>328282.43</v>
      </c>
      <c r="P10" s="6">
        <v>359189.01999999996</v>
      </c>
      <c r="Q10" s="6">
        <v>359664.95999999996</v>
      </c>
      <c r="R10" s="6">
        <v>349395.28</v>
      </c>
      <c r="S10" s="6">
        <f t="shared" ref="S10" si="0">SUM(O10:R10)</f>
        <v>1396531.69</v>
      </c>
      <c r="T10" s="6">
        <v>314632.3</v>
      </c>
      <c r="U10" s="6">
        <v>376421.19999999995</v>
      </c>
      <c r="V10" s="6">
        <v>375773.58999999997</v>
      </c>
      <c r="W10" s="6">
        <v>369230.99</v>
      </c>
      <c r="X10" s="6">
        <v>1436058.08</v>
      </c>
      <c r="Y10" s="6">
        <v>447318.99</v>
      </c>
    </row>
    <row r="11" spans="2:25" ht="14.1" customHeight="1" x14ac:dyDescent="0.35">
      <c r="B11" s="6" t="s">
        <v>77</v>
      </c>
      <c r="C11" s="6">
        <f t="shared" ref="C11:I11" si="1">SUM(C13:C14)</f>
        <v>138964</v>
      </c>
      <c r="D11" s="6">
        <f t="shared" si="1"/>
        <v>259059.80350408595</v>
      </c>
      <c r="E11" s="6">
        <f>SUM(E13:E14)</f>
        <v>129724.55</v>
      </c>
      <c r="F11" s="6">
        <f t="shared" si="1"/>
        <v>120477.2</v>
      </c>
      <c r="G11" s="6">
        <f t="shared" si="1"/>
        <v>134841.12</v>
      </c>
      <c r="H11" s="6">
        <f t="shared" si="1"/>
        <v>158190.57</v>
      </c>
      <c r="I11" s="6">
        <f t="shared" si="1"/>
        <v>543233.43999999994</v>
      </c>
      <c r="J11" s="6">
        <f t="shared" ref="J11:O11" si="2">SUM(J13:J14)</f>
        <v>260577.16</v>
      </c>
      <c r="K11" s="6">
        <f t="shared" si="2"/>
        <v>281688.51</v>
      </c>
      <c r="L11" s="6">
        <f t="shared" si="2"/>
        <v>286820.52999999997</v>
      </c>
      <c r="M11" s="6">
        <f t="shared" si="2"/>
        <v>281543.21999999997</v>
      </c>
      <c r="N11" s="6">
        <f t="shared" si="2"/>
        <v>1110629.42</v>
      </c>
      <c r="O11" s="6">
        <f t="shared" si="2"/>
        <v>336334.32999999996</v>
      </c>
      <c r="P11" s="6">
        <f t="shared" ref="P11:W11" si="3">SUM(P13:P14)</f>
        <v>366552.03</v>
      </c>
      <c r="Q11" s="6">
        <f t="shared" si="3"/>
        <v>366124.48</v>
      </c>
      <c r="R11" s="6">
        <f t="shared" si="3"/>
        <v>356507.13</v>
      </c>
      <c r="S11" s="6">
        <f t="shared" si="3"/>
        <v>1425517.9700000002</v>
      </c>
      <c r="T11" s="6">
        <f t="shared" si="3"/>
        <v>319991.33</v>
      </c>
      <c r="U11" s="6">
        <f t="shared" si="3"/>
        <v>381484.24</v>
      </c>
      <c r="V11" s="6">
        <f t="shared" si="3"/>
        <v>381088.26</v>
      </c>
      <c r="W11" s="6">
        <f t="shared" si="3"/>
        <v>372683.62</v>
      </c>
      <c r="X11" s="6">
        <f>SUM(X13:X14)</f>
        <v>1455247.4500000002</v>
      </c>
      <c r="Y11" s="6">
        <f>SUM(Y13:Y14)</f>
        <v>452612.86</v>
      </c>
    </row>
    <row r="12" spans="2:25" ht="14.25" customHeight="1" x14ac:dyDescent="0.35">
      <c r="B12" s="6" t="s">
        <v>323</v>
      </c>
      <c r="C12" s="85">
        <f t="shared" ref="C12:Y12" si="4">(C10/C8)*1000</f>
        <v>346.51289749729762</v>
      </c>
      <c r="D12" s="85">
        <f t="shared" si="4"/>
        <v>412.71817597187169</v>
      </c>
      <c r="E12" s="85">
        <f t="shared" si="4"/>
        <v>415.58264532217009</v>
      </c>
      <c r="F12" s="85">
        <f t="shared" si="4"/>
        <v>415.08445190156601</v>
      </c>
      <c r="G12" s="85">
        <f t="shared" si="4"/>
        <v>417.12576289705765</v>
      </c>
      <c r="H12" s="85">
        <f t="shared" si="4"/>
        <v>419.4370714414049</v>
      </c>
      <c r="I12" s="85">
        <f t="shared" si="4"/>
        <v>416.97074249359918</v>
      </c>
      <c r="J12" s="85">
        <f t="shared" si="4"/>
        <v>424.31193538476521</v>
      </c>
      <c r="K12" s="85">
        <f t="shared" si="4"/>
        <v>427.29246873389093</v>
      </c>
      <c r="L12" s="85">
        <f t="shared" si="4"/>
        <v>424.72558476408665</v>
      </c>
      <c r="M12" s="85">
        <f t="shared" si="4"/>
        <v>417.72880881164673</v>
      </c>
      <c r="N12" s="85">
        <f t="shared" si="4"/>
        <v>423.46308299180231</v>
      </c>
      <c r="O12" s="85">
        <f t="shared" si="4"/>
        <v>422.224931168701</v>
      </c>
      <c r="P12" s="85">
        <f t="shared" si="4"/>
        <v>430.43128100133163</v>
      </c>
      <c r="Q12" s="85">
        <f t="shared" si="4"/>
        <v>425.73011216116225</v>
      </c>
      <c r="R12" s="85">
        <f t="shared" si="4"/>
        <v>426.17853740771045</v>
      </c>
      <c r="S12" s="85">
        <f t="shared" si="4"/>
        <v>426.2078556489181</v>
      </c>
      <c r="T12" s="85">
        <f t="shared" si="4"/>
        <v>431.7930776732058</v>
      </c>
      <c r="U12" s="85">
        <f t="shared" si="4"/>
        <v>437.95599206692748</v>
      </c>
      <c r="V12" s="85">
        <f t="shared" si="4"/>
        <v>432.80625812267033</v>
      </c>
      <c r="W12" s="85">
        <f t="shared" si="4"/>
        <v>429.75628846131258</v>
      </c>
      <c r="X12" s="85">
        <f t="shared" si="4"/>
        <v>433.12822022784059</v>
      </c>
      <c r="Y12" s="85">
        <f t="shared" si="4"/>
        <v>424.01267938408671</v>
      </c>
    </row>
    <row r="13" spans="2:25" ht="13.5" customHeight="1" x14ac:dyDescent="0.35">
      <c r="B13" s="7" t="s">
        <v>78</v>
      </c>
      <c r="C13" s="6">
        <v>56706.729999999996</v>
      </c>
      <c r="D13" s="6">
        <v>187133.00036734602</v>
      </c>
      <c r="E13" s="6">
        <v>85568.94</v>
      </c>
      <c r="F13" s="6">
        <v>70049.209999999992</v>
      </c>
      <c r="G13" s="6">
        <v>89986.38</v>
      </c>
      <c r="H13" s="6">
        <v>88987.94</v>
      </c>
      <c r="I13" s="6">
        <v>334592.46999999997</v>
      </c>
      <c r="J13" s="6">
        <v>91498.65</v>
      </c>
      <c r="K13" s="6">
        <v>116073.72</v>
      </c>
      <c r="L13" s="6">
        <v>97037.36</v>
      </c>
      <c r="M13" s="6">
        <v>99975.24000000002</v>
      </c>
      <c r="N13" s="6">
        <v>404584.97000000003</v>
      </c>
      <c r="O13" s="6">
        <v>133750.22</v>
      </c>
      <c r="P13" s="6">
        <v>181835.41</v>
      </c>
      <c r="Q13" s="6">
        <v>180375.56</v>
      </c>
      <c r="R13" s="6">
        <v>152758.46000000002</v>
      </c>
      <c r="S13" s="6">
        <v>648719.65</v>
      </c>
      <c r="T13" s="6">
        <v>154971.96000000002</v>
      </c>
      <c r="U13" s="6">
        <v>212846.56</v>
      </c>
      <c r="V13" s="6">
        <v>212183.61</v>
      </c>
      <c r="W13" s="6">
        <v>227874.39999999997</v>
      </c>
      <c r="X13" s="6">
        <v>807876.53000000014</v>
      </c>
      <c r="Y13" s="6">
        <v>257875.38999999996</v>
      </c>
    </row>
    <row r="14" spans="2:25" ht="14.25" customHeight="1" x14ac:dyDescent="0.35">
      <c r="B14" s="7" t="s">
        <v>79</v>
      </c>
      <c r="C14" s="6">
        <v>82257.27</v>
      </c>
      <c r="D14" s="6">
        <v>71926.803136739938</v>
      </c>
      <c r="E14" s="6">
        <v>44155.61</v>
      </c>
      <c r="F14" s="6">
        <v>50427.990000000005</v>
      </c>
      <c r="G14" s="6">
        <v>44854.74</v>
      </c>
      <c r="H14" s="6">
        <v>69202.63</v>
      </c>
      <c r="I14" s="6">
        <v>208640.97</v>
      </c>
      <c r="J14" s="6">
        <v>169078.51</v>
      </c>
      <c r="K14" s="6">
        <v>165614.79</v>
      </c>
      <c r="L14" s="6">
        <v>189783.16999999998</v>
      </c>
      <c r="M14" s="6">
        <v>181567.97999999998</v>
      </c>
      <c r="N14" s="6">
        <v>706044.45</v>
      </c>
      <c r="O14" s="6">
        <v>202584.11</v>
      </c>
      <c r="P14" s="6">
        <v>184716.62</v>
      </c>
      <c r="Q14" s="6">
        <v>185748.91999999998</v>
      </c>
      <c r="R14" s="6">
        <v>203748.66999999998</v>
      </c>
      <c r="S14" s="6">
        <v>776798.32000000007</v>
      </c>
      <c r="T14" s="6">
        <v>165019.37</v>
      </c>
      <c r="U14" s="6">
        <v>168637.68</v>
      </c>
      <c r="V14" s="6">
        <v>168904.65</v>
      </c>
      <c r="W14" s="6">
        <v>144809.22</v>
      </c>
      <c r="X14" s="6">
        <v>647370.91999999993</v>
      </c>
      <c r="Y14" s="6">
        <v>194737.47</v>
      </c>
    </row>
    <row r="15" spans="2:25" ht="15" customHeight="1" x14ac:dyDescent="0.35">
      <c r="B15" s="17" t="s">
        <v>178</v>
      </c>
      <c r="C15" s="77">
        <f t="shared" ref="C15:Y15" si="5">C13/C11</f>
        <v>0.40806777294838947</v>
      </c>
      <c r="D15" s="77">
        <f t="shared" si="5"/>
        <v>0.7223544441713996</v>
      </c>
      <c r="E15" s="77">
        <f t="shared" si="5"/>
        <v>0.65962024921265872</v>
      </c>
      <c r="F15" s="77">
        <f t="shared" si="5"/>
        <v>0.58143125836257814</v>
      </c>
      <c r="G15" s="77">
        <f t="shared" si="5"/>
        <v>0.66735117596175419</v>
      </c>
      <c r="H15" s="77">
        <f t="shared" si="5"/>
        <v>0.56253631300525686</v>
      </c>
      <c r="I15" s="77">
        <f t="shared" si="5"/>
        <v>0.61592760195322294</v>
      </c>
      <c r="J15" s="77">
        <f t="shared" si="5"/>
        <v>0.35113841136345181</v>
      </c>
      <c r="K15" s="77">
        <f t="shared" si="5"/>
        <v>0.41206409164505858</v>
      </c>
      <c r="L15" s="77">
        <f t="shared" si="5"/>
        <v>0.33832083079966419</v>
      </c>
      <c r="M15" s="77">
        <f t="shared" si="5"/>
        <v>0.35509730974874842</v>
      </c>
      <c r="N15" s="77">
        <f t="shared" si="5"/>
        <v>0.36428439830092024</v>
      </c>
      <c r="O15" s="77">
        <f t="shared" si="5"/>
        <v>0.39767043703210436</v>
      </c>
      <c r="P15" s="77">
        <f t="shared" si="5"/>
        <v>0.49606984852873409</v>
      </c>
      <c r="Q15" s="77">
        <f t="shared" si="5"/>
        <v>0.49266184003866664</v>
      </c>
      <c r="R15" s="77">
        <f t="shared" si="5"/>
        <v>0.42848640923394721</v>
      </c>
      <c r="S15" s="77">
        <f t="shared" si="5"/>
        <v>0.45507644495004151</v>
      </c>
      <c r="T15" s="77">
        <f t="shared" si="5"/>
        <v>0.48430049651657753</v>
      </c>
      <c r="U15" s="77">
        <f t="shared" si="5"/>
        <v>0.55794325867826156</v>
      </c>
      <c r="V15" s="77">
        <f t="shared" si="5"/>
        <v>0.55678338136157746</v>
      </c>
      <c r="W15" s="77">
        <f t="shared" si="5"/>
        <v>0.61144195175521787</v>
      </c>
      <c r="X15" s="77">
        <f t="shared" si="5"/>
        <v>0.55514718819813091</v>
      </c>
      <c r="Y15" s="77">
        <f t="shared" si="5"/>
        <v>0.56974826124030142</v>
      </c>
    </row>
    <row r="16" spans="2:25" ht="14.1" customHeight="1" x14ac:dyDescent="0.35">
      <c r="B16" s="6" t="s">
        <v>80</v>
      </c>
      <c r="C16" s="6">
        <f t="shared" ref="C16:O16" si="6">C17+C18+C19</f>
        <v>135210.4</v>
      </c>
      <c r="D16" s="6">
        <f t="shared" si="6"/>
        <v>248389.13</v>
      </c>
      <c r="E16" s="6">
        <f t="shared" si="6"/>
        <v>113779.6</v>
      </c>
      <c r="F16" s="6">
        <f t="shared" si="6"/>
        <v>107492.70000000001</v>
      </c>
      <c r="G16" s="6">
        <f t="shared" si="6"/>
        <v>120123.65</v>
      </c>
      <c r="H16" s="6">
        <f t="shared" si="6"/>
        <v>138224.13</v>
      </c>
      <c r="I16" s="6">
        <f t="shared" si="6"/>
        <v>479620.07999999996</v>
      </c>
      <c r="J16" s="6">
        <f t="shared" si="6"/>
        <v>225457.95</v>
      </c>
      <c r="K16" s="6">
        <f t="shared" si="6"/>
        <v>231039.59</v>
      </c>
      <c r="L16" s="6">
        <f t="shared" si="6"/>
        <v>237589.69</v>
      </c>
      <c r="M16" s="6">
        <f t="shared" si="6"/>
        <v>240058.82</v>
      </c>
      <c r="N16" s="6">
        <f t="shared" si="6"/>
        <v>934146.05</v>
      </c>
      <c r="O16" s="6">
        <f t="shared" si="6"/>
        <v>294744.89</v>
      </c>
      <c r="P16" s="6">
        <f>P17+P18+P19</f>
        <v>317857.88</v>
      </c>
      <c r="Q16" s="6">
        <f>Q17+Q18+Q19</f>
        <v>308394.02999999997</v>
      </c>
      <c r="R16" s="6">
        <f>R17+R18+R19</f>
        <v>300498.90000000002</v>
      </c>
      <c r="S16" s="6">
        <f>SUM(O16:R16)</f>
        <v>1221495.7000000002</v>
      </c>
      <c r="T16" s="6">
        <v>288439.08</v>
      </c>
      <c r="U16" s="6">
        <v>331573.57</v>
      </c>
      <c r="V16" s="6">
        <v>310885.75</v>
      </c>
      <c r="W16" s="6">
        <v>294020.01</v>
      </c>
      <c r="X16" s="6">
        <v>1224918.4100000004</v>
      </c>
      <c r="Y16" s="6">
        <v>387852.9</v>
      </c>
    </row>
    <row r="17" spans="2:25" ht="14.1" customHeight="1" x14ac:dyDescent="0.35">
      <c r="B17" s="7" t="s">
        <v>81</v>
      </c>
      <c r="C17" s="6">
        <v>41758.35</v>
      </c>
      <c r="D17" s="6">
        <v>113190.65</v>
      </c>
      <c r="E17" s="6">
        <v>29419.95</v>
      </c>
      <c r="F17" s="6">
        <v>29955.440000000002</v>
      </c>
      <c r="G17" s="6">
        <v>31956.929999999997</v>
      </c>
      <c r="H17" s="6">
        <v>37547.460000000006</v>
      </c>
      <c r="I17" s="6">
        <v>128879.78</v>
      </c>
      <c r="J17" s="6">
        <v>63149.850000000006</v>
      </c>
      <c r="K17" s="6">
        <v>75537.7</v>
      </c>
      <c r="L17" s="6">
        <v>75487.89</v>
      </c>
      <c r="M17" s="6">
        <v>74897.049999999988</v>
      </c>
      <c r="N17" s="6">
        <v>289072.49</v>
      </c>
      <c r="O17" s="6">
        <v>87498.42</v>
      </c>
      <c r="P17" s="6">
        <v>95747.51999999999</v>
      </c>
      <c r="Q17" s="6">
        <v>95925.569999999992</v>
      </c>
      <c r="R17" s="6">
        <v>92061.040000000008</v>
      </c>
      <c r="S17" s="6">
        <f>SUM(O17:R17)</f>
        <v>371232.55000000005</v>
      </c>
      <c r="T17" s="6">
        <v>84076.55</v>
      </c>
      <c r="U17" s="6">
        <v>95744.54</v>
      </c>
      <c r="V17" s="6">
        <v>94324.83</v>
      </c>
      <c r="W17" s="6">
        <v>93558.12</v>
      </c>
      <c r="X17" s="6">
        <v>367704.0400000001</v>
      </c>
      <c r="Y17" s="6">
        <v>113318.47</v>
      </c>
    </row>
    <row r="18" spans="2:25" ht="14.25" customHeight="1" x14ac:dyDescent="0.35">
      <c r="B18" s="7" t="s">
        <v>82</v>
      </c>
      <c r="C18" s="6">
        <v>33620.49</v>
      </c>
      <c r="D18" s="6">
        <v>72379.839999999997</v>
      </c>
      <c r="E18" s="6">
        <v>34571.1</v>
      </c>
      <c r="F18" s="6">
        <v>33360.79</v>
      </c>
      <c r="G18" s="6">
        <v>35961.69</v>
      </c>
      <c r="H18" s="6">
        <v>39525.51</v>
      </c>
      <c r="I18" s="6">
        <v>143419.09</v>
      </c>
      <c r="J18" s="6">
        <v>67639.839999999997</v>
      </c>
      <c r="K18" s="6">
        <v>72717.049999999988</v>
      </c>
      <c r="L18" s="6">
        <v>73394.22</v>
      </c>
      <c r="M18" s="6">
        <v>73964.960000000021</v>
      </c>
      <c r="N18" s="6">
        <v>287716.07</v>
      </c>
      <c r="O18" s="6">
        <v>76163.34</v>
      </c>
      <c r="P18" s="6">
        <v>80455.260000000009</v>
      </c>
      <c r="Q18" s="6">
        <v>79259.78</v>
      </c>
      <c r="R18" s="6">
        <v>79144.81</v>
      </c>
      <c r="S18" s="6">
        <f t="shared" ref="S18:S19" si="7">SUM(O18:R18)</f>
        <v>315023.19</v>
      </c>
      <c r="T18" s="6">
        <v>72886.41</v>
      </c>
      <c r="U18" s="6">
        <v>74001.03</v>
      </c>
      <c r="V18" s="6">
        <v>78714.38</v>
      </c>
      <c r="W18" s="6">
        <v>83572.28</v>
      </c>
      <c r="X18" s="6">
        <v>309174.09999999998</v>
      </c>
      <c r="Y18" s="6">
        <v>87879.51</v>
      </c>
    </row>
    <row r="19" spans="2:25" ht="14.25" customHeight="1" x14ac:dyDescent="0.35">
      <c r="B19" s="7" t="s">
        <v>83</v>
      </c>
      <c r="C19" s="6">
        <v>59831.56</v>
      </c>
      <c r="D19" s="6">
        <v>62818.64</v>
      </c>
      <c r="E19" s="6">
        <v>49788.55</v>
      </c>
      <c r="F19" s="6">
        <v>44176.47</v>
      </c>
      <c r="G19" s="6">
        <v>52205.03</v>
      </c>
      <c r="H19" s="6">
        <v>61151.16</v>
      </c>
      <c r="I19" s="6">
        <v>207321.21</v>
      </c>
      <c r="J19" s="6">
        <v>94668.26</v>
      </c>
      <c r="K19" s="6">
        <v>82784.84</v>
      </c>
      <c r="L19" s="6">
        <v>88707.58</v>
      </c>
      <c r="M19" s="6">
        <v>91196.81</v>
      </c>
      <c r="N19" s="6">
        <v>357357.49</v>
      </c>
      <c r="O19" s="6">
        <v>131083.13</v>
      </c>
      <c r="P19" s="6">
        <v>141655.09999999998</v>
      </c>
      <c r="Q19" s="6">
        <v>133208.68</v>
      </c>
      <c r="R19" s="6">
        <v>129293.05</v>
      </c>
      <c r="S19" s="6">
        <f t="shared" si="7"/>
        <v>535239.96</v>
      </c>
      <c r="T19" s="6">
        <v>131476.12</v>
      </c>
      <c r="U19" s="6">
        <v>161828</v>
      </c>
      <c r="V19" s="6">
        <v>137846.54</v>
      </c>
      <c r="W19" s="6">
        <v>116889.61000000002</v>
      </c>
      <c r="X19" s="6">
        <v>548040.27</v>
      </c>
      <c r="Y19" s="6">
        <v>186654.91999999998</v>
      </c>
    </row>
    <row r="20" spans="2:25" ht="14.25" customHeight="1" x14ac:dyDescent="0.35">
      <c r="B20" s="6" t="s">
        <v>84</v>
      </c>
      <c r="C20" s="6">
        <v>2832.8</v>
      </c>
      <c r="D20" s="6">
        <v>7492</v>
      </c>
      <c r="E20" s="6">
        <v>3894.51</v>
      </c>
      <c r="F20" s="6">
        <v>3368.31</v>
      </c>
      <c r="G20" s="6">
        <v>3911.12</v>
      </c>
      <c r="H20" s="6">
        <v>4330.49</v>
      </c>
      <c r="I20" s="6">
        <v>15504.429999999998</v>
      </c>
      <c r="J20" s="6">
        <v>7703.9800000000005</v>
      </c>
      <c r="K20" s="6">
        <v>8535.1</v>
      </c>
      <c r="L20" s="6">
        <v>8782.81</v>
      </c>
      <c r="M20" s="6">
        <v>8515.4799999999959</v>
      </c>
      <c r="N20" s="6">
        <v>33537.479999999996</v>
      </c>
      <c r="O20" s="6">
        <v>10622.259999999998</v>
      </c>
      <c r="P20" s="6">
        <v>11552.03</v>
      </c>
      <c r="Q20" s="6">
        <v>11715.8</v>
      </c>
      <c r="R20" s="6">
        <v>10729.779999999999</v>
      </c>
      <c r="S20" s="6">
        <f>SUM(O20:R20)</f>
        <v>44619.869999999995</v>
      </c>
      <c r="T20" s="6">
        <v>288439.08</v>
      </c>
      <c r="U20" s="6">
        <v>23098.05</v>
      </c>
      <c r="V20" s="6">
        <v>13754.02</v>
      </c>
      <c r="W20" s="6">
        <v>13163.02</v>
      </c>
      <c r="X20" s="6">
        <v>50015.090000000004</v>
      </c>
      <c r="Y20" s="6">
        <v>16383.740000000002</v>
      </c>
    </row>
    <row r="21" spans="2:25" ht="14.25" customHeight="1" thickBot="1" x14ac:dyDescent="0.4">
      <c r="B21" s="19"/>
      <c r="C21" s="40"/>
      <c r="D21" s="40"/>
      <c r="E21" s="40"/>
      <c r="F21" s="40"/>
      <c r="G21" s="40"/>
      <c r="H21" s="40"/>
      <c r="I21" s="40"/>
      <c r="J21" s="40"/>
      <c r="K21" s="40"/>
      <c r="L21" s="40"/>
      <c r="M21" s="40"/>
      <c r="N21" s="40"/>
      <c r="O21" s="40"/>
      <c r="P21" s="40"/>
      <c r="Q21" s="40"/>
      <c r="R21" s="40"/>
      <c r="S21" s="40"/>
      <c r="T21" s="40"/>
      <c r="U21" s="40"/>
      <c r="V21" s="40"/>
      <c r="W21" s="40"/>
      <c r="X21" s="40"/>
      <c r="Y21" s="40"/>
    </row>
    <row r="22" spans="2:25" ht="14.25" customHeight="1" thickBot="1" x14ac:dyDescent="0.4">
      <c r="B22" s="9" t="s">
        <v>331</v>
      </c>
      <c r="C22" s="10"/>
      <c r="D22" s="10"/>
      <c r="E22" s="10"/>
      <c r="F22" s="10"/>
      <c r="G22" s="10"/>
      <c r="H22" s="10"/>
      <c r="I22" s="10"/>
      <c r="J22" s="10"/>
      <c r="K22" s="10"/>
      <c r="L22" s="10"/>
      <c r="M22" s="10"/>
      <c r="N22" s="10"/>
      <c r="O22" s="10"/>
      <c r="P22" s="10"/>
      <c r="Q22" s="10"/>
      <c r="R22" s="10"/>
      <c r="S22" s="10"/>
      <c r="T22" s="10"/>
      <c r="U22" s="10"/>
      <c r="V22" s="10"/>
      <c r="W22" s="10"/>
      <c r="X22" s="10"/>
      <c r="Y22" s="10"/>
    </row>
    <row r="23" spans="2:25" ht="14.25" customHeight="1" x14ac:dyDescent="0.35">
      <c r="B23" s="5" t="s">
        <v>324</v>
      </c>
      <c r="C23" s="4">
        <f t="shared" ref="C23:U23" si="8">C24+C25</f>
        <v>233945.62167999998</v>
      </c>
      <c r="D23" s="4">
        <f t="shared" si="8"/>
        <v>456539.03858000005</v>
      </c>
      <c r="E23" s="4">
        <f t="shared" si="8"/>
        <v>182525.37059000001</v>
      </c>
      <c r="F23" s="4">
        <f t="shared" si="8"/>
        <v>187418.70570932512</v>
      </c>
      <c r="G23" s="4">
        <f t="shared" si="8"/>
        <v>272258</v>
      </c>
      <c r="H23" s="4">
        <f t="shared" si="8"/>
        <v>332081.41860000027</v>
      </c>
      <c r="I23" s="4">
        <f t="shared" si="8"/>
        <v>974244</v>
      </c>
      <c r="J23" s="4">
        <f t="shared" si="8"/>
        <v>379240</v>
      </c>
      <c r="K23" s="4">
        <f t="shared" si="8"/>
        <v>405919</v>
      </c>
      <c r="L23" s="4">
        <f t="shared" si="8"/>
        <v>596505.41997000028</v>
      </c>
      <c r="M23" s="4">
        <f t="shared" si="8"/>
        <v>741335.68901999923</v>
      </c>
      <c r="N23" s="4">
        <f t="shared" si="8"/>
        <v>2122996</v>
      </c>
      <c r="O23" s="4">
        <f t="shared" si="8"/>
        <v>883714</v>
      </c>
      <c r="P23" s="4">
        <f t="shared" si="8"/>
        <v>1050291</v>
      </c>
      <c r="Q23" s="4">
        <f t="shared" si="8"/>
        <v>1514665</v>
      </c>
      <c r="R23" s="4">
        <f t="shared" si="8"/>
        <v>1210367</v>
      </c>
      <c r="S23" s="4">
        <f t="shared" si="8"/>
        <v>4659042</v>
      </c>
      <c r="T23" s="4">
        <f t="shared" si="8"/>
        <v>1121579</v>
      </c>
      <c r="U23" s="4">
        <f t="shared" si="8"/>
        <v>1004221</v>
      </c>
      <c r="V23" s="4">
        <f>V24+V25</f>
        <v>990516</v>
      </c>
      <c r="W23" s="4">
        <f t="shared" ref="W23:Y23" si="9">W24+W25</f>
        <v>1234246</v>
      </c>
      <c r="X23" s="4">
        <f t="shared" si="9"/>
        <v>4350562</v>
      </c>
      <c r="Y23" s="4">
        <f t="shared" si="9"/>
        <v>1117041</v>
      </c>
    </row>
    <row r="24" spans="2:25" ht="14.25" customHeight="1" x14ac:dyDescent="0.35">
      <c r="B24" s="7" t="s">
        <v>85</v>
      </c>
      <c r="C24" s="6">
        <f>85.6973508*1000</f>
        <v>85697.3508</v>
      </c>
      <c r="D24" s="6">
        <v>327987.91621000005</v>
      </c>
      <c r="E24" s="6">
        <v>114666</v>
      </c>
      <c r="F24" s="6">
        <v>145187.80402522514</v>
      </c>
      <c r="G24" s="6">
        <v>182610</v>
      </c>
      <c r="H24" s="6">
        <v>168759.73560000036</v>
      </c>
      <c r="I24" s="6">
        <v>611184</v>
      </c>
      <c r="J24" s="6">
        <v>141935</v>
      </c>
      <c r="K24" s="6">
        <v>180381</v>
      </c>
      <c r="L24" s="45">
        <v>212368.46580999999</v>
      </c>
      <c r="M24" s="45">
        <v>261431.8441999997</v>
      </c>
      <c r="N24" s="45">
        <v>796074</v>
      </c>
      <c r="O24" s="45">
        <v>381684</v>
      </c>
      <c r="P24" s="45">
        <v>565034</v>
      </c>
      <c r="Q24" s="45">
        <v>777213</v>
      </c>
      <c r="R24" s="45">
        <v>515040</v>
      </c>
      <c r="S24" s="6">
        <v>2238970</v>
      </c>
      <c r="T24" s="6">
        <v>564694</v>
      </c>
      <c r="U24" s="45">
        <v>644486</v>
      </c>
      <c r="V24" s="45">
        <v>530596</v>
      </c>
      <c r="W24" s="45">
        <v>765244</v>
      </c>
      <c r="X24" s="45">
        <v>2505020</v>
      </c>
      <c r="Y24" s="45">
        <v>694899</v>
      </c>
    </row>
    <row r="25" spans="2:25" ht="14.25" customHeight="1" x14ac:dyDescent="0.35">
      <c r="B25" s="7" t="s">
        <v>86</v>
      </c>
      <c r="C25" s="6">
        <f>148.24827088*1000</f>
        <v>148248.27088</v>
      </c>
      <c r="D25" s="6">
        <v>128551.12237000001</v>
      </c>
      <c r="E25" s="6">
        <v>67859.370589999991</v>
      </c>
      <c r="F25" s="6">
        <v>42230.901684099983</v>
      </c>
      <c r="G25" s="6">
        <v>89648</v>
      </c>
      <c r="H25" s="6">
        <v>163321.6829999999</v>
      </c>
      <c r="I25" s="6">
        <v>363060</v>
      </c>
      <c r="J25" s="6">
        <v>237305</v>
      </c>
      <c r="K25" s="6">
        <v>225538</v>
      </c>
      <c r="L25" s="45">
        <v>384136.95416000026</v>
      </c>
      <c r="M25" s="45">
        <v>479903.84481999953</v>
      </c>
      <c r="N25" s="45">
        <v>1326922</v>
      </c>
      <c r="O25" s="45">
        <v>502030</v>
      </c>
      <c r="P25" s="45">
        <v>485257</v>
      </c>
      <c r="Q25" s="45">
        <v>737452</v>
      </c>
      <c r="R25" s="45">
        <v>695327</v>
      </c>
      <c r="S25" s="6">
        <v>2420072</v>
      </c>
      <c r="T25" s="6">
        <v>556885</v>
      </c>
      <c r="U25" s="45">
        <v>359735</v>
      </c>
      <c r="V25" s="45">
        <v>459920</v>
      </c>
      <c r="W25" s="45">
        <v>469002</v>
      </c>
      <c r="X25" s="45">
        <v>1845542</v>
      </c>
      <c r="Y25" s="45">
        <v>422142</v>
      </c>
    </row>
    <row r="26" spans="2:25" ht="14.25" customHeight="1" x14ac:dyDescent="0.35">
      <c r="B26" s="5" t="s">
        <v>325</v>
      </c>
      <c r="C26" s="4">
        <f t="shared" ref="C26:V26" si="10">SUM(C27:C30)</f>
        <v>29347.841780000002</v>
      </c>
      <c r="D26" s="4">
        <f t="shared" si="10"/>
        <v>78352.003899999996</v>
      </c>
      <c r="E26" s="4">
        <f t="shared" si="10"/>
        <v>37657.985315029982</v>
      </c>
      <c r="F26" s="4">
        <f t="shared" si="10"/>
        <v>38304.104010234405</v>
      </c>
      <c r="G26" s="4">
        <f t="shared" si="10"/>
        <v>44344</v>
      </c>
      <c r="H26" s="4">
        <f t="shared" si="10"/>
        <v>50767.712459999981</v>
      </c>
      <c r="I26" s="4">
        <f t="shared" si="10"/>
        <v>171073.80178526434</v>
      </c>
      <c r="J26" s="4">
        <f t="shared" si="10"/>
        <v>105456</v>
      </c>
      <c r="K26" s="4">
        <f t="shared" si="10"/>
        <v>139870</v>
      </c>
      <c r="L26" s="4">
        <f t="shared" si="10"/>
        <v>168008.12561999998</v>
      </c>
      <c r="M26" s="4">
        <f t="shared" si="10"/>
        <v>184414.29784999997</v>
      </c>
      <c r="N26" s="4">
        <f t="shared" si="10"/>
        <v>597750</v>
      </c>
      <c r="O26" s="4">
        <f t="shared" si="10"/>
        <v>278736</v>
      </c>
      <c r="P26" s="4">
        <f t="shared" si="10"/>
        <v>305081</v>
      </c>
      <c r="Q26" s="4">
        <f t="shared" si="10"/>
        <v>295668</v>
      </c>
      <c r="R26" s="4">
        <f t="shared" si="10"/>
        <v>334087</v>
      </c>
      <c r="S26" s="4">
        <f>SUM(S27:S30)</f>
        <v>1213571</v>
      </c>
      <c r="T26" s="4">
        <f t="shared" si="10"/>
        <v>338873</v>
      </c>
      <c r="U26" s="4">
        <f t="shared" si="10"/>
        <v>404629</v>
      </c>
      <c r="V26" s="4">
        <f t="shared" si="10"/>
        <v>362022</v>
      </c>
      <c r="W26" s="4">
        <f t="shared" ref="W26:Y26" si="11">SUM(W27:W30)</f>
        <v>362109</v>
      </c>
      <c r="X26" s="4">
        <f t="shared" si="11"/>
        <v>1467633</v>
      </c>
      <c r="Y26" s="4">
        <f t="shared" si="11"/>
        <v>370132</v>
      </c>
    </row>
    <row r="27" spans="2:25" ht="14.25" customHeight="1" x14ac:dyDescent="0.35">
      <c r="B27" s="7" t="s">
        <v>87</v>
      </c>
      <c r="C27" s="6">
        <f>15.29983774*1000</f>
        <v>15299.837739999999</v>
      </c>
      <c r="D27" s="6">
        <v>37367.780789999997</v>
      </c>
      <c r="E27" s="6">
        <v>19025.494236279988</v>
      </c>
      <c r="F27" s="6">
        <v>17177.047983400003</v>
      </c>
      <c r="G27" s="6">
        <v>20911</v>
      </c>
      <c r="H27" s="6">
        <v>25453.499630000006</v>
      </c>
      <c r="I27" s="6">
        <v>82567.041849679998</v>
      </c>
      <c r="J27" s="6">
        <v>52038</v>
      </c>
      <c r="K27" s="6">
        <v>77626</v>
      </c>
      <c r="L27" s="45">
        <v>86199.273029999997</v>
      </c>
      <c r="M27" s="45">
        <v>93783.864899999957</v>
      </c>
      <c r="N27" s="45">
        <v>309648</v>
      </c>
      <c r="O27" s="45">
        <v>162389</v>
      </c>
      <c r="P27" s="45">
        <v>158790</v>
      </c>
      <c r="Q27" s="45">
        <v>136580</v>
      </c>
      <c r="R27" s="45">
        <v>163382</v>
      </c>
      <c r="S27" s="6">
        <v>621141</v>
      </c>
      <c r="T27" s="6">
        <v>142589</v>
      </c>
      <c r="U27" s="45">
        <v>163713</v>
      </c>
      <c r="V27" s="45">
        <v>151491</v>
      </c>
      <c r="W27" s="45">
        <v>165458</v>
      </c>
      <c r="X27" s="45">
        <v>623251</v>
      </c>
      <c r="Y27" s="45">
        <v>156563</v>
      </c>
    </row>
    <row r="28" spans="2:25" ht="14.25" customHeight="1" x14ac:dyDescent="0.35">
      <c r="B28" s="7" t="s">
        <v>88</v>
      </c>
      <c r="C28" s="6">
        <f>7.58341023*1000</f>
        <v>7583.4102300000004</v>
      </c>
      <c r="D28" s="6">
        <v>19925.109980000001</v>
      </c>
      <c r="E28" s="6">
        <v>10009.763848124996</v>
      </c>
      <c r="F28" s="6">
        <v>11009.431141749999</v>
      </c>
      <c r="G28" s="6">
        <v>11302</v>
      </c>
      <c r="H28" s="6">
        <v>14794.691119999989</v>
      </c>
      <c r="I28" s="6">
        <v>47115.886109874984</v>
      </c>
      <c r="J28" s="6">
        <v>26940</v>
      </c>
      <c r="K28" s="6">
        <v>31423</v>
      </c>
      <c r="L28" s="45">
        <v>32492.978349999983</v>
      </c>
      <c r="M28" s="45">
        <v>38077.849990000046</v>
      </c>
      <c r="N28" s="45">
        <v>128934</v>
      </c>
      <c r="O28" s="45">
        <v>42381</v>
      </c>
      <c r="P28" s="45">
        <v>58988</v>
      </c>
      <c r="Q28" s="45">
        <v>65810</v>
      </c>
      <c r="R28" s="45">
        <v>79223</v>
      </c>
      <c r="S28" s="6">
        <v>246401</v>
      </c>
      <c r="T28" s="6">
        <v>85911</v>
      </c>
      <c r="U28" s="45">
        <v>95657</v>
      </c>
      <c r="V28" s="45">
        <v>85675</v>
      </c>
      <c r="W28" s="45">
        <v>86991</v>
      </c>
      <c r="X28" s="45">
        <v>354234</v>
      </c>
      <c r="Y28" s="45">
        <v>93017</v>
      </c>
    </row>
    <row r="29" spans="2:25" ht="14.25" customHeight="1" x14ac:dyDescent="0.35">
      <c r="B29" s="7" t="s">
        <v>89</v>
      </c>
      <c r="C29" s="6">
        <f>3.01612557*1000</f>
        <v>3016.1255699999997</v>
      </c>
      <c r="D29" s="6">
        <v>8736.9156700000021</v>
      </c>
      <c r="E29" s="6">
        <v>2119.9617266250007</v>
      </c>
      <c r="F29" s="6">
        <v>4304.8394312500013</v>
      </c>
      <c r="G29" s="6">
        <v>5065</v>
      </c>
      <c r="H29" s="6">
        <v>5841.7761699999937</v>
      </c>
      <c r="I29" s="6">
        <v>17331.577327874995</v>
      </c>
      <c r="J29" s="6">
        <v>10243</v>
      </c>
      <c r="K29" s="6">
        <v>8500</v>
      </c>
      <c r="L29" s="45">
        <v>9985.9595700000009</v>
      </c>
      <c r="M29" s="45">
        <v>14518.841819999994</v>
      </c>
      <c r="N29" s="45">
        <v>43248</v>
      </c>
      <c r="O29" s="45">
        <v>21682</v>
      </c>
      <c r="P29" s="45">
        <v>24611</v>
      </c>
      <c r="Q29" s="45">
        <v>22987</v>
      </c>
      <c r="R29" s="45">
        <v>24484</v>
      </c>
      <c r="S29" s="6">
        <v>93763</v>
      </c>
      <c r="T29" s="6">
        <v>45915</v>
      </c>
      <c r="U29" s="45">
        <v>58963</v>
      </c>
      <c r="V29" s="45">
        <v>49852</v>
      </c>
      <c r="W29" s="45">
        <v>39375</v>
      </c>
      <c r="X29" s="45">
        <v>194105</v>
      </c>
      <c r="Y29" s="45">
        <v>59553</v>
      </c>
    </row>
    <row r="30" spans="2:25" ht="14.25" customHeight="1" x14ac:dyDescent="0.35">
      <c r="B30" s="25" t="s">
        <v>90</v>
      </c>
      <c r="C30" s="6">
        <f>3.44846824*1000</f>
        <v>3448.4682400000002</v>
      </c>
      <c r="D30" s="6">
        <v>12322.197459999994</v>
      </c>
      <c r="E30" s="6">
        <v>6502.7655039999981</v>
      </c>
      <c r="F30" s="6">
        <v>5812.7854538344009</v>
      </c>
      <c r="G30" s="6">
        <v>7066</v>
      </c>
      <c r="H30" s="6">
        <v>4677.7455399999926</v>
      </c>
      <c r="I30" s="6">
        <v>24059.296497834392</v>
      </c>
      <c r="J30" s="6">
        <v>16235</v>
      </c>
      <c r="K30" s="6">
        <v>22321</v>
      </c>
      <c r="L30" s="45">
        <v>39329.914670000006</v>
      </c>
      <c r="M30" s="45">
        <v>38033.741139999969</v>
      </c>
      <c r="N30" s="45">
        <v>115920</v>
      </c>
      <c r="O30" s="45">
        <v>52284</v>
      </c>
      <c r="P30" s="45">
        <v>62692</v>
      </c>
      <c r="Q30" s="45">
        <v>70291</v>
      </c>
      <c r="R30" s="45">
        <v>66998</v>
      </c>
      <c r="S30" s="6">
        <v>252266</v>
      </c>
      <c r="T30" s="6">
        <v>64458</v>
      </c>
      <c r="U30" s="45">
        <v>86296</v>
      </c>
      <c r="V30" s="45">
        <v>75004</v>
      </c>
      <c r="W30" s="45">
        <v>70285</v>
      </c>
      <c r="X30" s="45">
        <v>296043</v>
      </c>
      <c r="Y30" s="45">
        <v>60999</v>
      </c>
    </row>
    <row r="31" spans="2:25" ht="14.25" customHeight="1" x14ac:dyDescent="0.35">
      <c r="B31" s="5" t="s">
        <v>326</v>
      </c>
      <c r="C31" s="4">
        <v>5687</v>
      </c>
      <c r="D31" s="4">
        <f>SUM(D32:D33)</f>
        <v>9925.0835200000001</v>
      </c>
      <c r="E31" s="4">
        <f t="shared" ref="E31:Y31" si="12">SUM(E32:E33)</f>
        <v>3562.5960200000009</v>
      </c>
      <c r="F31" s="4">
        <f t="shared" si="12"/>
        <v>3701.1235499999998</v>
      </c>
      <c r="G31" s="4">
        <f t="shared" si="12"/>
        <v>4857</v>
      </c>
      <c r="H31" s="4">
        <f t="shared" si="12"/>
        <v>6824.2848399999957</v>
      </c>
      <c r="I31" s="4">
        <f t="shared" si="12"/>
        <v>18944.756529999999</v>
      </c>
      <c r="J31" s="4">
        <f t="shared" si="12"/>
        <v>6247.19625</v>
      </c>
      <c r="K31" s="4">
        <f t="shared" si="12"/>
        <v>7309.2668899999999</v>
      </c>
      <c r="L31" s="4">
        <f t="shared" si="12"/>
        <v>12100.055649999998</v>
      </c>
      <c r="M31" s="4">
        <f t="shared" si="12"/>
        <v>8397.8926599999977</v>
      </c>
      <c r="N31" s="4">
        <f t="shared" si="12"/>
        <v>34060.217189999996</v>
      </c>
      <c r="O31" s="4">
        <f t="shared" si="12"/>
        <v>8177.74208</v>
      </c>
      <c r="P31" s="4">
        <f t="shared" si="12"/>
        <v>18592.659189040001</v>
      </c>
      <c r="Q31" s="4">
        <f t="shared" si="12"/>
        <v>14622</v>
      </c>
      <c r="R31" s="4">
        <f t="shared" si="12"/>
        <v>11341</v>
      </c>
      <c r="S31" s="4">
        <f t="shared" si="12"/>
        <v>52731</v>
      </c>
      <c r="T31" s="4">
        <f t="shared" si="12"/>
        <v>3926.171699999999</v>
      </c>
      <c r="U31" s="4">
        <f t="shared" si="12"/>
        <v>3551.6184500000004</v>
      </c>
      <c r="V31" s="4">
        <f t="shared" si="12"/>
        <v>7099.9489199999989</v>
      </c>
      <c r="W31" s="4">
        <f t="shared" si="12"/>
        <v>5395.7278800000004</v>
      </c>
      <c r="X31" s="4">
        <f t="shared" si="12"/>
        <v>19973.466949999998</v>
      </c>
      <c r="Y31" s="4">
        <f t="shared" si="12"/>
        <v>5956</v>
      </c>
    </row>
    <row r="32" spans="2:25" ht="14.25" customHeight="1" x14ac:dyDescent="0.35">
      <c r="B32" s="7" t="s">
        <v>327</v>
      </c>
      <c r="C32" s="45">
        <v>0</v>
      </c>
      <c r="D32" s="45">
        <v>9925.0835200000001</v>
      </c>
      <c r="E32" s="45">
        <v>3158.5960200000009</v>
      </c>
      <c r="F32" s="45">
        <v>2976.9988599999997</v>
      </c>
      <c r="G32" s="45">
        <v>3941</v>
      </c>
      <c r="H32" s="45">
        <v>5778.6529999999966</v>
      </c>
      <c r="I32" s="45">
        <v>15855</v>
      </c>
      <c r="J32" s="45">
        <v>5375</v>
      </c>
      <c r="K32" s="45">
        <v>6163</v>
      </c>
      <c r="L32" s="45">
        <v>10957.489959999999</v>
      </c>
      <c r="M32" s="45">
        <v>7438.675470000002</v>
      </c>
      <c r="N32" s="45">
        <v>29936</v>
      </c>
      <c r="O32" s="45">
        <v>7490</v>
      </c>
      <c r="P32" s="45">
        <v>17866</v>
      </c>
      <c r="Q32" s="45">
        <v>13609</v>
      </c>
      <c r="R32" s="45">
        <v>10760</v>
      </c>
      <c r="S32" s="6">
        <v>49725</v>
      </c>
      <c r="T32" s="6">
        <v>2969.171699999999</v>
      </c>
      <c r="U32" s="45">
        <v>2399.6184500000004</v>
      </c>
      <c r="V32" s="45">
        <v>6055.9489199999989</v>
      </c>
      <c r="W32" s="45">
        <v>4570.7278800000004</v>
      </c>
      <c r="X32" s="45">
        <v>15995.466949999998</v>
      </c>
      <c r="Y32" s="45">
        <v>4580</v>
      </c>
    </row>
    <row r="33" spans="2:25" ht="14.25" customHeight="1" x14ac:dyDescent="0.35">
      <c r="B33" s="7" t="s">
        <v>173</v>
      </c>
      <c r="C33" s="45">
        <v>0</v>
      </c>
      <c r="D33" s="45">
        <v>0</v>
      </c>
      <c r="E33" s="45">
        <v>404</v>
      </c>
      <c r="F33" s="45">
        <v>724.1246900000001</v>
      </c>
      <c r="G33" s="45">
        <v>916</v>
      </c>
      <c r="H33" s="45">
        <v>1045.6318399999991</v>
      </c>
      <c r="I33" s="45">
        <v>3089.7565299999992</v>
      </c>
      <c r="J33" s="45">
        <v>872.19624999999996</v>
      </c>
      <c r="K33" s="45">
        <v>1146.2668900000001</v>
      </c>
      <c r="L33" s="45">
        <v>1142.5656900000001</v>
      </c>
      <c r="M33" s="45">
        <v>959.21718999999575</v>
      </c>
      <c r="N33" s="45">
        <v>4124.2171899999958</v>
      </c>
      <c r="O33" s="45">
        <v>687.74207999999999</v>
      </c>
      <c r="P33" s="45">
        <v>726.65918904</v>
      </c>
      <c r="Q33" s="45">
        <v>1013</v>
      </c>
      <c r="R33" s="45">
        <v>581</v>
      </c>
      <c r="S33" s="6">
        <v>3006</v>
      </c>
      <c r="T33" s="6">
        <v>957</v>
      </c>
      <c r="U33" s="45">
        <v>1152</v>
      </c>
      <c r="V33" s="45">
        <v>1044</v>
      </c>
      <c r="W33" s="45">
        <v>825</v>
      </c>
      <c r="X33" s="45">
        <v>3978</v>
      </c>
      <c r="Y33" s="45">
        <v>1376</v>
      </c>
    </row>
    <row r="34" spans="2:25" ht="14.25" customHeight="1" x14ac:dyDescent="0.35">
      <c r="B34" s="5" t="s">
        <v>91</v>
      </c>
      <c r="C34" s="4">
        <f t="shared" ref="C34:X34" si="13">C31+C26+C23</f>
        <v>268980.46346</v>
      </c>
      <c r="D34" s="4">
        <f t="shared" si="13"/>
        <v>544816.12600000005</v>
      </c>
      <c r="E34" s="4">
        <f t="shared" si="13"/>
        <v>223745.95192502998</v>
      </c>
      <c r="F34" s="4">
        <f t="shared" si="13"/>
        <v>229423.93326955952</v>
      </c>
      <c r="G34" s="4">
        <f t="shared" si="13"/>
        <v>321459</v>
      </c>
      <c r="H34" s="4">
        <f t="shared" si="13"/>
        <v>389673.41590000025</v>
      </c>
      <c r="I34" s="4">
        <f t="shared" si="13"/>
        <v>1164262.5583152643</v>
      </c>
      <c r="J34" s="4">
        <f t="shared" si="13"/>
        <v>490943.19624999998</v>
      </c>
      <c r="K34" s="4">
        <f t="shared" si="13"/>
        <v>553098.26688999997</v>
      </c>
      <c r="L34" s="4">
        <f t="shared" si="13"/>
        <v>776613.60124000022</v>
      </c>
      <c r="M34" s="4">
        <f t="shared" si="13"/>
        <v>934147.87952999922</v>
      </c>
      <c r="N34" s="4">
        <f t="shared" si="13"/>
        <v>2754806.2171900002</v>
      </c>
      <c r="O34" s="4">
        <f t="shared" si="13"/>
        <v>1170627.74208</v>
      </c>
      <c r="P34" s="4">
        <f t="shared" si="13"/>
        <v>1373964.6591890401</v>
      </c>
      <c r="Q34" s="4">
        <f t="shared" si="13"/>
        <v>1824955</v>
      </c>
      <c r="R34" s="4">
        <f t="shared" si="13"/>
        <v>1555795</v>
      </c>
      <c r="S34" s="4">
        <f t="shared" si="13"/>
        <v>5925344</v>
      </c>
      <c r="T34" s="4">
        <f t="shared" si="13"/>
        <v>1464378.1717000001</v>
      </c>
      <c r="U34" s="4">
        <f t="shared" si="13"/>
        <v>1412401.61845</v>
      </c>
      <c r="V34" s="4">
        <f t="shared" si="13"/>
        <v>1359637.9489199999</v>
      </c>
      <c r="W34" s="4">
        <f t="shared" si="13"/>
        <v>1601750.7278800001</v>
      </c>
      <c r="X34" s="4">
        <f t="shared" si="13"/>
        <v>5838168.4669500003</v>
      </c>
      <c r="Y34" s="4">
        <f>Y31+Y26+Y23</f>
        <v>1493129</v>
      </c>
    </row>
    <row r="35" spans="2:25" ht="14.25" customHeight="1" thickBot="1" x14ac:dyDescent="0.4">
      <c r="B35" s="5"/>
      <c r="C35" s="4"/>
      <c r="D35" s="4"/>
      <c r="E35" s="4"/>
      <c r="F35" s="4"/>
      <c r="G35" s="4"/>
      <c r="H35" s="4"/>
      <c r="I35" s="4"/>
      <c r="J35" s="4"/>
      <c r="K35" s="4"/>
      <c r="L35" s="4"/>
      <c r="M35" s="4"/>
      <c r="N35" s="4"/>
      <c r="O35" s="4"/>
      <c r="P35" s="4"/>
      <c r="Q35" s="4"/>
      <c r="R35" s="4"/>
      <c r="S35" s="4"/>
      <c r="T35" s="4"/>
      <c r="U35" s="4"/>
      <c r="V35" s="4"/>
      <c r="W35" s="4"/>
      <c r="X35" s="4"/>
      <c r="Y35" s="4"/>
    </row>
    <row r="36" spans="2:25" ht="14.25" customHeight="1" thickBot="1" x14ac:dyDescent="0.4">
      <c r="B36" s="9" t="s">
        <v>332</v>
      </c>
      <c r="C36" s="10"/>
      <c r="D36" s="10"/>
      <c r="E36" s="10"/>
      <c r="F36" s="10"/>
      <c r="G36" s="10"/>
      <c r="H36" s="10"/>
      <c r="I36" s="10"/>
      <c r="J36" s="10"/>
      <c r="K36" s="10"/>
      <c r="L36" s="10"/>
      <c r="M36" s="10"/>
      <c r="N36" s="10"/>
      <c r="O36" s="10"/>
      <c r="P36" s="10"/>
      <c r="Q36" s="10"/>
      <c r="R36" s="10"/>
      <c r="S36" s="10"/>
      <c r="T36" s="10"/>
      <c r="U36" s="10"/>
      <c r="V36" s="10"/>
      <c r="W36" s="10"/>
      <c r="X36" s="10"/>
      <c r="Y36" s="10"/>
    </row>
    <row r="37" spans="2:25" ht="14.25" customHeight="1" x14ac:dyDescent="0.35">
      <c r="B37" s="6" t="s">
        <v>328</v>
      </c>
      <c r="C37" s="45">
        <v>0</v>
      </c>
      <c r="D37" s="45">
        <v>0</v>
      </c>
      <c r="E37" s="45">
        <v>0</v>
      </c>
      <c r="F37" s="45">
        <v>0</v>
      </c>
      <c r="G37" s="45">
        <v>0</v>
      </c>
      <c r="H37" s="45">
        <v>6654.8993099999998</v>
      </c>
      <c r="I37" s="45">
        <v>6654.8993099999998</v>
      </c>
      <c r="J37" s="45">
        <f>70835.94593</f>
        <v>70835.945930000002</v>
      </c>
      <c r="K37" s="45">
        <f>49013.0907600001</f>
        <v>49013.090760000101</v>
      </c>
      <c r="L37" s="45">
        <v>0</v>
      </c>
      <c r="M37" s="45">
        <v>0</v>
      </c>
      <c r="N37" s="45">
        <f>SUM(J37:M37)</f>
        <v>119849.0366900001</v>
      </c>
      <c r="O37" s="45">
        <v>38257.985249999976</v>
      </c>
      <c r="P37" s="45">
        <v>49124.53231000001</v>
      </c>
      <c r="Q37" s="45">
        <v>78850</v>
      </c>
      <c r="R37" s="45">
        <v>119400</v>
      </c>
      <c r="S37" s="45">
        <v>285632</v>
      </c>
      <c r="T37" s="45">
        <v>254659</v>
      </c>
      <c r="U37" s="45">
        <v>283857</v>
      </c>
      <c r="V37" s="45">
        <v>326855</v>
      </c>
      <c r="W37" s="45">
        <v>69880</v>
      </c>
      <c r="X37" s="45">
        <v>935251</v>
      </c>
      <c r="Y37" s="45">
        <v>114958</v>
      </c>
    </row>
    <row r="38" spans="2:25" ht="14.25" customHeight="1" x14ac:dyDescent="0.35">
      <c r="B38" s="6" t="s">
        <v>329</v>
      </c>
      <c r="C38" s="45">
        <v>0</v>
      </c>
      <c r="D38" s="45">
        <v>0</v>
      </c>
      <c r="E38" s="45">
        <v>0</v>
      </c>
      <c r="F38" s="45">
        <v>0</v>
      </c>
      <c r="G38" s="45">
        <v>0</v>
      </c>
      <c r="H38" s="45">
        <v>0</v>
      </c>
      <c r="I38" s="45">
        <v>0</v>
      </c>
      <c r="J38" s="45">
        <v>0</v>
      </c>
      <c r="K38" s="45">
        <v>0</v>
      </c>
      <c r="L38" s="45">
        <v>0</v>
      </c>
      <c r="M38" s="45">
        <v>0</v>
      </c>
      <c r="N38" s="45">
        <v>0</v>
      </c>
      <c r="O38" s="45">
        <v>0</v>
      </c>
      <c r="P38" s="45">
        <v>0</v>
      </c>
      <c r="Q38" s="45">
        <v>0</v>
      </c>
      <c r="R38" s="45">
        <v>0</v>
      </c>
      <c r="S38" s="45">
        <v>0</v>
      </c>
      <c r="T38" s="45">
        <v>3962.828300000001</v>
      </c>
      <c r="U38" s="45">
        <v>9135.2281899999998</v>
      </c>
      <c r="V38" s="45">
        <v>6284.0380700000005</v>
      </c>
      <c r="W38" s="45">
        <v>7410.6230000000014</v>
      </c>
      <c r="X38" s="45">
        <v>26792.717560000001</v>
      </c>
      <c r="Y38" s="45">
        <v>3380</v>
      </c>
    </row>
    <row r="39" spans="2:25" ht="14.25" customHeight="1" x14ac:dyDescent="0.35">
      <c r="B39" s="5" t="s">
        <v>91</v>
      </c>
      <c r="C39" s="4">
        <f>SUM(C37:C38)</f>
        <v>0</v>
      </c>
      <c r="D39" s="4">
        <f t="shared" ref="D39:Y39" si="14">SUM(D37:D38)</f>
        <v>0</v>
      </c>
      <c r="E39" s="4">
        <f t="shared" si="14"/>
        <v>0</v>
      </c>
      <c r="F39" s="4">
        <f t="shared" si="14"/>
        <v>0</v>
      </c>
      <c r="G39" s="4">
        <f t="shared" si="14"/>
        <v>0</v>
      </c>
      <c r="H39" s="4">
        <f t="shared" si="14"/>
        <v>6654.8993099999998</v>
      </c>
      <c r="I39" s="4">
        <f t="shared" si="14"/>
        <v>6654.8993099999998</v>
      </c>
      <c r="J39" s="4">
        <f t="shared" si="14"/>
        <v>70835.945930000002</v>
      </c>
      <c r="K39" s="4">
        <f t="shared" si="14"/>
        <v>49013.090760000101</v>
      </c>
      <c r="L39" s="4">
        <f t="shared" si="14"/>
        <v>0</v>
      </c>
      <c r="M39" s="4">
        <f t="shared" si="14"/>
        <v>0</v>
      </c>
      <c r="N39" s="4">
        <f t="shared" si="14"/>
        <v>119849.0366900001</v>
      </c>
      <c r="O39" s="4">
        <f t="shared" si="14"/>
        <v>38257.985249999976</v>
      </c>
      <c r="P39" s="4">
        <f t="shared" si="14"/>
        <v>49124.53231000001</v>
      </c>
      <c r="Q39" s="4">
        <f t="shared" si="14"/>
        <v>78850</v>
      </c>
      <c r="R39" s="4">
        <f t="shared" si="14"/>
        <v>119400</v>
      </c>
      <c r="S39" s="4">
        <f t="shared" si="14"/>
        <v>285632</v>
      </c>
      <c r="T39" s="4">
        <f t="shared" si="14"/>
        <v>258621.82829999999</v>
      </c>
      <c r="U39" s="4">
        <f t="shared" si="14"/>
        <v>292992.22818999999</v>
      </c>
      <c r="V39" s="4">
        <f t="shared" si="14"/>
        <v>333139.03807000001</v>
      </c>
      <c r="W39" s="4">
        <f t="shared" si="14"/>
        <v>77290.623000000007</v>
      </c>
      <c r="X39" s="4">
        <f t="shared" si="14"/>
        <v>962043.71756000002</v>
      </c>
      <c r="Y39" s="4">
        <f t="shared" si="14"/>
        <v>118338</v>
      </c>
    </row>
    <row r="40" spans="2:25" ht="14.25" customHeight="1" thickBot="1" x14ac:dyDescent="0.4">
      <c r="B40" s="5"/>
      <c r="C40" s="4"/>
      <c r="D40" s="4"/>
      <c r="E40" s="4"/>
      <c r="F40" s="4"/>
      <c r="G40" s="4"/>
      <c r="H40" s="4"/>
      <c r="I40" s="4"/>
      <c r="J40" s="4"/>
      <c r="K40" s="4"/>
      <c r="L40" s="4"/>
      <c r="M40" s="4"/>
      <c r="N40" s="4"/>
      <c r="O40" s="4"/>
      <c r="P40" s="4"/>
      <c r="Q40" s="4"/>
      <c r="R40" s="4"/>
      <c r="S40" s="4"/>
      <c r="T40" s="4"/>
      <c r="U40" s="4"/>
      <c r="V40" s="4"/>
      <c r="W40" s="4"/>
      <c r="X40" s="4"/>
      <c r="Y40" s="4"/>
    </row>
    <row r="41" spans="2:25" ht="14.25" customHeight="1" thickBot="1" x14ac:dyDescent="0.4">
      <c r="B41" s="9" t="s">
        <v>330</v>
      </c>
      <c r="C41" s="10"/>
      <c r="D41" s="10"/>
      <c r="E41" s="10"/>
      <c r="F41" s="10"/>
      <c r="G41" s="10"/>
      <c r="H41" s="10"/>
      <c r="I41" s="10"/>
      <c r="J41" s="10"/>
      <c r="K41" s="10"/>
      <c r="L41" s="10"/>
      <c r="M41" s="10"/>
      <c r="N41" s="10"/>
      <c r="O41" s="10"/>
      <c r="P41" s="10"/>
      <c r="Q41" s="10"/>
      <c r="R41" s="10"/>
      <c r="S41" s="10"/>
      <c r="T41" s="10"/>
      <c r="U41" s="10"/>
      <c r="V41" s="10"/>
      <c r="W41" s="10"/>
      <c r="X41" s="10"/>
      <c r="Y41" s="10"/>
    </row>
    <row r="42" spans="2:25" ht="14.25" customHeight="1" x14ac:dyDescent="0.35">
      <c r="B42" s="6" t="s">
        <v>333</v>
      </c>
      <c r="C42" s="45">
        <v>16659</v>
      </c>
      <c r="D42" s="45">
        <v>20469.394109999997</v>
      </c>
      <c r="E42" s="45">
        <v>10784.868492425001</v>
      </c>
      <c r="F42" s="45">
        <v>12603.560758275</v>
      </c>
      <c r="G42" s="45">
        <v>18453</v>
      </c>
      <c r="H42" s="45">
        <v>19061.157730000006</v>
      </c>
      <c r="I42" s="45">
        <v>60902.586980700005</v>
      </c>
      <c r="J42" s="45">
        <v>48391</v>
      </c>
      <c r="K42" s="45">
        <v>59644</v>
      </c>
      <c r="L42" s="45">
        <v>62701.003619999996</v>
      </c>
      <c r="M42" s="45">
        <v>62315.999630000006</v>
      </c>
      <c r="N42" s="45">
        <v>233051</v>
      </c>
      <c r="O42" s="45">
        <v>85723</v>
      </c>
      <c r="P42" s="45">
        <v>97223</v>
      </c>
      <c r="Q42" s="45">
        <v>111793</v>
      </c>
      <c r="R42" s="45">
        <v>129588</v>
      </c>
      <c r="S42" s="45">
        <v>424326</v>
      </c>
      <c r="T42" s="45">
        <v>103896</v>
      </c>
      <c r="U42" s="45">
        <v>145521.86297000002</v>
      </c>
      <c r="V42" s="45">
        <v>140225.08849000002</v>
      </c>
      <c r="W42" s="45">
        <v>164449.87038000009</v>
      </c>
      <c r="X42" s="45">
        <v>554092.82184000011</v>
      </c>
      <c r="Y42" s="45">
        <v>158325</v>
      </c>
    </row>
    <row r="43" spans="2:25" ht="14.25" customHeight="1" x14ac:dyDescent="0.35">
      <c r="B43" s="6" t="s">
        <v>334</v>
      </c>
      <c r="C43" s="45">
        <v>0</v>
      </c>
      <c r="D43" s="45">
        <v>0</v>
      </c>
      <c r="E43" s="45">
        <v>0</v>
      </c>
      <c r="F43" s="45">
        <v>0</v>
      </c>
      <c r="G43" s="45">
        <v>0</v>
      </c>
      <c r="H43" s="45">
        <v>0</v>
      </c>
      <c r="I43" s="45">
        <v>0</v>
      </c>
      <c r="J43" s="45">
        <v>0</v>
      </c>
      <c r="K43" s="45">
        <v>0</v>
      </c>
      <c r="L43" s="45">
        <v>0</v>
      </c>
      <c r="M43" s="45">
        <v>0</v>
      </c>
      <c r="N43" s="45">
        <v>0</v>
      </c>
      <c r="O43" s="45">
        <v>0</v>
      </c>
      <c r="P43" s="45">
        <v>0</v>
      </c>
      <c r="Q43" s="45">
        <v>0</v>
      </c>
      <c r="R43" s="45">
        <v>0</v>
      </c>
      <c r="S43" s="45">
        <v>0</v>
      </c>
      <c r="T43" s="45">
        <v>59701</v>
      </c>
      <c r="U43" s="45">
        <v>55824.137029999969</v>
      </c>
      <c r="V43" s="45">
        <v>58162.911509999969</v>
      </c>
      <c r="W43" s="45">
        <v>22513.129619999949</v>
      </c>
      <c r="X43" s="45">
        <v>196201.17815999989</v>
      </c>
      <c r="Y43" s="45">
        <v>51758</v>
      </c>
    </row>
    <row r="44" spans="2:25" ht="14.25" customHeight="1" x14ac:dyDescent="0.35">
      <c r="B44" s="5" t="s">
        <v>335</v>
      </c>
      <c r="C44" s="4">
        <f>SUM(C42:C43,C34,C39)</f>
        <v>285639.46346</v>
      </c>
      <c r="D44" s="4">
        <f t="shared" ref="D44:Y44" si="15">SUM(D42:D43,D34,D39)</f>
        <v>565285.52011000004</v>
      </c>
      <c r="E44" s="4">
        <f t="shared" si="15"/>
        <v>234530.82041745499</v>
      </c>
      <c r="F44" s="4">
        <f t="shared" si="15"/>
        <v>242027.49402783453</v>
      </c>
      <c r="G44" s="4">
        <f t="shared" si="15"/>
        <v>339912</v>
      </c>
      <c r="H44" s="4">
        <f t="shared" si="15"/>
        <v>415389.47294000024</v>
      </c>
      <c r="I44" s="4">
        <f t="shared" si="15"/>
        <v>1231820.0446059643</v>
      </c>
      <c r="J44" s="4">
        <f t="shared" si="15"/>
        <v>610170.14218000008</v>
      </c>
      <c r="K44" s="4">
        <f t="shared" si="15"/>
        <v>661755.35765000002</v>
      </c>
      <c r="L44" s="4">
        <f t="shared" si="15"/>
        <v>839314.6048600002</v>
      </c>
      <c r="M44" s="4">
        <f t="shared" si="15"/>
        <v>996463.8791599992</v>
      </c>
      <c r="N44" s="4">
        <f t="shared" si="15"/>
        <v>3107706.2538800002</v>
      </c>
      <c r="O44" s="4">
        <f t="shared" si="15"/>
        <v>1294608.7273299999</v>
      </c>
      <c r="P44" s="4">
        <f t="shared" si="15"/>
        <v>1520312.19149904</v>
      </c>
      <c r="Q44" s="4">
        <f t="shared" si="15"/>
        <v>2015598</v>
      </c>
      <c r="R44" s="4">
        <f t="shared" si="15"/>
        <v>1804783</v>
      </c>
      <c r="S44" s="4">
        <f t="shared" si="15"/>
        <v>6635302</v>
      </c>
      <c r="T44" s="4">
        <f t="shared" si="15"/>
        <v>1886597</v>
      </c>
      <c r="U44" s="4">
        <f t="shared" si="15"/>
        <v>1906739.8466399999</v>
      </c>
      <c r="V44" s="4">
        <f t="shared" si="15"/>
        <v>1891164.9869899999</v>
      </c>
      <c r="W44" s="4">
        <f t="shared" si="15"/>
        <v>1866004.35088</v>
      </c>
      <c r="X44" s="4">
        <f t="shared" si="15"/>
        <v>7550506.1845100001</v>
      </c>
      <c r="Y44" s="4">
        <f t="shared" si="15"/>
        <v>1821550</v>
      </c>
    </row>
    <row r="45" spans="2:25" ht="14.25" customHeight="1" thickBot="1" x14ac:dyDescent="0.4">
      <c r="B45" s="40"/>
      <c r="C45" s="40"/>
      <c r="D45" s="40"/>
      <c r="E45" s="40"/>
      <c r="F45" s="40"/>
      <c r="G45" s="40"/>
      <c r="H45" s="40"/>
      <c r="I45" s="40"/>
      <c r="J45" s="40"/>
      <c r="K45" s="40"/>
      <c r="L45" s="40"/>
      <c r="M45" s="40"/>
      <c r="N45" s="40"/>
      <c r="O45" s="40"/>
      <c r="P45" s="40"/>
      <c r="Q45" s="40"/>
      <c r="R45" s="40"/>
      <c r="S45" s="40"/>
      <c r="T45" s="40"/>
      <c r="U45" s="40"/>
      <c r="V45" s="40"/>
      <c r="W45" s="40"/>
      <c r="X45" s="40"/>
      <c r="Y45" s="40"/>
    </row>
    <row r="46" spans="2:25" ht="14.25" customHeight="1" thickBot="1" x14ac:dyDescent="0.4">
      <c r="B46" s="9" t="s">
        <v>193</v>
      </c>
      <c r="C46" s="10"/>
      <c r="D46" s="10"/>
      <c r="E46" s="10"/>
      <c r="F46" s="10"/>
      <c r="G46" s="10"/>
      <c r="H46" s="10"/>
      <c r="I46" s="10"/>
      <c r="J46" s="10"/>
      <c r="K46" s="10"/>
      <c r="L46" s="10"/>
      <c r="M46" s="10"/>
      <c r="N46" s="10"/>
      <c r="O46" s="10"/>
      <c r="P46" s="10"/>
      <c r="Q46" s="10"/>
      <c r="R46" s="10"/>
      <c r="S46" s="10"/>
      <c r="T46" s="10"/>
      <c r="U46" s="10"/>
      <c r="V46" s="10"/>
      <c r="W46" s="10"/>
      <c r="X46" s="10"/>
      <c r="Y46" s="10"/>
    </row>
    <row r="47" spans="2:25" ht="14.25" customHeight="1" x14ac:dyDescent="0.35">
      <c r="B47" s="22" t="s">
        <v>355</v>
      </c>
      <c r="C47" s="33">
        <f t="shared" ref="C47:Y47" si="16">C26</f>
        <v>29347.841780000002</v>
      </c>
      <c r="D47" s="33">
        <f t="shared" si="16"/>
        <v>78352.003899999996</v>
      </c>
      <c r="E47" s="33">
        <f t="shared" si="16"/>
        <v>37657.985315029982</v>
      </c>
      <c r="F47" s="33">
        <f t="shared" si="16"/>
        <v>38304.104010234405</v>
      </c>
      <c r="G47" s="33">
        <f t="shared" si="16"/>
        <v>44344</v>
      </c>
      <c r="H47" s="33">
        <f t="shared" si="16"/>
        <v>50767.712459999981</v>
      </c>
      <c r="I47" s="33">
        <f t="shared" si="16"/>
        <v>171073.80178526434</v>
      </c>
      <c r="J47" s="33">
        <f t="shared" si="16"/>
        <v>105456</v>
      </c>
      <c r="K47" s="33">
        <f t="shared" si="16"/>
        <v>139870</v>
      </c>
      <c r="L47" s="33">
        <f t="shared" si="16"/>
        <v>168008.12561999998</v>
      </c>
      <c r="M47" s="33">
        <f t="shared" si="16"/>
        <v>184414.29784999997</v>
      </c>
      <c r="N47" s="33">
        <f t="shared" si="16"/>
        <v>597750</v>
      </c>
      <c r="O47" s="33">
        <f t="shared" si="16"/>
        <v>278736</v>
      </c>
      <c r="P47" s="33">
        <f t="shared" si="16"/>
        <v>305081</v>
      </c>
      <c r="Q47" s="33">
        <f t="shared" si="16"/>
        <v>295668</v>
      </c>
      <c r="R47" s="33">
        <f t="shared" si="16"/>
        <v>334087</v>
      </c>
      <c r="S47" s="33">
        <f t="shared" si="16"/>
        <v>1213571</v>
      </c>
      <c r="T47" s="33">
        <f t="shared" si="16"/>
        <v>338873</v>
      </c>
      <c r="U47" s="33">
        <f t="shared" si="16"/>
        <v>404629</v>
      </c>
      <c r="V47" s="33">
        <f t="shared" si="16"/>
        <v>362022</v>
      </c>
      <c r="W47" s="33">
        <f t="shared" si="16"/>
        <v>362109</v>
      </c>
      <c r="X47" s="33">
        <f t="shared" si="16"/>
        <v>1467633</v>
      </c>
      <c r="Y47" s="33">
        <f t="shared" si="16"/>
        <v>370132</v>
      </c>
    </row>
    <row r="48" spans="2:25" ht="14.25" customHeight="1" x14ac:dyDescent="0.35">
      <c r="B48" s="22" t="s">
        <v>241</v>
      </c>
      <c r="C48" s="33">
        <v>0</v>
      </c>
      <c r="D48" s="33">
        <v>0</v>
      </c>
      <c r="E48" s="33">
        <v>0</v>
      </c>
      <c r="F48" s="33">
        <v>0</v>
      </c>
      <c r="G48" s="33">
        <v>0</v>
      </c>
      <c r="H48" s="33">
        <v>2229.5793100000001</v>
      </c>
      <c r="I48" s="33">
        <v>2229.5793100000001</v>
      </c>
      <c r="J48" s="33">
        <v>16613.945930000002</v>
      </c>
      <c r="K48" s="33">
        <v>11187.26540490325</v>
      </c>
      <c r="L48" s="33">
        <v>0</v>
      </c>
      <c r="M48" s="33">
        <v>-1657.1779179984878</v>
      </c>
      <c r="N48" s="33">
        <v>26370.39240000007</v>
      </c>
      <c r="O48" s="33">
        <v>2658.9852499999761</v>
      </c>
      <c r="P48" s="33">
        <v>5381.5323100000096</v>
      </c>
      <c r="Q48" s="33">
        <v>10012</v>
      </c>
      <c r="R48" s="33">
        <v>28259</v>
      </c>
      <c r="S48" s="33">
        <v>46311</v>
      </c>
      <c r="T48" s="33">
        <v>9232</v>
      </c>
      <c r="U48" s="33">
        <v>17532</v>
      </c>
      <c r="V48" s="33">
        <v>26758</v>
      </c>
      <c r="W48" s="33">
        <v>1835</v>
      </c>
      <c r="X48" s="33">
        <v>55357</v>
      </c>
      <c r="Y48" s="33">
        <v>48243</v>
      </c>
    </row>
    <row r="49" spans="2:27" s="12" customFormat="1" ht="14.25" customHeight="1" x14ac:dyDescent="0.35">
      <c r="B49" s="36" t="s">
        <v>195</v>
      </c>
      <c r="C49" s="63">
        <f t="shared" ref="C49:Y49" si="17">C48+C47</f>
        <v>29347.841780000002</v>
      </c>
      <c r="D49" s="63">
        <f t="shared" si="17"/>
        <v>78352.003899999996</v>
      </c>
      <c r="E49" s="63">
        <f t="shared" si="17"/>
        <v>37657.985315029982</v>
      </c>
      <c r="F49" s="63">
        <f t="shared" si="17"/>
        <v>38304.104010234405</v>
      </c>
      <c r="G49" s="63">
        <f t="shared" si="17"/>
        <v>44344</v>
      </c>
      <c r="H49" s="63">
        <f t="shared" si="17"/>
        <v>52997.291769999982</v>
      </c>
      <c r="I49" s="63">
        <f t="shared" si="17"/>
        <v>173303.38109526434</v>
      </c>
      <c r="J49" s="63">
        <f t="shared" si="17"/>
        <v>122069.94593</v>
      </c>
      <c r="K49" s="63">
        <f t="shared" si="17"/>
        <v>151057.26540490324</v>
      </c>
      <c r="L49" s="63">
        <f t="shared" si="17"/>
        <v>168008.12561999998</v>
      </c>
      <c r="M49" s="63">
        <f t="shared" si="17"/>
        <v>182757.11993200149</v>
      </c>
      <c r="N49" s="63">
        <f t="shared" si="17"/>
        <v>624120.39240000001</v>
      </c>
      <c r="O49" s="63">
        <f t="shared" si="17"/>
        <v>281394.98524999997</v>
      </c>
      <c r="P49" s="63">
        <f t="shared" si="17"/>
        <v>310462.53231000004</v>
      </c>
      <c r="Q49" s="63">
        <f t="shared" si="17"/>
        <v>305680</v>
      </c>
      <c r="R49" s="63">
        <f t="shared" si="17"/>
        <v>362346</v>
      </c>
      <c r="S49" s="63">
        <f t="shared" si="17"/>
        <v>1259882</v>
      </c>
      <c r="T49" s="63">
        <f t="shared" si="17"/>
        <v>348105</v>
      </c>
      <c r="U49" s="63">
        <f t="shared" si="17"/>
        <v>422161</v>
      </c>
      <c r="V49" s="63">
        <f t="shared" si="17"/>
        <v>388780</v>
      </c>
      <c r="W49" s="63">
        <f t="shared" si="17"/>
        <v>363944</v>
      </c>
      <c r="X49" s="63">
        <f t="shared" si="17"/>
        <v>1522990</v>
      </c>
      <c r="Y49" s="63">
        <f t="shared" si="17"/>
        <v>418375</v>
      </c>
      <c r="Z49" s="2"/>
      <c r="AA49" s="2"/>
    </row>
    <row r="50" spans="2:27" s="12" customFormat="1" ht="14.25" customHeight="1" x14ac:dyDescent="0.35">
      <c r="B50" s="36" t="s">
        <v>194</v>
      </c>
      <c r="C50" s="5">
        <v>98216</v>
      </c>
      <c r="D50" s="5">
        <v>197509.17300000001</v>
      </c>
      <c r="E50" s="5">
        <v>98790.066000000006</v>
      </c>
      <c r="F50" s="5">
        <v>91409.876000000004</v>
      </c>
      <c r="G50" s="5">
        <v>133587</v>
      </c>
      <c r="H50" s="5">
        <v>150035.68</v>
      </c>
      <c r="I50" s="5">
        <v>473998.68</v>
      </c>
      <c r="J50" s="5">
        <v>237949</v>
      </c>
      <c r="K50" s="5">
        <v>235933.89273451449</v>
      </c>
      <c r="L50" s="5">
        <v>319921</v>
      </c>
      <c r="M50" s="5">
        <v>364599.03642306896</v>
      </c>
      <c r="N50" s="5">
        <v>1160816.036423069</v>
      </c>
      <c r="O50" s="5">
        <v>500055.41288067901</v>
      </c>
      <c r="P50" s="5">
        <v>605136</v>
      </c>
      <c r="Q50" s="5">
        <v>796938</v>
      </c>
      <c r="R50" s="5">
        <v>787040.54952695221</v>
      </c>
      <c r="S50" s="5">
        <v>2681902.5495269522</v>
      </c>
      <c r="T50" s="5">
        <v>667187</v>
      </c>
      <c r="U50" s="5">
        <v>782877</v>
      </c>
      <c r="V50" s="5">
        <v>830682</v>
      </c>
      <c r="W50" s="5">
        <v>1077137</v>
      </c>
      <c r="X50" s="5">
        <v>3357883</v>
      </c>
      <c r="Y50" s="5">
        <v>972008</v>
      </c>
      <c r="Z50" s="2"/>
      <c r="AA50" s="2"/>
    </row>
    <row r="51" spans="2:27" s="12" customFormat="1" ht="14.25" customHeight="1" x14ac:dyDescent="0.35">
      <c r="B51" s="36" t="s">
        <v>218</v>
      </c>
      <c r="C51" s="98">
        <f>C47/C50</f>
        <v>0.29880917345442698</v>
      </c>
      <c r="D51" s="98">
        <f t="shared" ref="D51:N51" si="18">D47/D50</f>
        <v>0.39670058210410303</v>
      </c>
      <c r="E51" s="98">
        <f t="shared" si="18"/>
        <v>0.38119202506687239</v>
      </c>
      <c r="F51" s="98">
        <f t="shared" si="18"/>
        <v>0.41903682278525795</v>
      </c>
      <c r="G51" s="98">
        <f t="shared" si="18"/>
        <v>0.33194846803955474</v>
      </c>
      <c r="H51" s="98">
        <f t="shared" si="18"/>
        <v>0.33837092923496587</v>
      </c>
      <c r="I51" s="98">
        <f t="shared" si="18"/>
        <v>0.36091619872288322</v>
      </c>
      <c r="J51" s="98">
        <f t="shared" si="18"/>
        <v>0.44318740570458376</v>
      </c>
      <c r="K51" s="98">
        <f t="shared" si="18"/>
        <v>0.59283555397184606</v>
      </c>
      <c r="L51" s="98">
        <f t="shared" si="18"/>
        <v>0.52515504021305248</v>
      </c>
      <c r="M51" s="98">
        <f t="shared" si="18"/>
        <v>0.50580028861077841</v>
      </c>
      <c r="N51" s="98">
        <f t="shared" si="18"/>
        <v>0.51493947468360535</v>
      </c>
      <c r="O51" s="98">
        <f>-(O47+O48)/(-O50)</f>
        <v>0.56272760578465164</v>
      </c>
      <c r="P51" s="98">
        <f t="shared" ref="P51:Y51" si="19">-(P47+P48)/(-P50)</f>
        <v>0.51304588110771798</v>
      </c>
      <c r="Q51" s="98">
        <f t="shared" si="19"/>
        <v>0.38356810692927179</v>
      </c>
      <c r="R51" s="98">
        <f t="shared" si="19"/>
        <v>0.46039051001601722</v>
      </c>
      <c r="S51" s="98">
        <f t="shared" si="19"/>
        <v>0.46977172985730764</v>
      </c>
      <c r="T51" s="98">
        <f t="shared" si="19"/>
        <v>0.52175027391121231</v>
      </c>
      <c r="U51" s="98">
        <f t="shared" si="19"/>
        <v>0.53924307394392734</v>
      </c>
      <c r="V51" s="98">
        <f t="shared" si="19"/>
        <v>0.46802506855812454</v>
      </c>
      <c r="W51" s="98">
        <f t="shared" si="19"/>
        <v>0.33788088237615083</v>
      </c>
      <c r="X51" s="98">
        <f t="shared" si="19"/>
        <v>0.45355660098937334</v>
      </c>
      <c r="Y51" s="98">
        <f t="shared" si="19"/>
        <v>0.43042341215298641</v>
      </c>
      <c r="Z51" s="2"/>
      <c r="AA51" s="2"/>
    </row>
    <row r="52" spans="2:27" ht="14.25" customHeight="1" thickBot="1" x14ac:dyDescent="0.4">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2:27" ht="14.25" customHeight="1" thickBot="1" x14ac:dyDescent="0.4">
      <c r="B53" s="9" t="s">
        <v>337</v>
      </c>
      <c r="C53" s="10"/>
      <c r="D53" s="10"/>
      <c r="E53" s="10"/>
      <c r="F53" s="10"/>
      <c r="G53" s="10"/>
      <c r="H53" s="10"/>
      <c r="I53" s="10"/>
      <c r="J53" s="10"/>
      <c r="K53" s="10"/>
      <c r="L53" s="10"/>
      <c r="M53" s="10"/>
      <c r="N53" s="10"/>
      <c r="O53" s="10"/>
      <c r="P53" s="10"/>
      <c r="Q53" s="10"/>
      <c r="R53" s="10"/>
      <c r="S53" s="10"/>
      <c r="T53" s="10"/>
      <c r="U53" s="10"/>
      <c r="V53" s="10"/>
      <c r="W53" s="10"/>
      <c r="X53" s="10"/>
      <c r="Y53" s="10"/>
    </row>
    <row r="54" spans="2:27" ht="14.25" customHeight="1" x14ac:dyDescent="0.35">
      <c r="B54" s="92" t="s">
        <v>338</v>
      </c>
      <c r="C54" s="75">
        <f>C23+C26+C31</f>
        <v>268980.46346</v>
      </c>
      <c r="D54" s="75">
        <v>544816</v>
      </c>
      <c r="E54" s="75">
        <v>223746</v>
      </c>
      <c r="F54" s="75">
        <v>229423.82925932511</v>
      </c>
      <c r="G54" s="75">
        <v>321459</v>
      </c>
      <c r="H54" s="75">
        <v>389673.41590000025</v>
      </c>
      <c r="I54" s="75">
        <v>1164262.7565299999</v>
      </c>
      <c r="J54" s="75">
        <v>490943.19624999998</v>
      </c>
      <c r="K54" s="75">
        <v>553098.26688999997</v>
      </c>
      <c r="L54" s="75">
        <v>776613.05564999999</v>
      </c>
      <c r="M54" s="75">
        <v>934148.21719</v>
      </c>
      <c r="N54" s="75">
        <v>2754806.2171900002</v>
      </c>
      <c r="O54" s="75">
        <v>1170627.74208</v>
      </c>
      <c r="P54" s="75">
        <v>1373964.6591890401</v>
      </c>
      <c r="Q54" s="75">
        <v>1824955</v>
      </c>
      <c r="R54" s="75">
        <v>1555795</v>
      </c>
      <c r="S54" s="75">
        <v>5925344</v>
      </c>
      <c r="T54" s="75">
        <v>1464378.1717000001</v>
      </c>
      <c r="U54" s="75">
        <v>1412401.61845</v>
      </c>
      <c r="V54" s="75">
        <v>1359637.9489200001</v>
      </c>
      <c r="W54" s="75">
        <v>1601750.7278799999</v>
      </c>
      <c r="X54" s="75">
        <v>5838168.4669500003</v>
      </c>
      <c r="Y54" s="75">
        <v>1493129</v>
      </c>
    </row>
    <row r="55" spans="2:27" ht="14.25" customHeight="1" x14ac:dyDescent="0.35">
      <c r="B55" s="92" t="s">
        <v>339</v>
      </c>
      <c r="C55" s="75">
        <v>-127940</v>
      </c>
      <c r="D55" s="75">
        <v>-252814.52299999999</v>
      </c>
      <c r="E55" s="75">
        <v>-124429.81100000002</v>
      </c>
      <c r="F55" s="75">
        <v>-111512.08700000001</v>
      </c>
      <c r="G55" s="75">
        <v>-162548</v>
      </c>
      <c r="H55" s="75">
        <v>-185027.68</v>
      </c>
      <c r="I55" s="75">
        <v>-583835.67999999993</v>
      </c>
      <c r="J55" s="75">
        <v>-297936</v>
      </c>
      <c r="K55" s="75">
        <v>-284577.58563384152</v>
      </c>
      <c r="L55" s="75">
        <v>-387429</v>
      </c>
      <c r="M55" s="75">
        <v>-440147.056924048</v>
      </c>
      <c r="N55" s="75">
        <v>-1411278.0569240481</v>
      </c>
      <c r="O55" s="75">
        <v>-573840.27616353252</v>
      </c>
      <c r="P55" s="75">
        <v>-690698</v>
      </c>
      <c r="Q55" s="75">
        <v>-907056</v>
      </c>
      <c r="R55" s="75">
        <v>-890031.71287375584</v>
      </c>
      <c r="S55" s="75">
        <v>-3061627.712873756</v>
      </c>
      <c r="T55" s="75">
        <v>-758300</v>
      </c>
      <c r="U55" s="75">
        <v>-875981</v>
      </c>
      <c r="V55" s="75">
        <v>-925064</v>
      </c>
      <c r="W55" s="75">
        <v>-1210040</v>
      </c>
      <c r="X55" s="75">
        <v>-3769385</v>
      </c>
      <c r="Y55" s="75">
        <v>-1088609</v>
      </c>
    </row>
    <row r="56" spans="2:27" ht="14.25" customHeight="1" x14ac:dyDescent="0.35">
      <c r="B56" s="37" t="s">
        <v>340</v>
      </c>
      <c r="C56" s="74">
        <v>-98216</v>
      </c>
      <c r="D56" s="74">
        <v>-197509.17300000001</v>
      </c>
      <c r="E56" s="74">
        <v>-98790.066000000006</v>
      </c>
      <c r="F56" s="74">
        <v>-91409.876000000004</v>
      </c>
      <c r="G56" s="74">
        <v>-133587</v>
      </c>
      <c r="H56" s="74">
        <v>-150035.68</v>
      </c>
      <c r="I56" s="74">
        <v>-473998.68</v>
      </c>
      <c r="J56" s="74">
        <v>-237949</v>
      </c>
      <c r="K56" s="74">
        <v>-235933.89273451449</v>
      </c>
      <c r="L56" s="74">
        <v>-319921</v>
      </c>
      <c r="M56" s="74">
        <v>-364599.03642306896</v>
      </c>
      <c r="N56" s="74">
        <v>-1160816.036423069</v>
      </c>
      <c r="O56" s="74">
        <v>-500055.41288067901</v>
      </c>
      <c r="P56" s="74">
        <v>-605136</v>
      </c>
      <c r="Q56" s="74">
        <v>-796938</v>
      </c>
      <c r="R56" s="74">
        <v>-787040.54952695221</v>
      </c>
      <c r="S56" s="74">
        <v>-2681902.5495269522</v>
      </c>
      <c r="T56" s="74">
        <v>-667187</v>
      </c>
      <c r="U56" s="74">
        <v>-782877</v>
      </c>
      <c r="V56" s="74">
        <v>-830682</v>
      </c>
      <c r="W56" s="74">
        <v>-1077137</v>
      </c>
      <c r="X56" s="74">
        <v>-3357883</v>
      </c>
      <c r="Y56" s="74">
        <v>-972008</v>
      </c>
    </row>
    <row r="57" spans="2:27" ht="14.25" customHeight="1" x14ac:dyDescent="0.35">
      <c r="B57" s="37" t="s">
        <v>341</v>
      </c>
      <c r="C57" s="74">
        <v>-17654</v>
      </c>
      <c r="D57" s="74">
        <v>-29106.346000000001</v>
      </c>
      <c r="E57" s="74">
        <v>-16192.694</v>
      </c>
      <c r="F57" s="74">
        <v>-11412.119000000001</v>
      </c>
      <c r="G57" s="74">
        <v>-17110</v>
      </c>
      <c r="H57" s="74">
        <v>-21429</v>
      </c>
      <c r="I57" s="74">
        <v>-66285</v>
      </c>
      <c r="J57" s="74">
        <v>-36722</v>
      </c>
      <c r="K57" s="74">
        <v>-28444.892459826948</v>
      </c>
      <c r="L57" s="74">
        <v>-43052</v>
      </c>
      <c r="M57" s="74">
        <v>-47782.157267351984</v>
      </c>
      <c r="N57" s="74">
        <v>-155416.15726735198</v>
      </c>
      <c r="O57" s="74">
        <v>-42381.391146613416</v>
      </c>
      <c r="P57" s="74">
        <v>-49468</v>
      </c>
      <c r="Q57" s="74">
        <v>-62132</v>
      </c>
      <c r="R57" s="74">
        <v>-63300.158585972473</v>
      </c>
      <c r="S57" s="74">
        <v>-224550.15858597247</v>
      </c>
      <c r="T57" s="74">
        <v>-56262</v>
      </c>
      <c r="U57" s="74">
        <v>-60627</v>
      </c>
      <c r="V57" s="74">
        <v>-63315</v>
      </c>
      <c r="W57" s="74">
        <v>-85199</v>
      </c>
      <c r="X57" s="74">
        <v>-265403</v>
      </c>
      <c r="Y57" s="74">
        <v>-74292</v>
      </c>
    </row>
    <row r="58" spans="2:27" ht="14.25" customHeight="1" x14ac:dyDescent="0.35">
      <c r="B58" s="37" t="s">
        <v>342</v>
      </c>
      <c r="C58" s="74">
        <v>-12070</v>
      </c>
      <c r="D58" s="74">
        <v>-26199.004000000001</v>
      </c>
      <c r="E58" s="74">
        <v>-9447.0509999999995</v>
      </c>
      <c r="F58" s="74">
        <v>-8690.0920000000006</v>
      </c>
      <c r="G58" s="74">
        <v>-11851</v>
      </c>
      <c r="H58" s="74">
        <v>-13563</v>
      </c>
      <c r="I58" s="74">
        <v>-43552</v>
      </c>
      <c r="J58" s="74">
        <v>-23265</v>
      </c>
      <c r="K58" s="74">
        <v>-20198.800439500068</v>
      </c>
      <c r="L58" s="74">
        <v>-24456</v>
      </c>
      <c r="M58" s="74">
        <v>-27765.863233627053</v>
      </c>
      <c r="N58" s="74">
        <v>-95045.863233627053</v>
      </c>
      <c r="O58" s="74">
        <v>-31403.472136240081</v>
      </c>
      <c r="P58" s="74">
        <v>-36094</v>
      </c>
      <c r="Q58" s="74">
        <v>-47986</v>
      </c>
      <c r="R58" s="74">
        <v>-39691.0047608311</v>
      </c>
      <c r="S58" s="74">
        <v>-155175.0047608311</v>
      </c>
      <c r="T58" s="74">
        <v>-34851</v>
      </c>
      <c r="U58" s="74">
        <v>-32477</v>
      </c>
      <c r="V58" s="91">
        <v>-31067</v>
      </c>
      <c r="W58" s="74">
        <v>-47704</v>
      </c>
      <c r="X58" s="74">
        <v>-146099</v>
      </c>
      <c r="Y58" s="74">
        <v>-42309</v>
      </c>
    </row>
    <row r="59" spans="2:27" ht="14.25" customHeight="1" x14ac:dyDescent="0.35">
      <c r="B59" s="92" t="s">
        <v>343</v>
      </c>
      <c r="C59" s="75">
        <v>-39449</v>
      </c>
      <c r="D59" s="75">
        <v>-58843.072999999997</v>
      </c>
      <c r="E59" s="75">
        <v>-12832.231999999996</v>
      </c>
      <c r="F59" s="75">
        <v>-21409.728999999999</v>
      </c>
      <c r="G59" s="75">
        <v>-23004.510000000002</v>
      </c>
      <c r="H59" s="75">
        <v>-21401</v>
      </c>
      <c r="I59" s="75">
        <v>-78470</v>
      </c>
      <c r="J59" s="75">
        <v>-46876</v>
      </c>
      <c r="K59" s="75">
        <v>-40454.565306963326</v>
      </c>
      <c r="L59" s="75">
        <v>-56989</v>
      </c>
      <c r="M59" s="75">
        <v>-64598.943075951975</v>
      </c>
      <c r="N59" s="75">
        <v>-208789.94307595197</v>
      </c>
      <c r="O59" s="75">
        <v>-71203.723836467514</v>
      </c>
      <c r="P59" s="75">
        <v>-64912</v>
      </c>
      <c r="Q59" s="75">
        <v>-79275</v>
      </c>
      <c r="R59" s="75">
        <v>-75472.563289776881</v>
      </c>
      <c r="S59" s="75">
        <v>-290863.2871262444</v>
      </c>
      <c r="T59" s="75">
        <v>-78026</v>
      </c>
      <c r="U59" s="75">
        <v>-88314</v>
      </c>
      <c r="V59" s="75">
        <v>-90431</v>
      </c>
      <c r="W59" s="75">
        <v>-97723</v>
      </c>
      <c r="X59" s="75">
        <v>-354494</v>
      </c>
      <c r="Y59" s="75">
        <v>-96283</v>
      </c>
    </row>
    <row r="60" spans="2:27" ht="14.25" customHeight="1" x14ac:dyDescent="0.35">
      <c r="B60" s="37" t="s">
        <v>344</v>
      </c>
      <c r="C60" s="74">
        <v>-6042</v>
      </c>
      <c r="D60" s="74">
        <v>-13536</v>
      </c>
      <c r="E60" s="74">
        <v>-4290.9960000000001</v>
      </c>
      <c r="F60" s="74">
        <v>-4369.9170000000004</v>
      </c>
      <c r="G60" s="74">
        <v>-5440</v>
      </c>
      <c r="H60" s="74">
        <v>-4792</v>
      </c>
      <c r="I60" s="74">
        <v>-18893</v>
      </c>
      <c r="J60" s="74">
        <v>-6354</v>
      </c>
      <c r="K60" s="74">
        <v>-5171.9772009339376</v>
      </c>
      <c r="L60" s="74">
        <v>-8625</v>
      </c>
      <c r="M60" s="74">
        <v>-12223.952671072293</v>
      </c>
      <c r="N60" s="74">
        <v>-32179.952671072293</v>
      </c>
      <c r="O60" s="74">
        <v>-10256.123270649581</v>
      </c>
      <c r="P60" s="74">
        <v>-10515</v>
      </c>
      <c r="Q60" s="74">
        <v>-12052</v>
      </c>
      <c r="R60" s="74">
        <v>-10132.777309061819</v>
      </c>
      <c r="S60" s="74">
        <v>-42955.9005797114</v>
      </c>
      <c r="T60" s="74">
        <v>-13993</v>
      </c>
      <c r="U60" s="74">
        <v>-13612</v>
      </c>
      <c r="V60" s="74">
        <v>-14737</v>
      </c>
      <c r="W60" s="74">
        <v>-15977</v>
      </c>
      <c r="X60" s="74">
        <v>-58319</v>
      </c>
      <c r="Y60" s="74">
        <v>-13308</v>
      </c>
    </row>
    <row r="61" spans="2:27" ht="14.25" customHeight="1" x14ac:dyDescent="0.35">
      <c r="B61" s="37" t="s">
        <v>345</v>
      </c>
      <c r="C61" s="74">
        <v>-13257</v>
      </c>
      <c r="D61" s="74">
        <v>-20365.109</v>
      </c>
      <c r="E61" s="74">
        <v>-5440.5169999999998</v>
      </c>
      <c r="F61" s="74">
        <v>-5815.0110000000004</v>
      </c>
      <c r="G61" s="74">
        <v>-7131</v>
      </c>
      <c r="H61" s="74">
        <v>-7028</v>
      </c>
      <c r="I61" s="74">
        <v>-25414</v>
      </c>
      <c r="J61" s="74">
        <v>-12393</v>
      </c>
      <c r="K61" s="74">
        <v>-12074.494437577256</v>
      </c>
      <c r="L61" s="74">
        <v>-12442</v>
      </c>
      <c r="M61" s="74">
        <v>-15673.204844901324</v>
      </c>
      <c r="N61" s="74">
        <v>-52237.204844901324</v>
      </c>
      <c r="O61" s="74">
        <v>-13851.464802795806</v>
      </c>
      <c r="P61" s="74">
        <v>-14070</v>
      </c>
      <c r="Q61" s="74">
        <v>-17676</v>
      </c>
      <c r="R61" s="74">
        <v>-16489.929368438021</v>
      </c>
      <c r="S61" s="74">
        <v>-62087.394171233827</v>
      </c>
      <c r="T61" s="74">
        <v>-17402</v>
      </c>
      <c r="U61" s="74">
        <v>-23476</v>
      </c>
      <c r="V61" s="74">
        <v>-23001</v>
      </c>
      <c r="W61" s="74">
        <v>-20386</v>
      </c>
      <c r="X61" s="74">
        <v>-84265</v>
      </c>
      <c r="Y61" s="74">
        <v>-20777</v>
      </c>
    </row>
    <row r="62" spans="2:27" ht="14.25" customHeight="1" x14ac:dyDescent="0.35">
      <c r="B62" s="37" t="s">
        <v>346</v>
      </c>
      <c r="C62" s="74">
        <v>-10189</v>
      </c>
      <c r="D62" s="74">
        <v>-15776.758</v>
      </c>
      <c r="E62" s="74">
        <v>-8068.4030000000002</v>
      </c>
      <c r="F62" s="74">
        <v>-8456.17</v>
      </c>
      <c r="G62" s="74">
        <v>-11086</v>
      </c>
      <c r="H62" s="74">
        <v>-10835</v>
      </c>
      <c r="I62" s="74">
        <v>-38446</v>
      </c>
      <c r="J62" s="74">
        <v>-23442</v>
      </c>
      <c r="K62" s="74">
        <v>-16172.986814997939</v>
      </c>
      <c r="L62" s="74">
        <v>-16930</v>
      </c>
      <c r="M62" s="74">
        <v>-18463</v>
      </c>
      <c r="N62" s="74">
        <v>-75744</v>
      </c>
      <c r="O62" s="74">
        <v>-30451</v>
      </c>
      <c r="P62" s="74">
        <v>-28234</v>
      </c>
      <c r="Q62" s="74">
        <v>-33977</v>
      </c>
      <c r="R62" s="74">
        <v>-32416</v>
      </c>
      <c r="S62" s="74">
        <v>-125078</v>
      </c>
      <c r="T62" s="74">
        <v>-30446</v>
      </c>
      <c r="U62" s="74">
        <v>-32086</v>
      </c>
      <c r="V62" s="74">
        <v>-34348</v>
      </c>
      <c r="W62" s="74">
        <v>-40525</v>
      </c>
      <c r="X62" s="74">
        <v>-137405</v>
      </c>
      <c r="Y62" s="74">
        <v>-45046</v>
      </c>
    </row>
    <row r="63" spans="2:27" ht="14.25" customHeight="1" x14ac:dyDescent="0.35">
      <c r="B63" s="37" t="s">
        <v>347</v>
      </c>
      <c r="C63" s="74">
        <v>-9961</v>
      </c>
      <c r="D63" s="74">
        <v>-9165.2060000000001</v>
      </c>
      <c r="E63" s="74">
        <v>4967.6840000000002</v>
      </c>
      <c r="F63" s="74">
        <v>-2768.6309999999999</v>
      </c>
      <c r="G63" s="74">
        <v>652.48999999999978</v>
      </c>
      <c r="H63" s="74">
        <v>1254</v>
      </c>
      <c r="I63" s="74">
        <v>4283</v>
      </c>
      <c r="J63" s="74">
        <v>-4687</v>
      </c>
      <c r="K63" s="74">
        <v>-7035.1068534541955</v>
      </c>
      <c r="L63" s="74">
        <v>-18992</v>
      </c>
      <c r="M63" s="74">
        <v>-18238.785559978358</v>
      </c>
      <c r="N63" s="74">
        <v>-48628.785559978358</v>
      </c>
      <c r="O63" s="74">
        <v>-16645.135763022132</v>
      </c>
      <c r="P63" s="74">
        <v>-12093</v>
      </c>
      <c r="Q63" s="74">
        <v>-15570</v>
      </c>
      <c r="R63" s="74">
        <v>-16433.856612277043</v>
      </c>
      <c r="S63" s="74">
        <v>-60741.992375299174</v>
      </c>
      <c r="T63" s="74">
        <v>-16185</v>
      </c>
      <c r="U63" s="74">
        <v>-19140</v>
      </c>
      <c r="V63" s="91">
        <v>-18345</v>
      </c>
      <c r="W63" s="74">
        <v>-20835</v>
      </c>
      <c r="X63" s="74">
        <v>-74505</v>
      </c>
      <c r="Y63" s="74">
        <v>-17152</v>
      </c>
    </row>
    <row r="64" spans="2:27" ht="14.25" customHeight="1" x14ac:dyDescent="0.35">
      <c r="B64" s="92" t="s">
        <v>348</v>
      </c>
      <c r="C64" s="75">
        <f>C55+C59</f>
        <v>-167389</v>
      </c>
      <c r="D64" s="75">
        <v>-311657.59599999996</v>
      </c>
      <c r="E64" s="75">
        <v>-137262.04300000001</v>
      </c>
      <c r="F64" s="75">
        <v>-132921.81600000002</v>
      </c>
      <c r="G64" s="75">
        <v>-185552.51</v>
      </c>
      <c r="H64" s="75">
        <v>-206428.68</v>
      </c>
      <c r="I64" s="75">
        <v>-662305.67999999993</v>
      </c>
      <c r="J64" s="75">
        <v>-344812</v>
      </c>
      <c r="K64" s="75">
        <v>-325032.15094080486</v>
      </c>
      <c r="L64" s="75">
        <v>-444418</v>
      </c>
      <c r="M64" s="75">
        <v>-504746</v>
      </c>
      <c r="N64" s="75">
        <v>-1620068</v>
      </c>
      <c r="O64" s="75">
        <v>-645044</v>
      </c>
      <c r="P64" s="75">
        <v>-755610</v>
      </c>
      <c r="Q64" s="75">
        <v>-986331</v>
      </c>
      <c r="R64" s="75">
        <v>-965504.27616353275</v>
      </c>
      <c r="S64" s="75">
        <v>-3352491.0000000005</v>
      </c>
      <c r="T64" s="75">
        <v>-836326</v>
      </c>
      <c r="U64" s="75">
        <v>-964295</v>
      </c>
      <c r="V64" s="75">
        <v>-1015495</v>
      </c>
      <c r="W64" s="75">
        <v>-1307763</v>
      </c>
      <c r="X64" s="75">
        <v>-4123879</v>
      </c>
      <c r="Y64" s="75">
        <v>-1184892</v>
      </c>
    </row>
    <row r="65" spans="2:25" ht="14.25" customHeight="1" x14ac:dyDescent="0.35">
      <c r="B65" s="92" t="s">
        <v>349</v>
      </c>
      <c r="C65" s="75">
        <f>C54+C64</f>
        <v>101591.46346</v>
      </c>
      <c r="D65" s="75">
        <v>233158.40400000004</v>
      </c>
      <c r="E65" s="75">
        <v>86483.956999999995</v>
      </c>
      <c r="F65" s="75">
        <v>96502.013259325089</v>
      </c>
      <c r="G65" s="75">
        <v>135906.49</v>
      </c>
      <c r="H65" s="75">
        <v>183244.73590000026</v>
      </c>
      <c r="I65" s="75">
        <v>501957.07652999996</v>
      </c>
      <c r="J65" s="75">
        <v>146131.19624999998</v>
      </c>
      <c r="K65" s="75">
        <v>228066.11594919511</v>
      </c>
      <c r="L65" s="75">
        <v>332195.05564999999</v>
      </c>
      <c r="M65" s="75">
        <v>429402.21719</v>
      </c>
      <c r="N65" s="75">
        <v>1134738.2171900002</v>
      </c>
      <c r="O65" s="75">
        <v>525583.74208</v>
      </c>
      <c r="P65" s="75">
        <v>618354.65918904007</v>
      </c>
      <c r="Q65" s="75">
        <v>838624</v>
      </c>
      <c r="R65" s="75">
        <v>590290.72383646725</v>
      </c>
      <c r="S65" s="75">
        <v>2572852.9999999995</v>
      </c>
      <c r="T65" s="75">
        <v>628052.17170000006</v>
      </c>
      <c r="U65" s="75">
        <v>448106.61844999995</v>
      </c>
      <c r="V65" s="75">
        <v>344142.94892000011</v>
      </c>
      <c r="W65" s="75">
        <v>293987.7278799999</v>
      </c>
      <c r="X65" s="75">
        <v>1714289.4669500003</v>
      </c>
      <c r="Y65" s="75">
        <v>308237</v>
      </c>
    </row>
    <row r="66" spans="2:25" ht="14.25" customHeight="1" x14ac:dyDescent="0.35">
      <c r="B66" s="94" t="s">
        <v>350</v>
      </c>
      <c r="C66" s="93">
        <f>C65/C54</f>
        <v>0.37769086331843438</v>
      </c>
      <c r="D66" s="93">
        <v>0.42795807024756988</v>
      </c>
      <c r="E66" s="93">
        <v>0.38652738819911864</v>
      </c>
      <c r="F66" s="93">
        <v>0.42062768096441183</v>
      </c>
      <c r="G66" s="93">
        <v>0.42278016792188117</v>
      </c>
      <c r="H66" s="93">
        <v>0.47025208398364376</v>
      </c>
      <c r="I66" s="93">
        <v>0.431137278689603</v>
      </c>
      <c r="J66" s="93">
        <v>0.29765397986203374</v>
      </c>
      <c r="K66" s="93">
        <v>0.41234285045147834</v>
      </c>
      <c r="L66" s="93">
        <v>0.42774848199270032</v>
      </c>
      <c r="M66" s="93">
        <v>0.45967246876697965</v>
      </c>
      <c r="N66" s="93">
        <v>0.41191217375263273</v>
      </c>
      <c r="O66" s="93">
        <v>0.44897598372829434</v>
      </c>
      <c r="P66" s="93">
        <v>0.45005135689153292</v>
      </c>
      <c r="Q66" s="93">
        <v>0.4595313309095293</v>
      </c>
      <c r="R66" s="93">
        <v>0.37941420549395471</v>
      </c>
      <c r="S66" s="93">
        <v>0.43421158332748266</v>
      </c>
      <c r="T66" s="93">
        <v>0.4288865976272323</v>
      </c>
      <c r="U66" s="93">
        <v>0.31726572144668158</v>
      </c>
      <c r="V66" s="93">
        <v>0.25311366838014698</v>
      </c>
      <c r="W66" s="93">
        <v>0.18354149791404054</v>
      </c>
      <c r="X66" s="93">
        <v>0.29363480630177607</v>
      </c>
      <c r="Y66" s="93">
        <v>0.20643695219903974</v>
      </c>
    </row>
    <row r="67" spans="2:25" ht="14.25" customHeight="1" x14ac:dyDescent="0.35">
      <c r="B67" s="92" t="s">
        <v>351</v>
      </c>
      <c r="C67" s="87">
        <v>17.7</v>
      </c>
      <c r="D67" s="87">
        <v>18.25</v>
      </c>
      <c r="E67" s="88">
        <v>21.49</v>
      </c>
      <c r="F67" s="87">
        <v>21.34</v>
      </c>
      <c r="G67" s="87">
        <v>22.75</v>
      </c>
      <c r="H67" s="89">
        <v>24.252280173674752</v>
      </c>
      <c r="I67" s="87">
        <v>22.53</v>
      </c>
      <c r="J67" s="88">
        <v>24.01</v>
      </c>
      <c r="K67" s="87">
        <v>24.21</v>
      </c>
      <c r="L67" s="87">
        <v>28.79</v>
      </c>
      <c r="M67" s="89">
        <v>31.553207990189691</v>
      </c>
      <c r="N67" s="89">
        <v>27.244265210836751</v>
      </c>
      <c r="O67" s="89">
        <v>40.65241110080251</v>
      </c>
      <c r="P67" s="89">
        <v>47.357998443166153</v>
      </c>
      <c r="Q67" s="89">
        <v>51.379665470624069</v>
      </c>
      <c r="R67" s="89">
        <v>56.049556746606868</v>
      </c>
      <c r="S67" s="90">
        <v>48.978428711167808</v>
      </c>
      <c r="T67" s="90">
        <v>55.948488964735333</v>
      </c>
      <c r="U67" s="90">
        <v>56.336507380630664</v>
      </c>
      <c r="V67" s="90">
        <v>60.947399060421809</v>
      </c>
      <c r="W67" s="90">
        <v>63.960629589386855</v>
      </c>
      <c r="X67" s="89">
        <v>59.434313284312033</v>
      </c>
      <c r="Y67" s="89">
        <v>62.643552713342274</v>
      </c>
    </row>
    <row r="68" spans="2:25" ht="14.25" customHeight="1" x14ac:dyDescent="0.35">
      <c r="B68" s="92" t="s">
        <v>352</v>
      </c>
      <c r="C68" s="87">
        <v>40.4</v>
      </c>
      <c r="D68" s="87">
        <v>43.29</v>
      </c>
      <c r="E68" s="88">
        <v>43.38</v>
      </c>
      <c r="F68" s="87">
        <v>44.58</v>
      </c>
      <c r="G68" s="87">
        <v>53.71</v>
      </c>
      <c r="H68" s="96">
        <v>51.852513644613161</v>
      </c>
      <c r="I68" s="87">
        <v>48.83</v>
      </c>
      <c r="J68" s="88">
        <v>56.34</v>
      </c>
      <c r="K68" s="87">
        <v>56.66</v>
      </c>
      <c r="L68" s="87">
        <v>60.92</v>
      </c>
      <c r="M68" s="96">
        <v>65.153858324096632</v>
      </c>
      <c r="N68" s="96">
        <v>59.905702754116454</v>
      </c>
      <c r="O68" s="96">
        <v>69.547798746469212</v>
      </c>
      <c r="P68" s="96">
        <v>68.935779856460854</v>
      </c>
      <c r="Q68" s="96">
        <v>70.038893988766574</v>
      </c>
      <c r="R68" s="96">
        <v>79.744424698156024</v>
      </c>
      <c r="S68" s="97">
        <v>72.204645178648022</v>
      </c>
      <c r="T68" s="97">
        <v>89.853546289331732</v>
      </c>
      <c r="U68" s="97">
        <v>87.411268977595768</v>
      </c>
      <c r="V68" s="97">
        <v>92.694311679001302</v>
      </c>
      <c r="W68" s="97">
        <v>101.85067259475129</v>
      </c>
      <c r="X68" s="96">
        <v>93.137571477236961</v>
      </c>
      <c r="Y68" s="96">
        <v>96.279998884019534</v>
      </c>
    </row>
    <row r="69" spans="2:25" ht="14.25" customHeight="1" thickBot="1" x14ac:dyDescent="0.4">
      <c r="B69" s="40"/>
      <c r="C69" s="40"/>
      <c r="D69" s="40"/>
      <c r="E69" s="40"/>
      <c r="F69" s="40"/>
      <c r="G69" s="40"/>
      <c r="H69" s="40"/>
      <c r="I69" s="40"/>
      <c r="J69" s="40"/>
      <c r="K69" s="40"/>
      <c r="L69" s="40"/>
      <c r="M69" s="40"/>
      <c r="N69" s="40"/>
      <c r="O69" s="40"/>
      <c r="P69" s="40"/>
      <c r="Q69" s="40"/>
      <c r="R69" s="40"/>
      <c r="S69" s="40"/>
      <c r="T69" s="40"/>
      <c r="U69" s="40"/>
      <c r="V69" s="40"/>
      <c r="W69" s="40"/>
      <c r="X69" s="40"/>
      <c r="Y69" s="40"/>
    </row>
    <row r="70" spans="2:25" ht="14.25" customHeight="1" thickBot="1" x14ac:dyDescent="0.4">
      <c r="B70" s="9" t="s">
        <v>353</v>
      </c>
      <c r="C70" s="10"/>
      <c r="D70" s="10"/>
      <c r="E70" s="10"/>
      <c r="F70" s="10"/>
      <c r="G70" s="10"/>
      <c r="H70" s="10"/>
      <c r="I70" s="10"/>
      <c r="J70" s="10"/>
      <c r="K70" s="10"/>
      <c r="L70" s="10"/>
      <c r="M70" s="10"/>
      <c r="N70" s="10"/>
      <c r="O70" s="10"/>
      <c r="P70" s="10"/>
      <c r="Q70" s="10"/>
      <c r="R70" s="10"/>
      <c r="S70" s="10"/>
      <c r="T70" s="10"/>
      <c r="U70" s="10"/>
      <c r="V70" s="10"/>
      <c r="W70" s="10"/>
      <c r="X70" s="10"/>
      <c r="Y70" s="10"/>
    </row>
    <row r="71" spans="2:25" ht="14.25" customHeight="1" x14ac:dyDescent="0.35">
      <c r="B71" s="92" t="s">
        <v>356</v>
      </c>
      <c r="C71" s="75">
        <v>0</v>
      </c>
      <c r="D71" s="75">
        <v>0</v>
      </c>
      <c r="E71" s="75">
        <v>0</v>
      </c>
      <c r="F71" s="75">
        <v>0</v>
      </c>
      <c r="G71" s="75">
        <v>0</v>
      </c>
      <c r="H71" s="75">
        <v>6654.8993099999998</v>
      </c>
      <c r="I71" s="75">
        <v>6654.8993099999998</v>
      </c>
      <c r="J71" s="75">
        <v>70835.945930000002</v>
      </c>
      <c r="K71" s="75">
        <v>49013.090760000101</v>
      </c>
      <c r="L71" s="75">
        <v>0</v>
      </c>
      <c r="M71" s="75">
        <v>0</v>
      </c>
      <c r="N71" s="75">
        <v>119849.0366900001</v>
      </c>
      <c r="O71" s="75">
        <v>38257.985249999976</v>
      </c>
      <c r="P71" s="75">
        <v>49124.53231000001</v>
      </c>
      <c r="Q71" s="75">
        <v>78850</v>
      </c>
      <c r="R71" s="75">
        <v>119400</v>
      </c>
      <c r="S71" s="75">
        <v>285632</v>
      </c>
      <c r="T71" s="75">
        <v>258621.82829999999</v>
      </c>
      <c r="U71" s="75">
        <v>292992.22818999999</v>
      </c>
      <c r="V71" s="75">
        <v>333139.03807000001</v>
      </c>
      <c r="W71" s="75">
        <v>77290.623000000007</v>
      </c>
      <c r="X71" s="75">
        <v>962043.71756000002</v>
      </c>
      <c r="Y71" s="75">
        <v>118338</v>
      </c>
    </row>
    <row r="72" spans="2:25" ht="14.25" customHeight="1" x14ac:dyDescent="0.35">
      <c r="B72" s="92" t="s">
        <v>357</v>
      </c>
      <c r="C72" s="75">
        <v>0</v>
      </c>
      <c r="D72" s="75">
        <v>0</v>
      </c>
      <c r="E72" s="75">
        <v>-2038.3420000000001</v>
      </c>
      <c r="F72" s="75">
        <v>-2345.174</v>
      </c>
      <c r="G72" s="75">
        <v>-1739</v>
      </c>
      <c r="H72" s="75">
        <v>-5606.32</v>
      </c>
      <c r="I72" s="75">
        <v>-11587.32</v>
      </c>
      <c r="J72" s="75">
        <v>-54685</v>
      </c>
      <c r="K72" s="75">
        <v>-39668.772795611891</v>
      </c>
      <c r="L72" s="75">
        <v>-3780</v>
      </c>
      <c r="M72" s="75">
        <v>-7377</v>
      </c>
      <c r="N72" s="75">
        <v>-104448</v>
      </c>
      <c r="O72" s="75">
        <v>-40932</v>
      </c>
      <c r="P72" s="75">
        <v>-51048</v>
      </c>
      <c r="Q72" s="75">
        <v>-76443</v>
      </c>
      <c r="R72" s="75">
        <v>-116728</v>
      </c>
      <c r="S72" s="75">
        <v>-285150</v>
      </c>
      <c r="T72" s="75">
        <v>-244235</v>
      </c>
      <c r="U72" s="75">
        <v>-270019</v>
      </c>
      <c r="V72" s="75">
        <v>-292240</v>
      </c>
      <c r="W72" s="75">
        <v>-70428</v>
      </c>
      <c r="X72" s="75">
        <v>-876922</v>
      </c>
      <c r="Y72" s="75">
        <v>-101812</v>
      </c>
    </row>
    <row r="73" spans="2:25" ht="14.25" customHeight="1" x14ac:dyDescent="0.35">
      <c r="B73" s="37" t="s">
        <v>358</v>
      </c>
      <c r="C73" s="74">
        <v>0</v>
      </c>
      <c r="D73" s="74">
        <v>0</v>
      </c>
      <c r="E73" s="74">
        <v>0</v>
      </c>
      <c r="F73" s="74">
        <v>0</v>
      </c>
      <c r="G73" s="74">
        <v>0</v>
      </c>
      <c r="H73" s="74">
        <v>-4425.32</v>
      </c>
      <c r="I73" s="74">
        <v>-4425.32</v>
      </c>
      <c r="J73" s="74">
        <v>-54222</v>
      </c>
      <c r="K73" s="74">
        <v>-37825.825355096851</v>
      </c>
      <c r="L73" s="74">
        <v>0</v>
      </c>
      <c r="M73" s="74">
        <v>-1657.1779179984878</v>
      </c>
      <c r="N73" s="74">
        <v>-93478.644290000026</v>
      </c>
      <c r="O73" s="74">
        <v>-35599</v>
      </c>
      <c r="P73" s="74">
        <v>-43743</v>
      </c>
      <c r="Q73" s="74">
        <v>-72741</v>
      </c>
      <c r="R73" s="74">
        <v>-112039</v>
      </c>
      <c r="S73" s="74">
        <v>-264122</v>
      </c>
      <c r="T73" s="74">
        <v>-241913</v>
      </c>
      <c r="U73" s="74">
        <v>-265106</v>
      </c>
      <c r="V73" s="74">
        <v>-286997</v>
      </c>
      <c r="W73" s="74">
        <v>-65183</v>
      </c>
      <c r="X73" s="74">
        <v>-859199</v>
      </c>
      <c r="Y73" s="74">
        <v>-99794</v>
      </c>
    </row>
    <row r="74" spans="2:25" ht="14.25" customHeight="1" x14ac:dyDescent="0.35">
      <c r="B74" s="37" t="s">
        <v>359</v>
      </c>
      <c r="C74" s="74">
        <v>0</v>
      </c>
      <c r="D74" s="74">
        <v>0</v>
      </c>
      <c r="E74" s="74">
        <v>-2038.3420000000001</v>
      </c>
      <c r="F74" s="74">
        <v>-2345.174</v>
      </c>
      <c r="G74" s="74">
        <v>-1739</v>
      </c>
      <c r="H74" s="74">
        <v>-1181</v>
      </c>
      <c r="I74" s="74">
        <v>-7162</v>
      </c>
      <c r="J74" s="74">
        <v>-463</v>
      </c>
      <c r="K74" s="74">
        <v>-1842.947440515039</v>
      </c>
      <c r="L74" s="74">
        <v>-3780</v>
      </c>
      <c r="M74" s="74">
        <v>-5719.8220820015122</v>
      </c>
      <c r="N74" s="74">
        <v>-10969.355709999974</v>
      </c>
      <c r="O74" s="74">
        <v>-5333</v>
      </c>
      <c r="P74" s="74">
        <v>-7305</v>
      </c>
      <c r="Q74" s="74">
        <v>-3702</v>
      </c>
      <c r="R74" s="74">
        <v>-4689</v>
      </c>
      <c r="S74" s="74">
        <v>-21028</v>
      </c>
      <c r="T74" s="74">
        <v>-2322</v>
      </c>
      <c r="U74" s="74">
        <v>-4913</v>
      </c>
      <c r="V74" s="74">
        <v>-5243</v>
      </c>
      <c r="W74" s="74">
        <v>-5245</v>
      </c>
      <c r="X74" s="74">
        <v>-17723</v>
      </c>
      <c r="Y74" s="74">
        <v>-2018</v>
      </c>
    </row>
    <row r="75" spans="2:25" ht="14.25" customHeight="1" x14ac:dyDescent="0.35">
      <c r="B75" s="92" t="s">
        <v>360</v>
      </c>
      <c r="C75" s="75">
        <f>C71+C72</f>
        <v>0</v>
      </c>
      <c r="D75" s="75">
        <v>0</v>
      </c>
      <c r="E75" s="75">
        <v>-2038.3420000000001</v>
      </c>
      <c r="F75" s="75">
        <v>-2345.174</v>
      </c>
      <c r="G75" s="75">
        <v>-1739</v>
      </c>
      <c r="H75" s="75">
        <v>1048.5793100000001</v>
      </c>
      <c r="I75" s="75">
        <v>-4932.4206899999999</v>
      </c>
      <c r="J75" s="75">
        <v>16150.945930000002</v>
      </c>
      <c r="K75" s="75">
        <v>9344.3179643882104</v>
      </c>
      <c r="L75" s="75">
        <v>-3780</v>
      </c>
      <c r="M75" s="75">
        <v>-7377</v>
      </c>
      <c r="N75" s="75">
        <v>15401.036690000095</v>
      </c>
      <c r="O75" s="75">
        <v>-2674.0147500000239</v>
      </c>
      <c r="P75" s="75">
        <v>-1923.4676899999904</v>
      </c>
      <c r="Q75" s="75">
        <v>2407</v>
      </c>
      <c r="R75" s="75">
        <v>2672</v>
      </c>
      <c r="S75" s="75">
        <v>482</v>
      </c>
      <c r="T75" s="75">
        <v>14386.828299999994</v>
      </c>
      <c r="U75" s="75">
        <v>22973.228189999994</v>
      </c>
      <c r="V75" s="75">
        <v>40899.03807000001</v>
      </c>
      <c r="W75" s="75">
        <v>6862.6230000000069</v>
      </c>
      <c r="X75" s="75">
        <v>85121.717560000019</v>
      </c>
      <c r="Y75" s="75">
        <v>16526</v>
      </c>
    </row>
    <row r="76" spans="2:25" ht="14.25" customHeight="1" x14ac:dyDescent="0.35">
      <c r="B76" s="94" t="s">
        <v>361</v>
      </c>
      <c r="C76" s="93">
        <v>0</v>
      </c>
      <c r="D76" s="93">
        <v>0</v>
      </c>
      <c r="E76" s="93">
        <v>0</v>
      </c>
      <c r="F76" s="93">
        <v>0</v>
      </c>
      <c r="G76" s="93">
        <v>0</v>
      </c>
      <c r="H76" s="93">
        <v>0.15756501505955919</v>
      </c>
      <c r="I76" s="93">
        <v>-0.74117134763981873</v>
      </c>
      <c r="J76" s="93">
        <v>0.22800494463588228</v>
      </c>
      <c r="K76" s="93">
        <v>0.19064943302890355</v>
      </c>
      <c r="L76" s="93">
        <v>0</v>
      </c>
      <c r="M76" s="93">
        <v>0</v>
      </c>
      <c r="N76" s="93">
        <v>0.12850363353220945</v>
      </c>
      <c r="O76" s="93">
        <v>-6.9894290891860944E-2</v>
      </c>
      <c r="P76" s="93">
        <v>-3.9154931345950765E-2</v>
      </c>
      <c r="Q76" s="93">
        <v>3.0526315789473683E-2</v>
      </c>
      <c r="R76" s="93">
        <v>2.2378559463986598E-2</v>
      </c>
      <c r="S76" s="93">
        <v>1.6874859959668384E-3</v>
      </c>
      <c r="T76" s="93">
        <v>5.5628824506303264E-2</v>
      </c>
      <c r="U76" s="93">
        <v>7.840900194493311E-2</v>
      </c>
      <c r="V76" s="93">
        <v>0.12276867432572162</v>
      </c>
      <c r="W76" s="93">
        <v>8.8789852295536625E-2</v>
      </c>
      <c r="X76" s="93">
        <v>8.8480092958656234E-2</v>
      </c>
      <c r="Y76" s="93">
        <v>0.13965083067146647</v>
      </c>
    </row>
    <row r="77" spans="2:25" ht="14.25" customHeight="1" x14ac:dyDescent="0.35">
      <c r="B77" s="95" t="s">
        <v>362</v>
      </c>
      <c r="C77" s="74">
        <v>0</v>
      </c>
      <c r="D77" s="74">
        <v>0</v>
      </c>
      <c r="E77" s="74">
        <v>0</v>
      </c>
      <c r="F77" s="74">
        <v>0</v>
      </c>
      <c r="G77" s="74">
        <v>0</v>
      </c>
      <c r="H77" s="74">
        <v>0</v>
      </c>
      <c r="I77" s="74">
        <v>0</v>
      </c>
      <c r="J77" s="74">
        <v>0</v>
      </c>
      <c r="K77" s="74">
        <v>0</v>
      </c>
      <c r="L77" s="74">
        <v>0</v>
      </c>
      <c r="M77" s="74">
        <v>0</v>
      </c>
      <c r="N77" s="74">
        <v>0</v>
      </c>
      <c r="O77" s="74">
        <v>0</v>
      </c>
      <c r="P77" s="74">
        <v>0</v>
      </c>
      <c r="Q77" s="74">
        <v>3903</v>
      </c>
      <c r="R77" s="74">
        <v>20898</v>
      </c>
      <c r="S77" s="74">
        <v>24801</v>
      </c>
      <c r="T77" s="74">
        <v>-3514</v>
      </c>
      <c r="U77" s="74">
        <v>-1219</v>
      </c>
      <c r="V77" s="74">
        <v>-13100</v>
      </c>
      <c r="W77" s="74">
        <v>-2862</v>
      </c>
      <c r="X77" s="74">
        <v>-20695</v>
      </c>
      <c r="Y77" s="74">
        <v>33079</v>
      </c>
    </row>
    <row r="78" spans="2:25" ht="14.25" customHeight="1" x14ac:dyDescent="0.35">
      <c r="B78" s="92" t="s">
        <v>363</v>
      </c>
      <c r="C78" s="75">
        <v>0</v>
      </c>
      <c r="D78" s="75">
        <v>0</v>
      </c>
      <c r="E78" s="75">
        <v>-2038.3420000000001</v>
      </c>
      <c r="F78" s="75">
        <v>-2345.174</v>
      </c>
      <c r="G78" s="75">
        <v>-1739</v>
      </c>
      <c r="H78" s="75">
        <v>1048.5793100000001</v>
      </c>
      <c r="I78" s="75">
        <v>-4932.4206899999999</v>
      </c>
      <c r="J78" s="75">
        <v>16150.945930000002</v>
      </c>
      <c r="K78" s="75">
        <v>9344.3179643882104</v>
      </c>
      <c r="L78" s="75">
        <v>-3780</v>
      </c>
      <c r="M78" s="75">
        <v>-7377</v>
      </c>
      <c r="N78" s="75">
        <v>15401.036690000095</v>
      </c>
      <c r="O78" s="75">
        <v>-2674.0147500000239</v>
      </c>
      <c r="P78" s="75">
        <v>-1923.4676899999904</v>
      </c>
      <c r="Q78" s="75">
        <v>6310</v>
      </c>
      <c r="R78" s="75">
        <v>23570</v>
      </c>
      <c r="S78" s="75">
        <v>25283</v>
      </c>
      <c r="T78" s="75">
        <v>10872.828299999994</v>
      </c>
      <c r="U78" s="75">
        <v>21754.228189999994</v>
      </c>
      <c r="V78" s="75">
        <v>27799.03807000001</v>
      </c>
      <c r="W78" s="75">
        <v>4000.6230000000069</v>
      </c>
      <c r="X78" s="75">
        <v>64426.717560000019</v>
      </c>
      <c r="Y78" s="75">
        <v>49605</v>
      </c>
    </row>
    <row r="79" spans="2:25" ht="14.25" customHeight="1" thickBot="1" x14ac:dyDescent="0.4">
      <c r="B79" s="40"/>
      <c r="C79" s="40"/>
      <c r="D79" s="40"/>
      <c r="E79" s="40"/>
      <c r="F79" s="40"/>
      <c r="G79" s="40"/>
      <c r="H79" s="40"/>
      <c r="I79" s="40"/>
      <c r="J79" s="40"/>
      <c r="K79" s="40"/>
      <c r="L79" s="40"/>
      <c r="M79" s="40"/>
      <c r="N79" s="40"/>
      <c r="O79" s="40"/>
      <c r="P79" s="40"/>
      <c r="Q79" s="40"/>
      <c r="R79" s="40"/>
      <c r="S79" s="40"/>
      <c r="T79" s="40"/>
      <c r="U79" s="40"/>
      <c r="V79" s="40"/>
      <c r="W79" s="40"/>
      <c r="X79" s="40"/>
      <c r="Y79" s="40"/>
    </row>
    <row r="80" spans="2:25" ht="14.25" customHeight="1" thickBot="1" x14ac:dyDescent="0.4">
      <c r="B80" s="9" t="s">
        <v>354</v>
      </c>
      <c r="C80" s="10"/>
      <c r="D80" s="10"/>
      <c r="E80" s="10"/>
      <c r="F80" s="10"/>
      <c r="G80" s="10"/>
      <c r="H80" s="10"/>
      <c r="I80" s="10"/>
      <c r="J80" s="10"/>
      <c r="K80" s="10"/>
      <c r="L80" s="10"/>
      <c r="M80" s="10"/>
      <c r="N80" s="10"/>
      <c r="O80" s="10"/>
      <c r="P80" s="10"/>
      <c r="Q80" s="10"/>
      <c r="R80" s="10"/>
      <c r="S80" s="10"/>
      <c r="T80" s="10"/>
      <c r="U80" s="10"/>
      <c r="V80" s="10"/>
      <c r="W80" s="10"/>
      <c r="X80" s="10"/>
      <c r="Y80" s="10"/>
    </row>
    <row r="81" spans="2:25" ht="14.25" customHeight="1" x14ac:dyDescent="0.35">
      <c r="B81" s="95" t="s">
        <v>364</v>
      </c>
      <c r="C81" s="74">
        <v>268980.46346</v>
      </c>
      <c r="D81" s="74">
        <v>544816</v>
      </c>
      <c r="E81" s="74">
        <v>223746</v>
      </c>
      <c r="F81" s="74">
        <v>229423.82925932511</v>
      </c>
      <c r="G81" s="74">
        <v>321459</v>
      </c>
      <c r="H81" s="74">
        <v>389673.41590000025</v>
      </c>
      <c r="I81" s="74">
        <v>1164262.7565299999</v>
      </c>
      <c r="J81" s="74">
        <v>490943.19624999998</v>
      </c>
      <c r="K81" s="74">
        <v>553098.26688999997</v>
      </c>
      <c r="L81" s="74">
        <v>776613.05564999999</v>
      </c>
      <c r="M81" s="74">
        <v>934148.21719</v>
      </c>
      <c r="N81" s="74">
        <v>2754806.2171900002</v>
      </c>
      <c r="O81" s="74">
        <v>1170627.74208</v>
      </c>
      <c r="P81" s="74">
        <v>1373964.6591890401</v>
      </c>
      <c r="Q81" s="74">
        <v>1824955</v>
      </c>
      <c r="R81" s="74">
        <v>1555795</v>
      </c>
      <c r="S81" s="74">
        <v>5925344</v>
      </c>
      <c r="T81" s="74">
        <v>1464378.1717000001</v>
      </c>
      <c r="U81" s="74">
        <v>1412401.61845</v>
      </c>
      <c r="V81" s="74">
        <v>1359637.9489200001</v>
      </c>
      <c r="W81" s="74">
        <v>1601750.7278799999</v>
      </c>
      <c r="X81" s="74">
        <v>5838168.4669500003</v>
      </c>
      <c r="Y81" s="74">
        <v>1493129</v>
      </c>
    </row>
    <row r="82" spans="2:25" ht="14.25" customHeight="1" x14ac:dyDescent="0.35">
      <c r="B82" s="95" t="s">
        <v>356</v>
      </c>
      <c r="C82" s="74">
        <v>0</v>
      </c>
      <c r="D82" s="74">
        <v>0</v>
      </c>
      <c r="E82" s="74">
        <v>0</v>
      </c>
      <c r="F82" s="74">
        <v>0</v>
      </c>
      <c r="G82" s="74">
        <v>0</v>
      </c>
      <c r="H82" s="74">
        <v>6654.8993099999998</v>
      </c>
      <c r="I82" s="74">
        <v>6654.8993099999998</v>
      </c>
      <c r="J82" s="74">
        <v>70835.945930000002</v>
      </c>
      <c r="K82" s="74">
        <v>49013.090760000101</v>
      </c>
      <c r="L82" s="74">
        <v>0</v>
      </c>
      <c r="M82" s="74">
        <v>0</v>
      </c>
      <c r="N82" s="74">
        <v>119849.0366900001</v>
      </c>
      <c r="O82" s="74">
        <v>38257.985249999976</v>
      </c>
      <c r="P82" s="74">
        <v>49124.53231000001</v>
      </c>
      <c r="Q82" s="74">
        <v>78850</v>
      </c>
      <c r="R82" s="74">
        <v>119400</v>
      </c>
      <c r="S82" s="74">
        <v>285632</v>
      </c>
      <c r="T82" s="74">
        <v>258621.82829999999</v>
      </c>
      <c r="U82" s="74">
        <v>292992.22818999999</v>
      </c>
      <c r="V82" s="74">
        <v>333139.03807000001</v>
      </c>
      <c r="W82" s="74">
        <v>77290.623000000007</v>
      </c>
      <c r="X82" s="74">
        <v>962043.71756000002</v>
      </c>
      <c r="Y82" s="74">
        <v>118338</v>
      </c>
    </row>
    <row r="83" spans="2:25" ht="14.25" customHeight="1" x14ac:dyDescent="0.35">
      <c r="B83" s="95" t="s">
        <v>365</v>
      </c>
      <c r="C83" s="70">
        <v>21.827227000000001</v>
      </c>
      <c r="D83" s="74">
        <v>20469</v>
      </c>
      <c r="E83" s="74">
        <v>10785</v>
      </c>
      <c r="F83" s="74">
        <v>12603.560758275</v>
      </c>
      <c r="G83" s="74">
        <v>18453</v>
      </c>
      <c r="H83" s="74">
        <v>19061.157730000006</v>
      </c>
      <c r="I83" s="74">
        <v>60903</v>
      </c>
      <c r="J83" s="74">
        <v>48391</v>
      </c>
      <c r="K83" s="74">
        <v>59644</v>
      </c>
      <c r="L83" s="74">
        <v>62701</v>
      </c>
      <c r="M83" s="74">
        <v>62316</v>
      </c>
      <c r="N83" s="74">
        <v>233051</v>
      </c>
      <c r="O83" s="74">
        <v>85723</v>
      </c>
      <c r="P83" s="74">
        <v>97223</v>
      </c>
      <c r="Q83" s="74">
        <v>111793</v>
      </c>
      <c r="R83" s="74">
        <v>129588</v>
      </c>
      <c r="S83" s="74">
        <v>424326</v>
      </c>
      <c r="T83" s="74">
        <v>163597</v>
      </c>
      <c r="U83" s="74">
        <v>201346</v>
      </c>
      <c r="V83" s="74">
        <v>198388</v>
      </c>
      <c r="W83" s="74">
        <v>186963.00000000006</v>
      </c>
      <c r="X83" s="74">
        <v>750294</v>
      </c>
      <c r="Y83" s="74">
        <v>210083</v>
      </c>
    </row>
    <row r="84" spans="2:25" ht="14.25" customHeight="1" x14ac:dyDescent="0.35">
      <c r="B84" s="92" t="s">
        <v>366</v>
      </c>
      <c r="C84" s="75">
        <f>SUM(C81:C83)</f>
        <v>269002.29068699997</v>
      </c>
      <c r="D84" s="75">
        <v>565285</v>
      </c>
      <c r="E84" s="75">
        <v>234531</v>
      </c>
      <c r="F84" s="75">
        <v>242027.39001760012</v>
      </c>
      <c r="G84" s="75">
        <v>339912</v>
      </c>
      <c r="H84" s="75">
        <v>415389.47294000024</v>
      </c>
      <c r="I84" s="75">
        <v>1231820.6558399999</v>
      </c>
      <c r="J84" s="75">
        <v>610170.14217999997</v>
      </c>
      <c r="K84" s="75">
        <v>661755.35765000002</v>
      </c>
      <c r="L84" s="75">
        <v>839314.05564999999</v>
      </c>
      <c r="M84" s="75">
        <v>996464.21719</v>
      </c>
      <c r="N84" s="75">
        <v>3107706.2538800002</v>
      </c>
      <c r="O84" s="75">
        <v>1294608.7273299999</v>
      </c>
      <c r="P84" s="75">
        <v>1520312.19149904</v>
      </c>
      <c r="Q84" s="75">
        <v>2015598</v>
      </c>
      <c r="R84" s="75">
        <v>1804783</v>
      </c>
      <c r="S84" s="75">
        <v>6635302</v>
      </c>
      <c r="T84" s="75">
        <v>1886597</v>
      </c>
      <c r="U84" s="75">
        <v>1906739.8466399999</v>
      </c>
      <c r="V84" s="75">
        <v>1891164.9869900001</v>
      </c>
      <c r="W84" s="75">
        <v>1866004.3508799998</v>
      </c>
      <c r="X84" s="75">
        <v>7550506.1845100001</v>
      </c>
      <c r="Y84" s="75">
        <v>1821550</v>
      </c>
    </row>
    <row r="85" spans="2:25" ht="14.25" customHeight="1" x14ac:dyDescent="0.35">
      <c r="B85" s="95" t="s">
        <v>367</v>
      </c>
      <c r="C85" s="74">
        <v>-167389</v>
      </c>
      <c r="D85" s="74">
        <v>-311657.59599999996</v>
      </c>
      <c r="E85" s="74">
        <v>-137262.04300000001</v>
      </c>
      <c r="F85" s="74">
        <v>-132921.81600000002</v>
      </c>
      <c r="G85" s="74">
        <v>-185552.51</v>
      </c>
      <c r="H85" s="74">
        <v>-206428.68</v>
      </c>
      <c r="I85" s="74">
        <v>-662305.67999999993</v>
      </c>
      <c r="J85" s="74">
        <v>-344812</v>
      </c>
      <c r="K85" s="74">
        <v>-325032.15094080486</v>
      </c>
      <c r="L85" s="74">
        <v>-444418</v>
      </c>
      <c r="M85" s="74">
        <v>-504746</v>
      </c>
      <c r="N85" s="74">
        <v>-1620068</v>
      </c>
      <c r="O85" s="74">
        <v>-645044</v>
      </c>
      <c r="P85" s="74">
        <v>-755610</v>
      </c>
      <c r="Q85" s="74">
        <v>-986331</v>
      </c>
      <c r="R85" s="74">
        <v>-965504.27616353275</v>
      </c>
      <c r="S85" s="74">
        <v>-3352491.0000000005</v>
      </c>
      <c r="T85" s="74">
        <v>-836326</v>
      </c>
      <c r="U85" s="74">
        <v>-964295</v>
      </c>
      <c r="V85" s="74">
        <v>-1015495</v>
      </c>
      <c r="W85" s="74">
        <v>-1307763</v>
      </c>
      <c r="X85" s="74">
        <v>-4123879</v>
      </c>
      <c r="Y85" s="74">
        <v>-1184892</v>
      </c>
    </row>
    <row r="86" spans="2:25" ht="14.25" customHeight="1" x14ac:dyDescent="0.35">
      <c r="B86" s="95" t="s">
        <v>357</v>
      </c>
      <c r="C86" s="74">
        <v>0</v>
      </c>
      <c r="D86" s="74">
        <v>0</v>
      </c>
      <c r="E86" s="74">
        <v>-2038.3420000000001</v>
      </c>
      <c r="F86" s="74">
        <v>-2345.174</v>
      </c>
      <c r="G86" s="74">
        <v>-1739</v>
      </c>
      <c r="H86" s="74">
        <v>-5606.32</v>
      </c>
      <c r="I86" s="74">
        <v>-11587.32</v>
      </c>
      <c r="J86" s="74">
        <v>-54685</v>
      </c>
      <c r="K86" s="74">
        <v>-39668.772795611891</v>
      </c>
      <c r="L86" s="74">
        <v>-3780</v>
      </c>
      <c r="M86" s="74">
        <v>-7377</v>
      </c>
      <c r="N86" s="74">
        <v>-104448</v>
      </c>
      <c r="O86" s="74">
        <v>-40932</v>
      </c>
      <c r="P86" s="74">
        <v>-51048</v>
      </c>
      <c r="Q86" s="74">
        <v>-76443</v>
      </c>
      <c r="R86" s="74">
        <v>-116728</v>
      </c>
      <c r="S86" s="74">
        <v>-285150</v>
      </c>
      <c r="T86" s="74">
        <v>-244235</v>
      </c>
      <c r="U86" s="74">
        <v>-270019</v>
      </c>
      <c r="V86" s="74">
        <v>-292240</v>
      </c>
      <c r="W86" s="74">
        <v>-70428</v>
      </c>
      <c r="X86" s="74">
        <v>-876922</v>
      </c>
      <c r="Y86" s="74">
        <v>-101812</v>
      </c>
    </row>
    <row r="87" spans="2:25" ht="14.25" customHeight="1" x14ac:dyDescent="0.35">
      <c r="B87" s="95" t="s">
        <v>368</v>
      </c>
      <c r="C87" s="74">
        <v>0</v>
      </c>
      <c r="D87" s="74">
        <v>0</v>
      </c>
      <c r="E87" s="74">
        <v>0</v>
      </c>
      <c r="F87" s="74">
        <v>0</v>
      </c>
      <c r="G87" s="74">
        <v>0</v>
      </c>
      <c r="H87" s="74">
        <v>0</v>
      </c>
      <c r="I87" s="74">
        <v>0</v>
      </c>
      <c r="J87" s="74">
        <v>0</v>
      </c>
      <c r="K87" s="74">
        <v>0</v>
      </c>
      <c r="L87" s="74">
        <v>0</v>
      </c>
      <c r="M87" s="74">
        <v>0</v>
      </c>
      <c r="N87" s="74">
        <v>0</v>
      </c>
      <c r="O87" s="74">
        <v>0</v>
      </c>
      <c r="P87" s="74">
        <v>0</v>
      </c>
      <c r="Q87" s="74">
        <v>3903</v>
      </c>
      <c r="R87" s="74">
        <v>20898</v>
      </c>
      <c r="S87" s="74">
        <v>24801</v>
      </c>
      <c r="T87" s="74">
        <v>-3514</v>
      </c>
      <c r="U87" s="74">
        <v>-1219</v>
      </c>
      <c r="V87" s="74">
        <v>-13100</v>
      </c>
      <c r="W87" s="74">
        <v>-2862</v>
      </c>
      <c r="X87" s="74">
        <v>-20695</v>
      </c>
      <c r="Y87" s="74">
        <v>33079</v>
      </c>
    </row>
    <row r="88" spans="2:25" ht="14.25" customHeight="1" x14ac:dyDescent="0.35">
      <c r="B88" s="92" t="s">
        <v>369</v>
      </c>
      <c r="C88" s="75">
        <f>SUM(C85:C86)</f>
        <v>-167389</v>
      </c>
      <c r="D88" s="75">
        <v>-311657.59599999996</v>
      </c>
      <c r="E88" s="75">
        <v>-139300.38500000001</v>
      </c>
      <c r="F88" s="75">
        <v>-135266.99000000002</v>
      </c>
      <c r="G88" s="75">
        <v>-187291.51</v>
      </c>
      <c r="H88" s="75">
        <v>-212035</v>
      </c>
      <c r="I88" s="75">
        <v>-673892.99999999988</v>
      </c>
      <c r="J88" s="75">
        <v>-399497</v>
      </c>
      <c r="K88" s="75">
        <v>-364700.92373641673</v>
      </c>
      <c r="L88" s="75">
        <v>-448198</v>
      </c>
      <c r="M88" s="75">
        <v>-512123</v>
      </c>
      <c r="N88" s="75">
        <v>-1724516</v>
      </c>
      <c r="O88" s="75">
        <v>-685976</v>
      </c>
      <c r="P88" s="75">
        <v>-806658</v>
      </c>
      <c r="Q88" s="75">
        <v>-1058871</v>
      </c>
      <c r="R88" s="75">
        <v>-1061334.2761635329</v>
      </c>
      <c r="S88" s="75">
        <v>-3612840.0000000005</v>
      </c>
      <c r="T88" s="75">
        <v>-1084075</v>
      </c>
      <c r="U88" s="75">
        <v>-1235533</v>
      </c>
      <c r="V88" s="75">
        <v>-1320835</v>
      </c>
      <c r="W88" s="75">
        <v>-1381053</v>
      </c>
      <c r="X88" s="75">
        <v>-5021496</v>
      </c>
      <c r="Y88" s="75">
        <v>-1253625</v>
      </c>
    </row>
    <row r="89" spans="2:25" ht="14.25" customHeight="1" x14ac:dyDescent="0.35">
      <c r="B89" s="92" t="s">
        <v>370</v>
      </c>
      <c r="C89" s="75">
        <f>C84+C88</f>
        <v>101613.29068699997</v>
      </c>
      <c r="D89" s="75">
        <v>253627.40400000004</v>
      </c>
      <c r="E89" s="75">
        <v>95230.614999999991</v>
      </c>
      <c r="F89" s="75">
        <v>106760.4000176001</v>
      </c>
      <c r="G89" s="75">
        <v>152620.49</v>
      </c>
      <c r="H89" s="75">
        <v>203354.47294000024</v>
      </c>
      <c r="I89" s="75">
        <v>557927.65584000002</v>
      </c>
      <c r="J89" s="75">
        <v>210673.14217999997</v>
      </c>
      <c r="K89" s="75">
        <v>297054.43391358329</v>
      </c>
      <c r="L89" s="75">
        <v>391116.05564999999</v>
      </c>
      <c r="M89" s="75">
        <v>484341.21719</v>
      </c>
      <c r="N89" s="75">
        <v>1383190.2538800002</v>
      </c>
      <c r="O89" s="75">
        <v>608632.72732999991</v>
      </c>
      <c r="P89" s="75">
        <v>713654.19149904</v>
      </c>
      <c r="Q89" s="75">
        <v>956727</v>
      </c>
      <c r="R89" s="75">
        <v>743448.72383646714</v>
      </c>
      <c r="S89" s="75">
        <v>3022461.9999999995</v>
      </c>
      <c r="T89" s="75">
        <v>802522</v>
      </c>
      <c r="U89" s="75">
        <v>671206.84663999989</v>
      </c>
      <c r="V89" s="75">
        <v>570329.98699000012</v>
      </c>
      <c r="W89" s="75">
        <v>484951.35087999981</v>
      </c>
      <c r="X89" s="75">
        <v>2529010.1845100001</v>
      </c>
      <c r="Y89" s="75">
        <v>567925</v>
      </c>
    </row>
    <row r="90" spans="2:25" ht="14.25" customHeight="1" x14ac:dyDescent="0.35">
      <c r="B90" s="94" t="s">
        <v>371</v>
      </c>
      <c r="C90" s="93">
        <f>C89/C84</f>
        <v>0.3777413583634982</v>
      </c>
      <c r="D90" s="93">
        <v>0.44867173903429253</v>
      </c>
      <c r="E90" s="93">
        <v>0.40604702576631657</v>
      </c>
      <c r="F90" s="93">
        <v>0.44110875223600327</v>
      </c>
      <c r="G90" s="93">
        <v>0.44900000588387579</v>
      </c>
      <c r="H90" s="93">
        <v>0.48955133961561226</v>
      </c>
      <c r="I90" s="93">
        <v>0.45292929063568871</v>
      </c>
      <c r="J90" s="93">
        <v>0.34526950372778398</v>
      </c>
      <c r="K90" s="93">
        <v>0.44888859678971316</v>
      </c>
      <c r="L90" s="93">
        <v>0.46599488358038199</v>
      </c>
      <c r="M90" s="93">
        <v>0.4860598191431581</v>
      </c>
      <c r="N90" s="93">
        <v>0.4450839754088966</v>
      </c>
      <c r="O90" s="93">
        <v>0.47012870721584243</v>
      </c>
      <c r="P90" s="93">
        <v>0.46941292419379421</v>
      </c>
      <c r="Q90" s="93">
        <v>0.47466161407185359</v>
      </c>
      <c r="R90" s="93">
        <v>0.41193247267758348</v>
      </c>
      <c r="S90" s="93">
        <v>0.45551234894809606</v>
      </c>
      <c r="T90" s="93">
        <v>0.42538072518932235</v>
      </c>
      <c r="U90" s="93">
        <v>0.352018052081295</v>
      </c>
      <c r="V90" s="93">
        <v>0.30157600786473099</v>
      </c>
      <c r="W90" s="93">
        <v>0.25988757778153027</v>
      </c>
      <c r="X90" s="93">
        <v>0.33494578015157583</v>
      </c>
      <c r="Y90" s="93">
        <v>0.31178117537262223</v>
      </c>
    </row>
    <row r="91" spans="2:25" ht="14.25" customHeight="1" thickBot="1" x14ac:dyDescent="0.4">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2:25" ht="14.25" customHeight="1" thickBot="1" x14ac:dyDescent="0.4">
      <c r="B92" s="9" t="s">
        <v>92</v>
      </c>
      <c r="C92" s="10"/>
      <c r="D92" s="10"/>
      <c r="E92" s="10"/>
      <c r="F92" s="10"/>
      <c r="G92" s="10"/>
      <c r="H92" s="10"/>
      <c r="I92" s="10"/>
      <c r="J92" s="10"/>
      <c r="K92" s="10"/>
      <c r="L92" s="10"/>
      <c r="M92" s="10"/>
      <c r="N92" s="10"/>
      <c r="O92" s="10"/>
      <c r="P92" s="10"/>
      <c r="Q92" s="10"/>
      <c r="R92" s="10"/>
      <c r="S92" s="10"/>
      <c r="T92" s="10"/>
      <c r="U92" s="10"/>
      <c r="V92" s="10"/>
      <c r="W92" s="10"/>
      <c r="X92" s="10"/>
      <c r="Y92" s="10"/>
    </row>
    <row r="93" spans="2:25" ht="14.25" customHeight="1" x14ac:dyDescent="0.35">
      <c r="B93" s="5" t="s">
        <v>93</v>
      </c>
      <c r="C93" s="4">
        <f t="shared" ref="C93:K93" si="20">C94+C95</f>
        <v>137858.86827349989</v>
      </c>
      <c r="D93" s="4">
        <f t="shared" si="20"/>
        <v>257899</v>
      </c>
      <c r="E93" s="4">
        <f t="shared" si="20"/>
        <v>103487.95233252522</v>
      </c>
      <c r="F93" s="4">
        <f t="shared" si="20"/>
        <v>106124.18988938343</v>
      </c>
      <c r="G93" s="4">
        <f t="shared" si="20"/>
        <v>147060.20398693418</v>
      </c>
      <c r="H93" s="4">
        <f t="shared" si="20"/>
        <v>159885.49384815851</v>
      </c>
      <c r="I93" s="4">
        <f t="shared" si="20"/>
        <v>516557.84005700133</v>
      </c>
      <c r="J93" s="4">
        <f t="shared" si="20"/>
        <v>263237.83400000003</v>
      </c>
      <c r="K93" s="4">
        <f t="shared" si="20"/>
        <v>246105.22199999998</v>
      </c>
      <c r="L93" s="4">
        <v>291566.04599999986</v>
      </c>
      <c r="M93" s="4">
        <f t="shared" ref="M93:V93" si="21">M94+M95</f>
        <v>307537.57000000024</v>
      </c>
      <c r="N93" s="4">
        <f t="shared" si="21"/>
        <v>1108446.672</v>
      </c>
      <c r="O93" s="4">
        <f t="shared" si="21"/>
        <v>317549.14499999897</v>
      </c>
      <c r="P93" s="4">
        <f t="shared" si="21"/>
        <v>324991.05299999827</v>
      </c>
      <c r="Q93" s="4">
        <f t="shared" si="21"/>
        <v>405927.4</v>
      </c>
      <c r="R93" s="4">
        <f t="shared" si="21"/>
        <v>367334.864</v>
      </c>
      <c r="S93" s="4">
        <f t="shared" ref="S93" si="22">S94+S95</f>
        <v>1415802.461999997</v>
      </c>
      <c r="T93" s="4">
        <f>T94+T95</f>
        <v>306791.70776000002</v>
      </c>
      <c r="U93" s="4">
        <f t="shared" si="21"/>
        <v>352837.59539999999</v>
      </c>
      <c r="V93" s="4">
        <f t="shared" si="21"/>
        <v>362709.25899999996</v>
      </c>
      <c r="W93" s="4">
        <f t="shared" ref="W93:Y93" si="23">W94+W95</f>
        <v>433877.66333100002</v>
      </c>
      <c r="X93" s="4">
        <f t="shared" si="23"/>
        <v>1456216.2254909999</v>
      </c>
      <c r="Y93" s="4">
        <f t="shared" si="23"/>
        <v>394045.239</v>
      </c>
    </row>
    <row r="94" spans="2:25" ht="14.25" customHeight="1" x14ac:dyDescent="0.35">
      <c r="B94" s="7" t="s">
        <v>94</v>
      </c>
      <c r="C94" s="6">
        <f>46.9952789248*1000</f>
        <v>46995.278924799997</v>
      </c>
      <c r="D94" s="6">
        <v>183007</v>
      </c>
      <c r="E94" s="6">
        <v>61879.236332525223</v>
      </c>
      <c r="F94" s="6">
        <v>80716.267889383424</v>
      </c>
      <c r="G94" s="6">
        <v>93052.212986934173</v>
      </c>
      <c r="H94" s="6">
        <v>79988.170608158573</v>
      </c>
      <c r="I94" s="6">
        <v>315635.88781700138</v>
      </c>
      <c r="J94" s="6">
        <v>93339.274999999994</v>
      </c>
      <c r="K94" s="6">
        <v>101602.67600000001</v>
      </c>
      <c r="L94" s="6">
        <v>100281.73499999999</v>
      </c>
      <c r="M94" s="6">
        <v>105761.14000000019</v>
      </c>
      <c r="N94" s="6">
        <v>400984.82600000018</v>
      </c>
      <c r="O94" s="6">
        <v>127665.08099999896</v>
      </c>
      <c r="P94" s="6">
        <v>164301.82899999822</v>
      </c>
      <c r="Q94" s="6">
        <v>200345.68799999999</v>
      </c>
      <c r="R94" s="6">
        <v>148761.51199999999</v>
      </c>
      <c r="S94" s="6">
        <f>SUM(O94:R94)</f>
        <v>641074.10999999719</v>
      </c>
      <c r="T94" s="6">
        <v>149637.40895900002</v>
      </c>
      <c r="U94" s="6">
        <v>211801.93239999999</v>
      </c>
      <c r="V94" s="6">
        <v>187779.78599999999</v>
      </c>
      <c r="W94" s="6">
        <v>258150.58133099999</v>
      </c>
      <c r="X94" s="6">
        <v>807369.70869</v>
      </c>
      <c r="Y94" s="6">
        <v>234898.489</v>
      </c>
    </row>
    <row r="95" spans="2:25" ht="14.25" customHeight="1" x14ac:dyDescent="0.35">
      <c r="B95" s="7" t="s">
        <v>95</v>
      </c>
      <c r="C95" s="6">
        <f>90.8635893486999*1000</f>
        <v>90863.589348699898</v>
      </c>
      <c r="D95" s="6">
        <v>74892</v>
      </c>
      <c r="E95" s="6">
        <v>41608.716</v>
      </c>
      <c r="F95" s="6">
        <v>25407.922000000006</v>
      </c>
      <c r="G95" s="6">
        <v>54007.991000000002</v>
      </c>
      <c r="H95" s="6">
        <v>79897.323239999954</v>
      </c>
      <c r="I95" s="6">
        <v>200921.95223999996</v>
      </c>
      <c r="J95" s="6">
        <v>169898.55900000001</v>
      </c>
      <c r="K95" s="6">
        <v>144502.54599999997</v>
      </c>
      <c r="L95" s="6">
        <v>191284.3109999999</v>
      </c>
      <c r="M95" s="6">
        <v>201776.43000000005</v>
      </c>
      <c r="N95" s="6">
        <v>707461.8459999999</v>
      </c>
      <c r="O95" s="6">
        <v>189884.06400000004</v>
      </c>
      <c r="P95" s="6">
        <v>160689.22400000005</v>
      </c>
      <c r="Q95" s="6">
        <v>205581.712</v>
      </c>
      <c r="R95" s="6">
        <v>218573.35200000001</v>
      </c>
      <c r="S95" s="6">
        <f>SUM(O95:R95)</f>
        <v>774728.35199999996</v>
      </c>
      <c r="T95" s="6">
        <v>157154.298801</v>
      </c>
      <c r="U95" s="6">
        <v>141035.663</v>
      </c>
      <c r="V95" s="6">
        <v>174929.473</v>
      </c>
      <c r="W95" s="6">
        <v>175727.08199999999</v>
      </c>
      <c r="X95" s="6">
        <v>648846.51680099999</v>
      </c>
      <c r="Y95" s="6">
        <v>159146.75</v>
      </c>
    </row>
    <row r="96" spans="2:25" s="3" customFormat="1" ht="14.25" customHeight="1" x14ac:dyDescent="0.25">
      <c r="B96" s="17" t="s">
        <v>96</v>
      </c>
      <c r="C96" s="48">
        <f>C94/C93</f>
        <v>0.34089412972378019</v>
      </c>
      <c r="D96" s="48">
        <f t="shared" ref="D96:V96" si="24">D94/D93</f>
        <v>0.70960724934955155</v>
      </c>
      <c r="E96" s="48">
        <f t="shared" si="24"/>
        <v>0.5979366190732639</v>
      </c>
      <c r="F96" s="48">
        <f t="shared" si="24"/>
        <v>0.76058312410692153</v>
      </c>
      <c r="G96" s="48">
        <f t="shared" si="24"/>
        <v>0.63274910862493816</v>
      </c>
      <c r="H96" s="48">
        <f t="shared" si="24"/>
        <v>0.50028410134644519</v>
      </c>
      <c r="I96" s="48">
        <f t="shared" si="24"/>
        <v>0.61103687397750361</v>
      </c>
      <c r="J96" s="48">
        <f t="shared" si="24"/>
        <v>0.35458153405106646</v>
      </c>
      <c r="K96" s="48">
        <f t="shared" si="24"/>
        <v>0.41284242233592272</v>
      </c>
      <c r="L96" s="48">
        <f t="shared" si="24"/>
        <v>0.34394174622102613</v>
      </c>
      <c r="M96" s="48">
        <f t="shared" si="24"/>
        <v>0.34389664976542578</v>
      </c>
      <c r="N96" s="48">
        <f t="shared" si="24"/>
        <v>0.36175382734154682</v>
      </c>
      <c r="O96" s="48">
        <f t="shared" si="24"/>
        <v>0.40203251373893439</v>
      </c>
      <c r="P96" s="48">
        <f t="shared" si="24"/>
        <v>0.50555800685380436</v>
      </c>
      <c r="Q96" s="48">
        <f t="shared" si="24"/>
        <v>0.49355054130369119</v>
      </c>
      <c r="R96" s="48">
        <f t="shared" si="24"/>
        <v>0.40497520540277382</v>
      </c>
      <c r="S96" s="48">
        <f t="shared" si="24"/>
        <v>0.45279912078581946</v>
      </c>
      <c r="T96" s="77">
        <f t="shared" si="24"/>
        <v>0.48774919652019999</v>
      </c>
      <c r="U96" s="77">
        <f t="shared" si="24"/>
        <v>0.6002816456106026</v>
      </c>
      <c r="V96" s="77">
        <f t="shared" si="24"/>
        <v>0.51771434376314063</v>
      </c>
      <c r="W96" s="77">
        <f t="shared" ref="W96:Y96" si="25">W94/W93</f>
        <v>0.59498472299566163</v>
      </c>
      <c r="X96" s="77">
        <f t="shared" si="25"/>
        <v>0.5544298261185594</v>
      </c>
      <c r="Y96" s="77">
        <f t="shared" si="25"/>
        <v>0.59612061192801269</v>
      </c>
    </row>
    <row r="97" spans="2:25" ht="14.25" customHeight="1" x14ac:dyDescent="0.35">
      <c r="B97" s="5" t="s">
        <v>97</v>
      </c>
      <c r="C97" s="4"/>
      <c r="D97" s="4"/>
      <c r="E97" s="4"/>
      <c r="F97" s="4"/>
      <c r="G97" s="4"/>
      <c r="H97" s="4"/>
      <c r="I97" s="4"/>
      <c r="J97" s="4"/>
      <c r="K97" s="4"/>
      <c r="L97" s="4"/>
      <c r="M97" s="4"/>
      <c r="N97" s="4"/>
      <c r="O97" s="4"/>
      <c r="P97" s="4"/>
      <c r="Q97" s="4"/>
      <c r="R97" s="4"/>
      <c r="S97" s="4"/>
      <c r="T97" s="4"/>
      <c r="U97" s="4"/>
      <c r="V97" s="4"/>
      <c r="W97" s="4"/>
      <c r="X97" s="4"/>
      <c r="Y97" s="4"/>
    </row>
    <row r="98" spans="2:25" ht="14.25" customHeight="1" x14ac:dyDescent="0.35">
      <c r="B98" s="7" t="s">
        <v>81</v>
      </c>
      <c r="C98" s="6">
        <f>30.700311*1000</f>
        <v>30700.310999999998</v>
      </c>
      <c r="D98" s="6">
        <v>61823</v>
      </c>
      <c r="E98" s="6">
        <v>29200</v>
      </c>
      <c r="F98" s="6">
        <v>26142.225514689337</v>
      </c>
      <c r="G98" s="6">
        <v>33617.758290663674</v>
      </c>
      <c r="H98" s="6">
        <v>34422.359276378455</v>
      </c>
      <c r="I98" s="6">
        <v>123382.34308173147</v>
      </c>
      <c r="J98" s="6">
        <v>61829.859999999971</v>
      </c>
      <c r="K98" s="6">
        <v>78217.931000000026</v>
      </c>
      <c r="L98" s="6">
        <v>73376.252000000008</v>
      </c>
      <c r="M98" s="6">
        <v>64198.5</v>
      </c>
      <c r="N98" s="6">
        <v>277622.54300000001</v>
      </c>
      <c r="O98" s="6">
        <v>99348.160999999993</v>
      </c>
      <c r="P98" s="6">
        <v>95001.8</v>
      </c>
      <c r="Q98" s="6">
        <v>83208.904999999999</v>
      </c>
      <c r="R98" s="6">
        <v>100064.967</v>
      </c>
      <c r="S98" s="6">
        <v>377623.83299999998</v>
      </c>
      <c r="T98" s="6">
        <v>82561.59</v>
      </c>
      <c r="U98" s="6">
        <v>97499.14</v>
      </c>
      <c r="V98" s="6">
        <v>87105.033999000007</v>
      </c>
      <c r="W98" s="6">
        <v>94821.531999999992</v>
      </c>
      <c r="X98" s="6">
        <v>361987.29599899997</v>
      </c>
      <c r="Y98" s="6">
        <v>100662.526</v>
      </c>
    </row>
    <row r="99" spans="2:25" ht="14.25" customHeight="1" x14ac:dyDescent="0.35">
      <c r="B99" s="7" t="s">
        <v>82</v>
      </c>
      <c r="C99" s="6">
        <f>37.539421*1000</f>
        <v>37539.420999999995</v>
      </c>
      <c r="D99" s="6">
        <v>68083</v>
      </c>
      <c r="E99" s="6">
        <v>35101.629999999997</v>
      </c>
      <c r="F99" s="6">
        <v>32947.473572799296</v>
      </c>
      <c r="G99" s="6">
        <v>34541.310916644194</v>
      </c>
      <c r="H99" s="6">
        <v>38363.764517742973</v>
      </c>
      <c r="I99" s="6">
        <v>140954.17900718647</v>
      </c>
      <c r="J99" s="6">
        <v>66681.97000000003</v>
      </c>
      <c r="K99" s="6">
        <v>73364.320000000022</v>
      </c>
      <c r="L99" s="6">
        <v>71655.740000000005</v>
      </c>
      <c r="M99" s="6">
        <v>74175.440999999933</v>
      </c>
      <c r="N99" s="6">
        <v>285877.47099999996</v>
      </c>
      <c r="O99" s="6">
        <v>76614.51999999999</v>
      </c>
      <c r="P99" s="6">
        <v>79718.13</v>
      </c>
      <c r="Q99" s="6">
        <v>69671.33</v>
      </c>
      <c r="R99" s="6">
        <v>68292.793000000005</v>
      </c>
      <c r="S99" s="6">
        <v>294296.77299999999</v>
      </c>
      <c r="T99" s="6">
        <v>76294.76999999999</v>
      </c>
      <c r="U99" s="6">
        <v>85926.87</v>
      </c>
      <c r="V99" s="6">
        <v>75977.329999999987</v>
      </c>
      <c r="W99" s="6">
        <v>79323.92</v>
      </c>
      <c r="X99" s="6">
        <v>317522.88999999996</v>
      </c>
      <c r="Y99" s="6">
        <v>89187.142000000007</v>
      </c>
    </row>
    <row r="100" spans="2:25" ht="14.25" customHeight="1" x14ac:dyDescent="0.35">
      <c r="B100" s="7" t="s">
        <v>83</v>
      </c>
      <c r="C100" s="6">
        <f>50.59576*1000</f>
        <v>50595.76</v>
      </c>
      <c r="D100" s="6">
        <v>107708</v>
      </c>
      <c r="E100" s="6">
        <v>49511.58</v>
      </c>
      <c r="F100" s="6">
        <v>44708.642531677564</v>
      </c>
      <c r="G100" s="6">
        <v>53705.074885820402</v>
      </c>
      <c r="H100" s="6">
        <v>55229.672687169586</v>
      </c>
      <c r="I100" s="6">
        <v>203154.97010466753</v>
      </c>
      <c r="J100" s="6">
        <v>95754.769999999931</v>
      </c>
      <c r="K100" s="6">
        <v>82231.320000000022</v>
      </c>
      <c r="L100" s="6">
        <v>87459.609999999957</v>
      </c>
      <c r="M100" s="6">
        <v>90434.030000000028</v>
      </c>
      <c r="N100" s="6">
        <v>355879.73</v>
      </c>
      <c r="O100" s="6">
        <v>130633.70700000004</v>
      </c>
      <c r="P100" s="6">
        <v>141663.34000000008</v>
      </c>
      <c r="Q100" s="6">
        <v>133311.96300000002</v>
      </c>
      <c r="R100" s="6">
        <v>120852.63</v>
      </c>
      <c r="S100" s="6">
        <v>526461.64000000013</v>
      </c>
      <c r="T100" s="6">
        <v>128918.5</v>
      </c>
      <c r="U100" s="6">
        <v>162230.29999999999</v>
      </c>
      <c r="V100" s="6">
        <v>138139.06</v>
      </c>
      <c r="W100" s="6">
        <v>115628.2</v>
      </c>
      <c r="X100" s="6">
        <v>544916.06000000006</v>
      </c>
      <c r="Y100" s="6">
        <v>180492.62</v>
      </c>
    </row>
    <row r="101" spans="2:25" ht="14.25" customHeight="1" x14ac:dyDescent="0.35">
      <c r="B101" s="52" t="s">
        <v>7</v>
      </c>
      <c r="C101" s="6">
        <f>C100+C99+C98</f>
        <v>118835.492</v>
      </c>
      <c r="D101" s="6">
        <v>237614</v>
      </c>
      <c r="E101" s="6">
        <v>113813.20999999999</v>
      </c>
      <c r="F101" s="6">
        <v>103798.3416191662</v>
      </c>
      <c r="G101" s="6">
        <v>121864.14409312827</v>
      </c>
      <c r="H101" s="6">
        <v>128015.79648129102</v>
      </c>
      <c r="I101" s="6">
        <v>467491.49219358549</v>
      </c>
      <c r="J101" s="6">
        <v>224266.59999999992</v>
      </c>
      <c r="K101" s="6">
        <v>233813.57100000005</v>
      </c>
      <c r="L101" s="6">
        <v>232491.60199999998</v>
      </c>
      <c r="M101" s="6">
        <v>228807.97099999996</v>
      </c>
      <c r="N101" s="6">
        <v>919379.74399999995</v>
      </c>
      <c r="O101" s="6">
        <v>306596.38800000004</v>
      </c>
      <c r="P101" s="6">
        <v>316383.27000000008</v>
      </c>
      <c r="Q101" s="6">
        <v>286192.19799999997</v>
      </c>
      <c r="R101" s="6">
        <v>289210.39</v>
      </c>
      <c r="S101" s="6">
        <v>1198382.2460000003</v>
      </c>
      <c r="T101" s="6">
        <v>287774.86</v>
      </c>
      <c r="U101" s="6">
        <v>345656.31</v>
      </c>
      <c r="V101" s="6">
        <v>301221.42399899999</v>
      </c>
      <c r="W101" s="6">
        <v>289773.652</v>
      </c>
      <c r="X101" s="6">
        <v>1224426.245999</v>
      </c>
      <c r="Y101" s="6">
        <v>370342.288</v>
      </c>
    </row>
    <row r="102" spans="2:25" ht="14.25" customHeight="1" x14ac:dyDescent="0.35">
      <c r="B102" s="52" t="s">
        <v>98</v>
      </c>
      <c r="C102" s="6">
        <f>2.6636*1000</f>
        <v>2663.6000000000004</v>
      </c>
      <c r="D102" s="6">
        <v>7304</v>
      </c>
      <c r="E102" s="6">
        <v>3900.4399999999987</v>
      </c>
      <c r="F102" s="6">
        <v>3277.56</v>
      </c>
      <c r="G102" s="6">
        <v>4058.8</v>
      </c>
      <c r="H102" s="6">
        <v>3802.26</v>
      </c>
      <c r="I102" s="6">
        <v>15039.06</v>
      </c>
      <c r="J102" s="6">
        <v>7616.8909999999978</v>
      </c>
      <c r="K102" s="6">
        <v>8467.2559999999994</v>
      </c>
      <c r="L102" s="6">
        <v>8902.67</v>
      </c>
      <c r="M102" s="6">
        <v>8502.8500000000058</v>
      </c>
      <c r="N102" s="6">
        <v>33489.667000000001</v>
      </c>
      <c r="O102" s="6">
        <v>10410.81</v>
      </c>
      <c r="P102" s="6">
        <v>11616.005999999999</v>
      </c>
      <c r="Q102" s="6">
        <v>11696.619999999999</v>
      </c>
      <c r="R102" s="6">
        <v>10886.191999999999</v>
      </c>
      <c r="S102" s="6">
        <v>44609.627999999997</v>
      </c>
      <c r="T102" s="6">
        <v>9514.98</v>
      </c>
      <c r="U102" s="6">
        <v>13332.22</v>
      </c>
      <c r="V102" s="6">
        <v>13475.96</v>
      </c>
      <c r="W102" s="6">
        <v>13619.005000000001</v>
      </c>
      <c r="X102" s="6">
        <v>49942.164999999994</v>
      </c>
      <c r="Y102" s="6">
        <v>15454.380000000001</v>
      </c>
    </row>
    <row r="103" spans="2:25" ht="14.25" customHeight="1" x14ac:dyDescent="0.35">
      <c r="B103" s="5" t="s">
        <v>99</v>
      </c>
      <c r="C103" s="4">
        <v>28826</v>
      </c>
      <c r="D103" s="4">
        <v>40863.42</v>
      </c>
      <c r="E103" s="4">
        <v>17592.438000000002</v>
      </c>
      <c r="F103" s="4">
        <v>13037.248</v>
      </c>
      <c r="G103" s="4">
        <v>17637.835999999999</v>
      </c>
      <c r="H103" s="4">
        <v>23932.477999999996</v>
      </c>
      <c r="I103" s="4">
        <v>72200</v>
      </c>
      <c r="J103" s="4">
        <v>28018.007999999998</v>
      </c>
      <c r="K103" s="4">
        <v>29472</v>
      </c>
      <c r="L103" s="4">
        <v>45687</v>
      </c>
      <c r="M103" s="4">
        <v>47629.079999999987</v>
      </c>
      <c r="N103" s="4">
        <v>150806.08799999999</v>
      </c>
      <c r="O103" s="4">
        <v>40200</v>
      </c>
      <c r="P103" s="4">
        <v>39818.400000000001</v>
      </c>
      <c r="Q103" s="4">
        <v>46296</v>
      </c>
      <c r="R103" s="4">
        <v>56117.760000000002</v>
      </c>
      <c r="S103" s="4">
        <v>182432.16</v>
      </c>
      <c r="T103" s="4">
        <v>49338.712</v>
      </c>
      <c r="U103" s="4">
        <v>52967.999000000003</v>
      </c>
      <c r="V103" s="4">
        <v>57383.994999999995</v>
      </c>
      <c r="W103" s="4">
        <v>82080</v>
      </c>
      <c r="X103" s="4">
        <v>236807.674</v>
      </c>
      <c r="Y103" s="4">
        <v>48047.996999999988</v>
      </c>
    </row>
    <row r="104" spans="2:25" ht="14.25" customHeight="1" x14ac:dyDescent="0.35">
      <c r="B104" s="5" t="s">
        <v>171</v>
      </c>
      <c r="C104" s="4">
        <v>0</v>
      </c>
      <c r="D104" s="4">
        <v>0</v>
      </c>
      <c r="E104" s="4">
        <v>6557.57</v>
      </c>
      <c r="F104" s="4">
        <v>13091.92</v>
      </c>
      <c r="G104" s="4">
        <v>14458.51</v>
      </c>
      <c r="H104" s="4">
        <v>16029.839991369747</v>
      </c>
      <c r="I104" s="4">
        <v>50137.83999136975</v>
      </c>
      <c r="J104" s="4">
        <v>11018.15</v>
      </c>
      <c r="K104" s="4">
        <v>14071.22</v>
      </c>
      <c r="L104" s="4">
        <v>18415.07</v>
      </c>
      <c r="M104" s="4">
        <v>11710.85</v>
      </c>
      <c r="N104" s="4">
        <v>55215.29</v>
      </c>
      <c r="O104" s="4">
        <v>7807.84</v>
      </c>
      <c r="P104" s="4">
        <v>7949.1799999999994</v>
      </c>
      <c r="Q104" s="4">
        <v>11069.91</v>
      </c>
      <c r="R104" s="4">
        <v>6326.3600000000006</v>
      </c>
      <c r="S104" s="4">
        <f>SUM(O104:R104)</f>
        <v>33153.29</v>
      </c>
      <c r="T104" s="4">
        <v>9513.48</v>
      </c>
      <c r="U104" s="4">
        <v>10957.470000000001</v>
      </c>
      <c r="V104" s="4">
        <v>9924.2099999999991</v>
      </c>
      <c r="W104" s="4">
        <v>7820.74</v>
      </c>
      <c r="X104" s="4">
        <v>38215.899999999994</v>
      </c>
      <c r="Y104" s="4">
        <v>13067.58</v>
      </c>
    </row>
    <row r="105" spans="2:25" ht="14.25" customHeight="1" x14ac:dyDescent="0.35">
      <c r="B105" s="5" t="s">
        <v>172</v>
      </c>
      <c r="C105" s="4">
        <v>0</v>
      </c>
      <c r="D105" s="4">
        <v>0</v>
      </c>
      <c r="E105" s="4">
        <v>0</v>
      </c>
      <c r="F105" s="4">
        <v>0</v>
      </c>
      <c r="G105" s="4">
        <v>0</v>
      </c>
      <c r="H105" s="4">
        <v>10137.620000000001</v>
      </c>
      <c r="I105" s="4">
        <v>10137.620000000001</v>
      </c>
      <c r="J105" s="4">
        <v>127490.63699999999</v>
      </c>
      <c r="K105" s="4">
        <v>95097.163509999838</v>
      </c>
      <c r="L105" s="4">
        <v>0</v>
      </c>
      <c r="M105" s="4">
        <v>0</v>
      </c>
      <c r="N105" s="4">
        <v>222587.80050999983</v>
      </c>
      <c r="O105" s="4">
        <v>28633.120999999999</v>
      </c>
      <c r="P105" s="4">
        <v>36664.741999999998</v>
      </c>
      <c r="Q105" s="4">
        <v>62526.642999999996</v>
      </c>
      <c r="R105" s="4">
        <v>94810.418000000005</v>
      </c>
      <c r="S105" s="4">
        <f>SUM(O105:R105)</f>
        <v>222634.924</v>
      </c>
      <c r="T105" s="4">
        <v>197502.85100000002</v>
      </c>
      <c r="U105" s="4">
        <v>252464.86</v>
      </c>
      <c r="V105" s="4">
        <v>275877.21500000003</v>
      </c>
      <c r="W105" s="4">
        <v>60661.97</v>
      </c>
      <c r="X105" s="4">
        <v>786506.89599999995</v>
      </c>
      <c r="Y105" s="4">
        <v>160124.59899999999</v>
      </c>
    </row>
    <row r="106" spans="2:25" ht="14.25" customHeight="1" thickBot="1" x14ac:dyDescent="0.4">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2:25" ht="14.25" customHeight="1" thickBot="1" x14ac:dyDescent="0.4">
      <c r="B107" s="9" t="s">
        <v>100</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row>
    <row r="108" spans="2:25" ht="14.25" customHeight="1" x14ac:dyDescent="0.35">
      <c r="B108" s="5" t="s">
        <v>182</v>
      </c>
      <c r="C108" s="24">
        <v>1.5721461538461534</v>
      </c>
      <c r="D108" s="24">
        <v>1.6243557692307695</v>
      </c>
      <c r="E108" s="24">
        <v>1.6992384615384615</v>
      </c>
      <c r="F108" s="24">
        <v>1.705023076923077</v>
      </c>
      <c r="G108" s="24">
        <v>1.8985615384615384</v>
      </c>
      <c r="H108" s="24">
        <v>2.0045615384615383</v>
      </c>
      <c r="I108" s="24">
        <v>1.8268461538461542</v>
      </c>
      <c r="J108" s="24">
        <v>1.4692538461538465</v>
      </c>
      <c r="K108" s="24">
        <v>1.7105615384615389</v>
      </c>
      <c r="L108" s="24">
        <v>2.0262714285714285</v>
      </c>
      <c r="M108" s="24">
        <v>2.3557428571428569</v>
      </c>
      <c r="N108" s="24">
        <v>1.901588888888889</v>
      </c>
      <c r="O108" s="24">
        <v>2.7732615384615382</v>
      </c>
      <c r="P108" s="24">
        <v>3.0893153846153849</v>
      </c>
      <c r="Q108" s="24">
        <v>3.5102928571428573</v>
      </c>
      <c r="R108" s="24">
        <v>3.1089249999999997</v>
      </c>
      <c r="S108" s="24">
        <v>3.1281673076923076</v>
      </c>
      <c r="T108" s="24">
        <v>3.3582153846153848</v>
      </c>
      <c r="U108" s="24">
        <v>2.1007157894736843</v>
      </c>
      <c r="V108" s="24">
        <v>2.7634769230769227</v>
      </c>
      <c r="W108" s="24">
        <v>2.701938461538461</v>
      </c>
      <c r="X108" s="24">
        <v>2.7332000000000001</v>
      </c>
      <c r="Y108" s="24">
        <v>2.5352000000000001</v>
      </c>
    </row>
    <row r="109" spans="2:25" ht="14.25" customHeight="1" x14ac:dyDescent="0.35">
      <c r="B109" s="5" t="s">
        <v>181</v>
      </c>
      <c r="C109" s="24">
        <f>C110-C108</f>
        <v>0.12484747891653836</v>
      </c>
      <c r="D109" s="24">
        <f t="shared" ref="D109:V109" si="26">D110-D108</f>
        <v>0.14586838278222802</v>
      </c>
      <c r="E109" s="24">
        <f t="shared" si="26"/>
        <v>6.4496992454419644E-2</v>
      </c>
      <c r="F109" s="24">
        <f t="shared" si="26"/>
        <v>6.100883252826983E-2</v>
      </c>
      <c r="G109" s="24">
        <f t="shared" si="26"/>
        <v>-4.7224517167937963E-2</v>
      </c>
      <c r="H109" s="24">
        <f t="shared" si="26"/>
        <v>7.2433757405479859E-2</v>
      </c>
      <c r="I109" s="24">
        <f t="shared" si="26"/>
        <v>5.9184653260546005E-2</v>
      </c>
      <c r="J109" s="24">
        <f t="shared" si="26"/>
        <v>-2.857947865392263E-2</v>
      </c>
      <c r="K109" s="24">
        <f t="shared" si="26"/>
        <v>-6.118979128260249E-2</v>
      </c>
      <c r="L109" s="24">
        <f t="shared" si="26"/>
        <v>1.9595805125600219E-2</v>
      </c>
      <c r="M109" s="24">
        <f t="shared" si="26"/>
        <v>5.4810393375441357E-2</v>
      </c>
      <c r="N109" s="24">
        <f t="shared" si="26"/>
        <v>1.3700365549866644E-2</v>
      </c>
      <c r="O109" s="24">
        <f t="shared" si="26"/>
        <v>9.6588816202189953E-3</v>
      </c>
      <c r="P109" s="24">
        <f t="shared" si="26"/>
        <v>0.14243819845942562</v>
      </c>
      <c r="Q109" s="24">
        <f t="shared" si="26"/>
        <v>0.2210763482864877</v>
      </c>
      <c r="R109" s="24">
        <f t="shared" si="26"/>
        <v>0.18607125170345951</v>
      </c>
      <c r="S109" s="24">
        <f t="shared" si="26"/>
        <v>0.16257566320104999</v>
      </c>
      <c r="T109" s="24">
        <f t="shared" si="26"/>
        <v>0.29761680260070378</v>
      </c>
      <c r="U109" s="24">
        <f t="shared" si="26"/>
        <v>0.74541232468475371</v>
      </c>
      <c r="V109" s="24">
        <f t="shared" si="26"/>
        <v>-3.2595437639022506E-2</v>
      </c>
      <c r="W109" s="24">
        <f t="shared" ref="W109:X109" si="27">W110-W108</f>
        <v>0.14274819627274926</v>
      </c>
      <c r="X109" s="24">
        <f t="shared" si="27"/>
        <v>0.25437967659170857</v>
      </c>
      <c r="Y109" s="24">
        <f t="shared" ref="Y109" si="28">Y110-Y108</f>
        <v>0.29960395001041995</v>
      </c>
    </row>
    <row r="110" spans="2:25" ht="14.25" customHeight="1" x14ac:dyDescent="0.35">
      <c r="B110" s="5" t="s">
        <v>134</v>
      </c>
      <c r="C110" s="24">
        <f t="shared" ref="C110:Y110" si="29">C23/C93</f>
        <v>1.6969936327626918</v>
      </c>
      <c r="D110" s="24">
        <f t="shared" si="29"/>
        <v>1.7702241520129975</v>
      </c>
      <c r="E110" s="24">
        <f t="shared" si="29"/>
        <v>1.7637354539928811</v>
      </c>
      <c r="F110" s="24">
        <f t="shared" si="29"/>
        <v>1.7660319094513468</v>
      </c>
      <c r="G110" s="24">
        <f t="shared" si="29"/>
        <v>1.8513370212936004</v>
      </c>
      <c r="H110" s="24">
        <f t="shared" si="29"/>
        <v>2.0769952958670181</v>
      </c>
      <c r="I110" s="24">
        <f t="shared" si="29"/>
        <v>1.8860308071067002</v>
      </c>
      <c r="J110" s="24">
        <f t="shared" si="29"/>
        <v>1.4406743674999238</v>
      </c>
      <c r="K110" s="24">
        <f t="shared" si="29"/>
        <v>1.6493717471789364</v>
      </c>
      <c r="L110" s="24">
        <f t="shared" si="29"/>
        <v>2.0458672336970287</v>
      </c>
      <c r="M110" s="24">
        <f t="shared" si="29"/>
        <v>2.4105532505182983</v>
      </c>
      <c r="N110" s="24">
        <f t="shared" si="29"/>
        <v>1.9152892544387556</v>
      </c>
      <c r="O110" s="24">
        <f t="shared" si="29"/>
        <v>2.7829204200817572</v>
      </c>
      <c r="P110" s="24">
        <f t="shared" si="29"/>
        <v>3.2317535830748105</v>
      </c>
      <c r="Q110" s="24">
        <f t="shared" si="29"/>
        <v>3.731369205429345</v>
      </c>
      <c r="R110" s="24">
        <f t="shared" si="29"/>
        <v>3.2949962517034592</v>
      </c>
      <c r="S110" s="24">
        <f t="shared" si="29"/>
        <v>3.2907429708933575</v>
      </c>
      <c r="T110" s="24">
        <f t="shared" si="29"/>
        <v>3.6558321872160886</v>
      </c>
      <c r="U110" s="24">
        <f t="shared" si="29"/>
        <v>2.846128114158438</v>
      </c>
      <c r="V110" s="24">
        <f t="shared" si="29"/>
        <v>2.7308814854379002</v>
      </c>
      <c r="W110" s="24">
        <f t="shared" si="29"/>
        <v>2.8446866578112102</v>
      </c>
      <c r="X110" s="24">
        <f t="shared" si="29"/>
        <v>2.9875796765917086</v>
      </c>
      <c r="Y110" s="24">
        <f t="shared" si="29"/>
        <v>2.8348039500104201</v>
      </c>
    </row>
    <row r="111" spans="2:25" ht="14.25" customHeight="1" x14ac:dyDescent="0.35">
      <c r="B111" s="52" t="s">
        <v>135</v>
      </c>
      <c r="C111" s="49">
        <f t="shared" ref="C111:Y111" si="30">C24/C94</f>
        <v>1.8235310601545645</v>
      </c>
      <c r="D111" s="49">
        <f t="shared" si="30"/>
        <v>1.7922151404591085</v>
      </c>
      <c r="E111" s="49">
        <f t="shared" si="30"/>
        <v>1.8530610071496434</v>
      </c>
      <c r="F111" s="49">
        <f t="shared" si="30"/>
        <v>1.7987427791408284</v>
      </c>
      <c r="G111" s="49">
        <f t="shared" si="30"/>
        <v>1.9624466107607885</v>
      </c>
      <c r="H111" s="49">
        <f t="shared" si="30"/>
        <v>2.109808666917897</v>
      </c>
      <c r="I111" s="49">
        <f t="shared" si="30"/>
        <v>1.9363577577539306</v>
      </c>
      <c r="J111" s="49">
        <f t="shared" si="30"/>
        <v>1.5206353381253499</v>
      </c>
      <c r="K111" s="49">
        <f t="shared" si="30"/>
        <v>1.775356782925678</v>
      </c>
      <c r="L111" s="49">
        <f t="shared" si="30"/>
        <v>2.1177183044350003</v>
      </c>
      <c r="M111" s="49">
        <f t="shared" si="30"/>
        <v>2.4719083417595464</v>
      </c>
      <c r="N111" s="49">
        <f t="shared" si="30"/>
        <v>1.9852970695704073</v>
      </c>
      <c r="O111" s="49">
        <f t="shared" si="30"/>
        <v>2.9897290395327687</v>
      </c>
      <c r="P111" s="49">
        <f t="shared" si="30"/>
        <v>3.4390000612835911</v>
      </c>
      <c r="Q111" s="49">
        <f t="shared" si="30"/>
        <v>3.8793597594174325</v>
      </c>
      <c r="R111" s="49">
        <f t="shared" si="30"/>
        <v>3.4621858374227874</v>
      </c>
      <c r="S111" s="49">
        <f t="shared" si="30"/>
        <v>3.4925291242848817</v>
      </c>
      <c r="T111" s="49">
        <f t="shared" si="30"/>
        <v>3.7737488501603473</v>
      </c>
      <c r="U111" s="49">
        <f t="shared" si="30"/>
        <v>3.0428711990353872</v>
      </c>
      <c r="V111" s="49">
        <f t="shared" si="30"/>
        <v>2.8256289524155704</v>
      </c>
      <c r="W111" s="49">
        <f t="shared" si="30"/>
        <v>2.9643318874374573</v>
      </c>
      <c r="X111" s="49">
        <f t="shared" si="30"/>
        <v>3.1026925744644633</v>
      </c>
      <c r="Y111" s="49">
        <f t="shared" si="30"/>
        <v>2.958294891373269</v>
      </c>
    </row>
    <row r="112" spans="2:25" ht="14.25" customHeight="1" x14ac:dyDescent="0.35">
      <c r="B112" s="52" t="s">
        <v>136</v>
      </c>
      <c r="C112" s="49">
        <f t="shared" ref="C112:Y112" si="31">C25/C95</f>
        <v>1.6315475972568012</v>
      </c>
      <c r="D112" s="49">
        <f t="shared" si="31"/>
        <v>1.7164867057896707</v>
      </c>
      <c r="E112" s="49">
        <f t="shared" si="31"/>
        <v>1.6308931664702173</v>
      </c>
      <c r="F112" s="49">
        <f t="shared" si="31"/>
        <v>1.6621155277515405</v>
      </c>
      <c r="G112" s="49">
        <f t="shared" si="31"/>
        <v>1.6599025133151128</v>
      </c>
      <c r="H112" s="49">
        <f t="shared" si="31"/>
        <v>2.0441446143246287</v>
      </c>
      <c r="I112" s="49">
        <f t="shared" si="31"/>
        <v>1.8069702984287512</v>
      </c>
      <c r="J112" s="49">
        <f t="shared" si="31"/>
        <v>1.3967452190103624</v>
      </c>
      <c r="K112" s="49">
        <f t="shared" si="31"/>
        <v>1.5607891088645596</v>
      </c>
      <c r="L112" s="49">
        <f t="shared" si="31"/>
        <v>2.0081989586694355</v>
      </c>
      <c r="M112" s="49">
        <f t="shared" si="31"/>
        <v>2.3783939720808789</v>
      </c>
      <c r="N112" s="49">
        <f t="shared" si="31"/>
        <v>1.8756092749063957</v>
      </c>
      <c r="O112" s="49">
        <f t="shared" si="31"/>
        <v>2.6438764234580523</v>
      </c>
      <c r="P112" s="49">
        <f t="shared" si="31"/>
        <v>3.0198478026130728</v>
      </c>
      <c r="Q112" s="49">
        <f t="shared" si="31"/>
        <v>3.5871478684835547</v>
      </c>
      <c r="R112" s="49">
        <f t="shared" si="31"/>
        <v>3.1812066459043917</v>
      </c>
      <c r="S112" s="49">
        <f t="shared" si="31"/>
        <v>3.1237684715584026</v>
      </c>
      <c r="T112" s="49">
        <f t="shared" si="31"/>
        <v>3.5435556281229545</v>
      </c>
      <c r="U112" s="49">
        <f t="shared" si="31"/>
        <v>2.5506669189054687</v>
      </c>
      <c r="V112" s="49">
        <f t="shared" si="31"/>
        <v>2.6291738728327387</v>
      </c>
      <c r="W112" s="49">
        <f t="shared" si="31"/>
        <v>2.6689227105017315</v>
      </c>
      <c r="X112" s="49">
        <f t="shared" si="31"/>
        <v>2.8443429258109498</v>
      </c>
      <c r="Y112" s="49">
        <f t="shared" si="31"/>
        <v>2.6525329609307131</v>
      </c>
    </row>
    <row r="113" spans="2:25" ht="14.25" customHeight="1" x14ac:dyDescent="0.35">
      <c r="B113" s="5" t="s">
        <v>97</v>
      </c>
      <c r="C113" s="4"/>
      <c r="D113" s="4"/>
      <c r="E113" s="4"/>
      <c r="F113" s="4"/>
      <c r="G113" s="4"/>
      <c r="H113" s="4"/>
      <c r="I113" s="4"/>
      <c r="J113" s="4"/>
      <c r="K113" s="4"/>
      <c r="L113" s="4"/>
      <c r="M113" s="4"/>
      <c r="N113" s="4"/>
      <c r="O113" s="4"/>
      <c r="P113" s="4"/>
      <c r="Q113" s="4"/>
      <c r="R113" s="4"/>
      <c r="S113" s="4"/>
      <c r="T113" s="4"/>
      <c r="U113" s="4"/>
      <c r="V113" s="4"/>
      <c r="W113" s="4"/>
      <c r="X113" s="4"/>
      <c r="Y113" s="4"/>
    </row>
    <row r="114" spans="2:25" ht="14.25" customHeight="1" x14ac:dyDescent="0.35">
      <c r="B114" s="52" t="s">
        <v>137</v>
      </c>
      <c r="C114" s="50">
        <f t="shared" ref="C114:Y114" si="32">C27/C98*1000</f>
        <v>498.36100161982074</v>
      </c>
      <c r="D114" s="50">
        <f t="shared" si="32"/>
        <v>604.43169677951573</v>
      </c>
      <c r="E114" s="50">
        <f t="shared" si="32"/>
        <v>651.55802179041052</v>
      </c>
      <c r="F114" s="50">
        <f t="shared" si="32"/>
        <v>657.06142630237071</v>
      </c>
      <c r="G114" s="50">
        <f t="shared" si="32"/>
        <v>622.02243883130666</v>
      </c>
      <c r="H114" s="50">
        <f t="shared" si="32"/>
        <v>739.44669003169929</v>
      </c>
      <c r="I114" s="50">
        <f t="shared" si="32"/>
        <v>669.19657859784343</v>
      </c>
      <c r="J114" s="50">
        <f t="shared" si="32"/>
        <v>841.63218224980653</v>
      </c>
      <c r="K114" s="50">
        <f t="shared" si="32"/>
        <v>992.4322851239823</v>
      </c>
      <c r="L114" s="50">
        <f t="shared" si="32"/>
        <v>1174.7571002945203</v>
      </c>
      <c r="M114" s="50">
        <f t="shared" si="32"/>
        <v>1460.8419963083243</v>
      </c>
      <c r="N114" s="50">
        <f t="shared" si="32"/>
        <v>1115.3561114091517</v>
      </c>
      <c r="O114" s="50">
        <f t="shared" si="32"/>
        <v>1634.5445991697825</v>
      </c>
      <c r="P114" s="50">
        <f t="shared" si="32"/>
        <v>1671.4420147828778</v>
      </c>
      <c r="Q114" s="50">
        <f t="shared" si="32"/>
        <v>1641.4108562058352</v>
      </c>
      <c r="R114" s="50">
        <f t="shared" si="32"/>
        <v>1632.759245301105</v>
      </c>
      <c r="S114" s="50">
        <f t="shared" si="32"/>
        <v>1644.8670494798987</v>
      </c>
      <c r="T114" s="50">
        <f t="shared" si="32"/>
        <v>1727.0621847277894</v>
      </c>
      <c r="U114" s="50">
        <f t="shared" si="32"/>
        <v>1679.1225030292576</v>
      </c>
      <c r="V114" s="50">
        <f t="shared" si="32"/>
        <v>1739.1761766804334</v>
      </c>
      <c r="W114" s="50">
        <f t="shared" si="32"/>
        <v>1744.9412228437736</v>
      </c>
      <c r="X114" s="50">
        <f t="shared" si="32"/>
        <v>1721.7482682091745</v>
      </c>
      <c r="Y114" s="50">
        <f t="shared" si="32"/>
        <v>1555.3255637554735</v>
      </c>
    </row>
    <row r="115" spans="2:25" ht="14.25" customHeight="1" x14ac:dyDescent="0.35">
      <c r="B115" s="52" t="s">
        <v>138</v>
      </c>
      <c r="C115" s="50">
        <f t="shared" ref="C115:Y115" si="33">C28/C99*1000</f>
        <v>202.01191249060557</v>
      </c>
      <c r="D115" s="50">
        <f t="shared" si="33"/>
        <v>292.65910697237194</v>
      </c>
      <c r="E115" s="50">
        <f t="shared" si="33"/>
        <v>285.16521449644921</v>
      </c>
      <c r="F115" s="50">
        <f t="shared" si="33"/>
        <v>334.15099696260603</v>
      </c>
      <c r="G115" s="50">
        <f t="shared" si="33"/>
        <v>327.20240489060245</v>
      </c>
      <c r="H115" s="50">
        <f t="shared" si="33"/>
        <v>385.6423191513843</v>
      </c>
      <c r="I115" s="50">
        <f t="shared" si="33"/>
        <v>334.26384688795082</v>
      </c>
      <c r="J115" s="50">
        <f t="shared" si="33"/>
        <v>404.0072601334362</v>
      </c>
      <c r="K115" s="50">
        <f t="shared" si="33"/>
        <v>428.31447221210516</v>
      </c>
      <c r="L115" s="50">
        <f t="shared" si="33"/>
        <v>453.45953234172146</v>
      </c>
      <c r="M115" s="50">
        <f t="shared" si="33"/>
        <v>513.348481338993</v>
      </c>
      <c r="N115" s="50">
        <f t="shared" si="33"/>
        <v>451.01140551225882</v>
      </c>
      <c r="O115" s="50">
        <f t="shared" si="33"/>
        <v>553.17190527330865</v>
      </c>
      <c r="P115" s="50">
        <f t="shared" si="33"/>
        <v>739.95714651108847</v>
      </c>
      <c r="Q115" s="50">
        <f t="shared" si="33"/>
        <v>944.5779203583453</v>
      </c>
      <c r="R115" s="50">
        <f t="shared" si="33"/>
        <v>1160.0492016778403</v>
      </c>
      <c r="S115" s="50">
        <f t="shared" si="33"/>
        <v>837.25348901464167</v>
      </c>
      <c r="T115" s="50">
        <f t="shared" si="33"/>
        <v>1126.0404874410135</v>
      </c>
      <c r="U115" s="50">
        <f t="shared" si="33"/>
        <v>1113.2373377501124</v>
      </c>
      <c r="V115" s="50">
        <f t="shared" si="33"/>
        <v>1127.6389944210991</v>
      </c>
      <c r="W115" s="50">
        <f t="shared" si="33"/>
        <v>1096.6553342295742</v>
      </c>
      <c r="X115" s="50">
        <f t="shared" si="33"/>
        <v>1115.6172079436542</v>
      </c>
      <c r="Y115" s="50">
        <f t="shared" si="33"/>
        <v>1042.9418177790694</v>
      </c>
    </row>
    <row r="116" spans="2:25" ht="14.25" customHeight="1" x14ac:dyDescent="0.35">
      <c r="B116" s="52" t="s">
        <v>139</v>
      </c>
      <c r="C116" s="50">
        <f t="shared" ref="C116:Y116" si="34">C29/C100*1000</f>
        <v>59.612219877713066</v>
      </c>
      <c r="D116" s="50">
        <f t="shared" si="34"/>
        <v>81.116682790507681</v>
      </c>
      <c r="E116" s="50">
        <f t="shared" si="34"/>
        <v>42.817492930441738</v>
      </c>
      <c r="F116" s="50">
        <f t="shared" si="34"/>
        <v>96.286516151768168</v>
      </c>
      <c r="G116" s="50">
        <f t="shared" si="34"/>
        <v>94.311385111526917</v>
      </c>
      <c r="H116" s="50">
        <f t="shared" si="34"/>
        <v>105.7724206168815</v>
      </c>
      <c r="I116" s="50">
        <f t="shared" si="34"/>
        <v>85.312100998294994</v>
      </c>
      <c r="J116" s="50">
        <f t="shared" si="34"/>
        <v>106.97117229773521</v>
      </c>
      <c r="K116" s="50">
        <f t="shared" si="34"/>
        <v>103.36694096604552</v>
      </c>
      <c r="L116" s="50">
        <f t="shared" si="34"/>
        <v>114.1779567734181</v>
      </c>
      <c r="M116" s="50">
        <f t="shared" si="34"/>
        <v>160.54622159379593</v>
      </c>
      <c r="N116" s="50">
        <f t="shared" si="34"/>
        <v>121.52420144861861</v>
      </c>
      <c r="O116" s="50">
        <f t="shared" si="34"/>
        <v>165.97553952901293</v>
      </c>
      <c r="P116" s="50">
        <f t="shared" si="34"/>
        <v>173.72878544300866</v>
      </c>
      <c r="Q116" s="50">
        <f t="shared" si="34"/>
        <v>172.43013667123031</v>
      </c>
      <c r="R116" s="50">
        <f t="shared" si="34"/>
        <v>202.59385335677013</v>
      </c>
      <c r="S116" s="50">
        <f t="shared" si="34"/>
        <v>178.10034554464403</v>
      </c>
      <c r="T116" s="50">
        <f t="shared" si="34"/>
        <v>356.15524536819777</v>
      </c>
      <c r="U116" s="50">
        <f t="shared" si="34"/>
        <v>363.45245000471556</v>
      </c>
      <c r="V116" s="50">
        <f t="shared" si="34"/>
        <v>360.882722091782</v>
      </c>
      <c r="W116" s="50">
        <f t="shared" si="34"/>
        <v>340.53111611181356</v>
      </c>
      <c r="X116" s="50">
        <f t="shared" si="34"/>
        <v>356.21082630598181</v>
      </c>
      <c r="Y116" s="50">
        <f t="shared" si="34"/>
        <v>329.947008359677</v>
      </c>
    </row>
    <row r="117" spans="2:25" ht="14.25" customHeight="1" x14ac:dyDescent="0.35">
      <c r="B117" s="52" t="s">
        <v>140</v>
      </c>
      <c r="C117" s="50">
        <f t="shared" ref="C117:Y117" si="35">C30/C102*1000</f>
        <v>1294.6644541222406</v>
      </c>
      <c r="D117" s="50">
        <f t="shared" si="35"/>
        <v>1687.0478450164285</v>
      </c>
      <c r="E117" s="50">
        <f t="shared" si="35"/>
        <v>1667.1876772876908</v>
      </c>
      <c r="F117" s="50">
        <f t="shared" si="35"/>
        <v>1773.5100055634073</v>
      </c>
      <c r="G117" s="50">
        <f t="shared" si="35"/>
        <v>1740.9086429486547</v>
      </c>
      <c r="H117" s="50">
        <f t="shared" si="35"/>
        <v>1230.2539910474277</v>
      </c>
      <c r="I117" s="50">
        <f t="shared" si="35"/>
        <v>1599.7872538466095</v>
      </c>
      <c r="J117" s="50">
        <f t="shared" si="35"/>
        <v>2131.4470694145425</v>
      </c>
      <c r="K117" s="50">
        <f t="shared" si="35"/>
        <v>2636.1550896772223</v>
      </c>
      <c r="L117" s="50">
        <f t="shared" si="35"/>
        <v>4417.7662060932289</v>
      </c>
      <c r="M117" s="50">
        <f t="shared" si="35"/>
        <v>4473.0579911441391</v>
      </c>
      <c r="N117" s="50">
        <f t="shared" si="35"/>
        <v>3461.3661581048264</v>
      </c>
      <c r="O117" s="50">
        <f t="shared" si="35"/>
        <v>5022.0876185426496</v>
      </c>
      <c r="P117" s="50">
        <f t="shared" si="35"/>
        <v>5397.0357797680208</v>
      </c>
      <c r="Q117" s="50">
        <f t="shared" si="35"/>
        <v>6009.513859559429</v>
      </c>
      <c r="R117" s="50">
        <f t="shared" si="35"/>
        <v>6154.401833074412</v>
      </c>
      <c r="S117" s="50">
        <f t="shared" si="35"/>
        <v>5654.9675778511319</v>
      </c>
      <c r="T117" s="50">
        <f t="shared" si="35"/>
        <v>6774.3705189080802</v>
      </c>
      <c r="U117" s="50">
        <f t="shared" si="35"/>
        <v>6472.7404738295645</v>
      </c>
      <c r="V117" s="50">
        <f t="shared" si="35"/>
        <v>5565.7630328377345</v>
      </c>
      <c r="W117" s="50">
        <f t="shared" si="35"/>
        <v>5160.8028633516169</v>
      </c>
      <c r="X117" s="50">
        <f t="shared" si="35"/>
        <v>5927.7165897793984</v>
      </c>
      <c r="Y117" s="50">
        <f t="shared" si="35"/>
        <v>3947.0363741541232</v>
      </c>
    </row>
    <row r="118" spans="2:25" ht="14.25" customHeight="1" x14ac:dyDescent="0.35">
      <c r="B118" s="5" t="s">
        <v>141</v>
      </c>
      <c r="C118" s="23">
        <f t="shared" ref="C118:Y118" si="36">C31/C103*1000</f>
        <v>197.28717130368418</v>
      </c>
      <c r="D118" s="23">
        <f t="shared" si="36"/>
        <v>242.88430875340342</v>
      </c>
      <c r="E118" s="23">
        <f t="shared" si="36"/>
        <v>202.50723748465111</v>
      </c>
      <c r="F118" s="23">
        <f t="shared" si="36"/>
        <v>283.88840574329799</v>
      </c>
      <c r="G118" s="23">
        <f t="shared" si="36"/>
        <v>275.37391775272209</v>
      </c>
      <c r="H118" s="23">
        <f t="shared" si="36"/>
        <v>285.14744022745981</v>
      </c>
      <c r="I118" s="23">
        <f t="shared" si="36"/>
        <v>262.39274972299165</v>
      </c>
      <c r="J118" s="23">
        <f t="shared" si="36"/>
        <v>222.9707497406668</v>
      </c>
      <c r="K118" s="23">
        <f t="shared" si="36"/>
        <v>248.00715560532029</v>
      </c>
      <c r="L118" s="23">
        <f t="shared" si="36"/>
        <v>264.84679777617259</v>
      </c>
      <c r="M118" s="23">
        <f t="shared" si="36"/>
        <v>176.31859905755056</v>
      </c>
      <c r="N118" s="23">
        <f t="shared" si="36"/>
        <v>225.8543911702026</v>
      </c>
      <c r="O118" s="23">
        <f t="shared" si="36"/>
        <v>203.42641990049751</v>
      </c>
      <c r="P118" s="23">
        <f t="shared" si="36"/>
        <v>466.93637084965746</v>
      </c>
      <c r="Q118" s="23">
        <f t="shared" si="36"/>
        <v>315.83722135821665</v>
      </c>
      <c r="R118" s="23">
        <f t="shared" si="36"/>
        <v>202.09288467679391</v>
      </c>
      <c r="S118" s="23">
        <f t="shared" si="36"/>
        <v>289.04443163968455</v>
      </c>
      <c r="T118" s="23">
        <f t="shared" si="36"/>
        <v>79.575885564260346</v>
      </c>
      <c r="U118" s="23">
        <f t="shared" si="36"/>
        <v>67.052154452729098</v>
      </c>
      <c r="V118" s="23">
        <f t="shared" si="36"/>
        <v>123.72698903239481</v>
      </c>
      <c r="W118" s="23">
        <f t="shared" si="36"/>
        <v>65.737425438596489</v>
      </c>
      <c r="X118" s="23">
        <f t="shared" si="36"/>
        <v>84.344677740468825</v>
      </c>
      <c r="Y118" s="23">
        <f t="shared" si="36"/>
        <v>123.95938169909562</v>
      </c>
    </row>
    <row r="119" spans="2:25" ht="14.25" customHeight="1" x14ac:dyDescent="0.35">
      <c r="B119" s="5" t="s">
        <v>170</v>
      </c>
      <c r="C119" s="23">
        <v>0</v>
      </c>
      <c r="D119" s="23">
        <v>0</v>
      </c>
      <c r="E119" s="23">
        <v>55.312499904690313</v>
      </c>
      <c r="F119" s="23">
        <v>55.312498533133976</v>
      </c>
      <c r="G119" s="23">
        <v>63.118595481525084</v>
      </c>
      <c r="H119" s="23">
        <v>68.062499842329487</v>
      </c>
      <c r="I119" s="23">
        <v>61.639955414286511</v>
      </c>
      <c r="J119" s="23">
        <v>79.225055022848665</v>
      </c>
      <c r="K119" s="23">
        <v>81.674999875632679</v>
      </c>
      <c r="L119" s="23">
        <v>62.045145090406905</v>
      </c>
      <c r="M119" s="23">
        <v>81.674998804527391</v>
      </c>
      <c r="N119" s="23">
        <v>74.639285268627575</v>
      </c>
      <c r="O119" s="23">
        <v>88.083526301768472</v>
      </c>
      <c r="P119" s="23">
        <v>91.475999919488544</v>
      </c>
      <c r="Q119" s="23">
        <v>91.475999999999999</v>
      </c>
      <c r="R119" s="23">
        <v>91.475999999999999</v>
      </c>
      <c r="S119" s="23">
        <v>90.67704764866474</v>
      </c>
      <c r="T119" s="23">
        <v>100.6235989360335</v>
      </c>
      <c r="U119" s="23">
        <v>105.19740055896793</v>
      </c>
      <c r="V119" s="23">
        <v>105.19740055896793</v>
      </c>
      <c r="W119" s="23">
        <v>105.1973979134098</v>
      </c>
      <c r="X119" s="23">
        <v>105.1973979134098</v>
      </c>
      <c r="Y119" s="23">
        <v>105.1974</v>
      </c>
    </row>
    <row r="120" spans="2:25" ht="14.25" customHeight="1" x14ac:dyDescent="0.35">
      <c r="B120" s="5" t="s">
        <v>211</v>
      </c>
      <c r="C120" s="23">
        <v>0</v>
      </c>
      <c r="D120" s="23">
        <v>0</v>
      </c>
      <c r="E120" s="23">
        <v>0</v>
      </c>
      <c r="F120" s="23">
        <v>0</v>
      </c>
      <c r="G120" s="23">
        <v>0</v>
      </c>
      <c r="H120" s="23">
        <v>39.387347187998756</v>
      </c>
      <c r="I120" s="23">
        <v>39.387347187998756</v>
      </c>
      <c r="J120" s="23">
        <v>33.337010903788965</v>
      </c>
      <c r="K120" s="23">
        <v>30.924008004621168</v>
      </c>
      <c r="L120" s="23">
        <v>0</v>
      </c>
      <c r="M120" s="23">
        <v>0</v>
      </c>
      <c r="N120" s="23">
        <v>32.310781737236368</v>
      </c>
      <c r="O120" s="23">
        <v>80.168666035393017</v>
      </c>
      <c r="P120" s="23">
        <v>80.389818060086199</v>
      </c>
      <c r="Q120" s="23">
        <v>75.663138020670203</v>
      </c>
      <c r="R120" s="23">
        <v>75.561043382384455</v>
      </c>
      <c r="S120" s="23">
        <v>76.977532871159838</v>
      </c>
      <c r="T120" s="23">
        <v>77.36373612247246</v>
      </c>
      <c r="U120" s="23">
        <v>67.460592812797842</v>
      </c>
      <c r="V120" s="23">
        <v>71.203833891827529</v>
      </c>
      <c r="W120" s="23">
        <v>69.115917026763299</v>
      </c>
      <c r="X120" s="23">
        <v>71.533662614065321</v>
      </c>
      <c r="Y120" s="23">
        <v>43.075712127209535</v>
      </c>
    </row>
    <row r="121" spans="2:25" ht="14.25" customHeight="1" x14ac:dyDescent="0.35">
      <c r="B121" s="5" t="s">
        <v>142</v>
      </c>
      <c r="C121" s="23">
        <v>17.7</v>
      </c>
      <c r="D121" s="23">
        <v>18.25</v>
      </c>
      <c r="E121" s="23">
        <v>21.49</v>
      </c>
      <c r="F121" s="23">
        <v>21.34</v>
      </c>
      <c r="G121" s="23">
        <v>22.75</v>
      </c>
      <c r="H121" s="23">
        <v>24.252280173674752</v>
      </c>
      <c r="I121" s="23">
        <v>22.53</v>
      </c>
      <c r="J121" s="23">
        <v>24.01</v>
      </c>
      <c r="K121" s="23">
        <v>24.21</v>
      </c>
      <c r="L121" s="23">
        <v>28.79</v>
      </c>
      <c r="M121" s="23">
        <v>31.553207990189691</v>
      </c>
      <c r="N121" s="23">
        <v>27.244265210836751</v>
      </c>
      <c r="O121" s="23">
        <v>40.65241110080251</v>
      </c>
      <c r="P121" s="23">
        <v>47.357998443166153</v>
      </c>
      <c r="Q121" s="23">
        <v>51.379665470624069</v>
      </c>
      <c r="R121" s="23">
        <v>56.049556746606868</v>
      </c>
      <c r="S121" s="23">
        <v>48.978428711167808</v>
      </c>
      <c r="T121" s="23">
        <v>55.948488964735333</v>
      </c>
      <c r="U121" s="23">
        <v>56.336507380630664</v>
      </c>
      <c r="V121" s="23">
        <v>60.947399060421809</v>
      </c>
      <c r="W121" s="23">
        <v>63.960629589386855</v>
      </c>
      <c r="X121" s="23">
        <v>59.434313284312033</v>
      </c>
      <c r="Y121" s="23">
        <v>62.643552713342274</v>
      </c>
    </row>
    <row r="122" spans="2:25" ht="14.25" customHeight="1" x14ac:dyDescent="0.35">
      <c r="B122" s="5" t="s">
        <v>143</v>
      </c>
      <c r="C122" s="23">
        <v>40.4</v>
      </c>
      <c r="D122" s="23">
        <v>43.29</v>
      </c>
      <c r="E122" s="23">
        <v>43.38</v>
      </c>
      <c r="F122" s="23">
        <v>44.58</v>
      </c>
      <c r="G122" s="23">
        <v>53.71</v>
      </c>
      <c r="H122" s="23">
        <v>51.852513644613161</v>
      </c>
      <c r="I122" s="23">
        <v>48.83</v>
      </c>
      <c r="J122" s="23">
        <v>56.34</v>
      </c>
      <c r="K122" s="23">
        <v>56.66</v>
      </c>
      <c r="L122" s="23">
        <v>60.92</v>
      </c>
      <c r="M122" s="23">
        <v>65.153858324096632</v>
      </c>
      <c r="N122" s="23">
        <v>59.905702754116454</v>
      </c>
      <c r="O122" s="23">
        <v>69.547798746469212</v>
      </c>
      <c r="P122" s="23">
        <v>68.935779856460854</v>
      </c>
      <c r="Q122" s="23">
        <v>70.038893988766574</v>
      </c>
      <c r="R122" s="23">
        <v>79.744424698156024</v>
      </c>
      <c r="S122" s="23">
        <v>72.204645178648022</v>
      </c>
      <c r="T122" s="23">
        <v>89.853546289331732</v>
      </c>
      <c r="U122" s="23">
        <v>87.411268977595768</v>
      </c>
      <c r="V122" s="23">
        <v>92.694311679001302</v>
      </c>
      <c r="W122" s="23">
        <v>101.85067259475129</v>
      </c>
      <c r="X122" s="23">
        <v>93.137571477236961</v>
      </c>
      <c r="Y122" s="23">
        <v>96.279998884019534</v>
      </c>
    </row>
    <row r="123" spans="2:25" ht="14.25" customHeight="1" x14ac:dyDescent="0.35">
      <c r="B123" s="5" t="s">
        <v>212</v>
      </c>
      <c r="C123" s="23">
        <v>0</v>
      </c>
      <c r="D123" s="23">
        <v>0</v>
      </c>
      <c r="E123" s="23">
        <v>0</v>
      </c>
      <c r="F123" s="23">
        <v>0</v>
      </c>
      <c r="G123" s="23">
        <v>0</v>
      </c>
      <c r="H123" s="23">
        <v>26.191495203016089</v>
      </c>
      <c r="I123" s="23">
        <v>26.191495203016089</v>
      </c>
      <c r="J123" s="23">
        <v>25.874247767700801</v>
      </c>
      <c r="K123" s="23">
        <v>24.2994449288386</v>
      </c>
      <c r="L123" s="23">
        <v>0</v>
      </c>
      <c r="M123" s="23">
        <v>0</v>
      </c>
      <c r="N123" s="23">
        <v>25.2014380437566</v>
      </c>
      <c r="O123" s="23">
        <v>74.595553617784105</v>
      </c>
      <c r="P123" s="23">
        <v>71.583523233301406</v>
      </c>
      <c r="Q123" s="23">
        <v>69.801821380760629</v>
      </c>
      <c r="R123" s="23">
        <v>70.90295586925906</v>
      </c>
      <c r="S123" s="23">
        <v>71.18068939275939</v>
      </c>
      <c r="T123" s="23">
        <v>73.491447670292033</v>
      </c>
      <c r="U123" s="23">
        <v>63.004222204230722</v>
      </c>
      <c r="V123" s="23">
        <v>62.418455368994472</v>
      </c>
      <c r="W123" s="23">
        <v>62.699027736817655</v>
      </c>
      <c r="X123" s="23">
        <v>65.495831968748689</v>
      </c>
      <c r="Y123" s="23">
        <v>37.393369136243713</v>
      </c>
    </row>
    <row r="124" spans="2:25" ht="14.25" customHeight="1" thickBot="1" x14ac:dyDescent="0.4">
      <c r="B124" s="19"/>
      <c r="C124" s="19"/>
      <c r="D124" s="40"/>
      <c r="E124" s="40"/>
      <c r="F124" s="40"/>
      <c r="G124" s="40"/>
      <c r="H124" s="40"/>
      <c r="I124" s="40"/>
      <c r="J124" s="40"/>
      <c r="K124" s="40"/>
      <c r="L124" s="51"/>
      <c r="S124" s="21"/>
      <c r="T124" s="21"/>
      <c r="X124" s="76"/>
      <c r="Y124" s="76"/>
    </row>
    <row r="125" spans="2:25" ht="14.25" customHeight="1" thickBot="1" x14ac:dyDescent="0.4">
      <c r="B125" s="9" t="s">
        <v>174</v>
      </c>
      <c r="C125" s="10"/>
      <c r="D125" s="10"/>
      <c r="E125" s="10"/>
      <c r="F125" s="10"/>
      <c r="G125" s="10"/>
      <c r="H125" s="10"/>
      <c r="I125" s="10"/>
      <c r="J125" s="10"/>
      <c r="K125" s="10"/>
      <c r="L125" s="10"/>
      <c r="M125" s="10"/>
      <c r="N125" s="10"/>
      <c r="O125" s="10"/>
      <c r="P125" s="10"/>
      <c r="Q125" s="10"/>
      <c r="R125" s="66"/>
      <c r="S125" s="10"/>
      <c r="T125" s="10"/>
      <c r="U125" s="10"/>
      <c r="V125" s="10"/>
      <c r="W125" s="10"/>
      <c r="X125" s="10"/>
      <c r="Y125" s="10"/>
    </row>
    <row r="126" spans="2:25" ht="14.25" customHeight="1" x14ac:dyDescent="0.35">
      <c r="B126" s="5" t="s">
        <v>3</v>
      </c>
      <c r="C126" s="4">
        <f>'Statement of income'!C29</f>
        <v>78219</v>
      </c>
      <c r="D126" s="4">
        <f>'Statement of income'!D29</f>
        <v>212614.28200000001</v>
      </c>
      <c r="E126" s="4">
        <f>'Statement of income'!E29</f>
        <v>79381.493748251407</v>
      </c>
      <c r="F126" s="4">
        <f>'Statement of income'!F29</f>
        <v>86661.878251748567</v>
      </c>
      <c r="G126" s="4">
        <f>'Statement of income'!G29</f>
        <v>129484.73352735231</v>
      </c>
      <c r="H126" s="4">
        <f>'Statement of income'!H29</f>
        <v>184994</v>
      </c>
      <c r="I126" s="4">
        <f>'Statement of income'!I29</f>
        <v>480522</v>
      </c>
      <c r="J126" s="4">
        <f>'Statement of income'!J29</f>
        <v>170730.84004923279</v>
      </c>
      <c r="K126" s="4">
        <f>'Statement of income'!K29</f>
        <v>244134.22607574097</v>
      </c>
      <c r="L126" s="4">
        <f>'Statement of income'!L29</f>
        <v>325091.18347835477</v>
      </c>
      <c r="M126" s="4">
        <f>'Statement of income'!M29</f>
        <v>420123</v>
      </c>
      <c r="N126" s="4">
        <f>'Statement of income'!N29</f>
        <v>1160080</v>
      </c>
      <c r="O126" s="4">
        <f>'Statement of income'!O29</f>
        <v>526202</v>
      </c>
      <c r="P126" s="4">
        <f>'Statement of income'!P29</f>
        <v>616978</v>
      </c>
      <c r="Q126" s="4">
        <f>'Statement of income'!Q29</f>
        <v>852664</v>
      </c>
      <c r="R126" s="4">
        <f>'Statement of income'!R29</f>
        <v>625923</v>
      </c>
      <c r="S126" s="4">
        <f>'Statement of income'!S29</f>
        <v>2621767</v>
      </c>
      <c r="T126" s="4">
        <f>'Statement of income'!T29</f>
        <v>675996.87303999986</v>
      </c>
      <c r="U126" s="4">
        <f>'Statement of income'!U29</f>
        <v>707433.84663999965</v>
      </c>
      <c r="V126" s="4">
        <f>'Statement of income'!V29</f>
        <v>519503.09030712384</v>
      </c>
      <c r="W126" s="4">
        <f>'Statement of income'!W29</f>
        <v>489163.37452287646</v>
      </c>
      <c r="X126" s="4">
        <f>'Statement of income'!X29</f>
        <v>2392097.1845100001</v>
      </c>
      <c r="Y126" s="4">
        <f>'Statement of income'!Y29</f>
        <v>377102</v>
      </c>
    </row>
    <row r="127" spans="2:25" ht="14.25" customHeight="1" x14ac:dyDescent="0.35">
      <c r="B127" s="6" t="s">
        <v>184</v>
      </c>
      <c r="C127" s="61">
        <f t="shared" ref="C127:Q127" si="37">C126/C93</f>
        <v>0.56738460847379346</v>
      </c>
      <c r="D127" s="61">
        <f t="shared" si="37"/>
        <v>0.8244090981353166</v>
      </c>
      <c r="E127" s="61">
        <f t="shared" si="37"/>
        <v>0.76706024188385258</v>
      </c>
      <c r="F127" s="61">
        <f t="shared" si="37"/>
        <v>0.81660814883090238</v>
      </c>
      <c r="G127" s="61">
        <f t="shared" si="37"/>
        <v>0.88048792274799648</v>
      </c>
      <c r="H127" s="61">
        <f t="shared" si="37"/>
        <v>1.1570405516318245</v>
      </c>
      <c r="I127" s="61">
        <f t="shared" si="37"/>
        <v>0.93023851878228225</v>
      </c>
      <c r="J127" s="61">
        <f t="shared" si="37"/>
        <v>0.64858017350664254</v>
      </c>
      <c r="K127" s="61">
        <f t="shared" si="37"/>
        <v>0.99199124704367703</v>
      </c>
      <c r="L127" s="61">
        <f t="shared" si="37"/>
        <v>1.1149829959224913</v>
      </c>
      <c r="M127" s="61">
        <f t="shared" si="37"/>
        <v>1.3660867516121677</v>
      </c>
      <c r="N127" s="61">
        <f t="shared" si="37"/>
        <v>1.0465816978879432</v>
      </c>
      <c r="O127" s="61">
        <f t="shared" si="37"/>
        <v>1.6570726398901239</v>
      </c>
      <c r="P127" s="61">
        <f t="shared" si="37"/>
        <v>1.8984461089148916</v>
      </c>
      <c r="Q127" s="61">
        <f t="shared" si="37"/>
        <v>2.1005332480635697</v>
      </c>
      <c r="R127" s="61">
        <f>R126/R93</f>
        <v>1.7039575094619932</v>
      </c>
      <c r="S127" s="61">
        <f t="shared" ref="S127" si="38">S126/S93</f>
        <v>1.8517886996017991</v>
      </c>
      <c r="T127" s="61">
        <f>T126/T93</f>
        <v>2.203439193241902</v>
      </c>
      <c r="U127" s="61">
        <f>U126/U93</f>
        <v>2.0049843210103671</v>
      </c>
      <c r="V127" s="61">
        <f>V126/V93</f>
        <v>1.4322851634375398</v>
      </c>
      <c r="W127" s="61">
        <f t="shared" ref="W127:Y127" si="39">W126/W93</f>
        <v>1.1274223493494286</v>
      </c>
      <c r="X127" s="61">
        <f t="shared" si="39"/>
        <v>1.6426799417809292</v>
      </c>
      <c r="Y127" s="61">
        <f t="shared" si="39"/>
        <v>0.95700179237541805</v>
      </c>
    </row>
    <row r="128" spans="2:25" ht="14.25" customHeight="1" x14ac:dyDescent="0.35">
      <c r="B128" s="6" t="s">
        <v>179</v>
      </c>
      <c r="C128" s="6">
        <f>Capex!C10</f>
        <v>4069.7959999999994</v>
      </c>
      <c r="D128" s="6">
        <f>Capex!D10</f>
        <v>29779.165999999997</v>
      </c>
      <c r="E128" s="6">
        <f>Capex!E10</f>
        <v>2469</v>
      </c>
      <c r="F128" s="6">
        <f>Capex!F10</f>
        <v>-96.783000000000001</v>
      </c>
      <c r="G128" s="6">
        <f>Capex!G10</f>
        <v>5685.1770000000006</v>
      </c>
      <c r="H128" s="6">
        <f>Capex!H10</f>
        <v>1484</v>
      </c>
      <c r="I128" s="6">
        <f>SUM(E128:H128)</f>
        <v>9541.3940000000002</v>
      </c>
      <c r="J128" s="6">
        <f>Capex!J10</f>
        <v>5541</v>
      </c>
      <c r="K128" s="6">
        <f>Capex!K10</f>
        <v>-5205</v>
      </c>
      <c r="L128" s="6">
        <f>Capex!L10</f>
        <v>0</v>
      </c>
      <c r="M128" s="6">
        <f>Capex!M10</f>
        <v>0</v>
      </c>
      <c r="N128" s="6">
        <f>SUM(J128:M128)</f>
        <v>336</v>
      </c>
      <c r="O128" s="6">
        <f>Capex!O10</f>
        <v>4328</v>
      </c>
      <c r="P128" s="6">
        <f>Capex!P10</f>
        <v>2700</v>
      </c>
      <c r="Q128" s="6">
        <f>Capex!Q10</f>
        <v>4251</v>
      </c>
      <c r="R128" s="6">
        <f>Capex!R10</f>
        <v>38085</v>
      </c>
      <c r="S128" s="6">
        <f>Capex!S10</f>
        <v>49364</v>
      </c>
      <c r="T128" s="6">
        <f>Capex!T10</f>
        <v>9112</v>
      </c>
      <c r="U128" s="6">
        <f>Capex!U10</f>
        <v>7314</v>
      </c>
      <c r="V128" s="6">
        <f>Capex!V10</f>
        <v>-5249</v>
      </c>
      <c r="W128" s="6">
        <f>Capex!W10</f>
        <v>6137</v>
      </c>
      <c r="X128" s="6">
        <f>Capex!X10</f>
        <v>17314</v>
      </c>
      <c r="Y128" s="6">
        <f>Capex!Y10</f>
        <v>6564</v>
      </c>
    </row>
    <row r="129" spans="2:25" ht="14.25" customHeight="1" x14ac:dyDescent="0.35">
      <c r="B129" s="5" t="s">
        <v>180</v>
      </c>
      <c r="C129" s="5">
        <f>C126-C128</f>
        <v>74149.203999999998</v>
      </c>
      <c r="D129" s="5">
        <f t="shared" ref="D129:Q129" si="40">D126-D128</f>
        <v>182835.11600000001</v>
      </c>
      <c r="E129" s="5">
        <f t="shared" si="40"/>
        <v>76912.493748251407</v>
      </c>
      <c r="F129" s="5">
        <f t="shared" si="40"/>
        <v>86758.661251748563</v>
      </c>
      <c r="G129" s="5">
        <f t="shared" si="40"/>
        <v>123799.55652735231</v>
      </c>
      <c r="H129" s="5">
        <f t="shared" si="40"/>
        <v>183510</v>
      </c>
      <c r="I129" s="5">
        <f t="shared" si="40"/>
        <v>470980.60600000003</v>
      </c>
      <c r="J129" s="5">
        <f t="shared" si="40"/>
        <v>165189.84004923279</v>
      </c>
      <c r="K129" s="5">
        <f t="shared" si="40"/>
        <v>249339.22607574097</v>
      </c>
      <c r="L129" s="5">
        <f t="shared" si="40"/>
        <v>325091.18347835477</v>
      </c>
      <c r="M129" s="5">
        <f>M126-M128</f>
        <v>420123</v>
      </c>
      <c r="N129" s="5">
        <f t="shared" si="40"/>
        <v>1159744</v>
      </c>
      <c r="O129" s="5">
        <f t="shared" si="40"/>
        <v>521874</v>
      </c>
      <c r="P129" s="5">
        <f t="shared" si="40"/>
        <v>614278</v>
      </c>
      <c r="Q129" s="5">
        <f t="shared" si="40"/>
        <v>848413</v>
      </c>
      <c r="R129" s="5">
        <f>R126-R128</f>
        <v>587838</v>
      </c>
      <c r="S129" s="5">
        <f t="shared" ref="S129" si="41">S126-S128</f>
        <v>2572403</v>
      </c>
      <c r="T129" s="5">
        <f>T126-T128</f>
        <v>666884.87303999986</v>
      </c>
      <c r="U129" s="5">
        <f>U126-U128</f>
        <v>700119.84663999965</v>
      </c>
      <c r="V129" s="5">
        <f>V126-V128</f>
        <v>524752.09030712384</v>
      </c>
      <c r="W129" s="5">
        <f t="shared" ref="W129:X129" si="42">W126-W128</f>
        <v>483026.37452287646</v>
      </c>
      <c r="X129" s="5">
        <f t="shared" si="42"/>
        <v>2374783.1845100001</v>
      </c>
      <c r="Y129" s="5">
        <f t="shared" ref="Y129" si="43">Y126-Y128</f>
        <v>370538</v>
      </c>
    </row>
    <row r="130" spans="2:25" ht="14.1" customHeight="1" x14ac:dyDescent="0.35">
      <c r="B130" s="6" t="s">
        <v>183</v>
      </c>
      <c r="C130" s="61">
        <f t="shared" ref="C130:Q130" si="44">C129/C93</f>
        <v>0.53786314169426153</v>
      </c>
      <c r="D130" s="61">
        <f>D129/D93</f>
        <v>0.70894077138724854</v>
      </c>
      <c r="E130" s="61">
        <f>E129/E93</f>
        <v>0.74320239230473772</v>
      </c>
      <c r="F130" s="61">
        <f t="shared" si="44"/>
        <v>0.81752012752398706</v>
      </c>
      <c r="G130" s="61">
        <f t="shared" si="44"/>
        <v>0.84182908204283124</v>
      </c>
      <c r="H130" s="61">
        <f t="shared" si="44"/>
        <v>1.1477589090995173</v>
      </c>
      <c r="I130" s="61">
        <f t="shared" si="44"/>
        <v>0.9117674139802584</v>
      </c>
      <c r="J130" s="61">
        <f t="shared" si="44"/>
        <v>0.62753076766781468</v>
      </c>
      <c r="K130" s="61">
        <f t="shared" si="44"/>
        <v>1.0131407373214576</v>
      </c>
      <c r="L130" s="61">
        <f t="shared" si="44"/>
        <v>1.1149829959224913</v>
      </c>
      <c r="M130" s="61">
        <f t="shared" si="44"/>
        <v>1.3660867516121677</v>
      </c>
      <c r="N130" s="61">
        <f t="shared" si="44"/>
        <v>1.0462785709910996</v>
      </c>
      <c r="O130" s="61">
        <f t="shared" si="44"/>
        <v>1.6434432534844383</v>
      </c>
      <c r="P130" s="61">
        <f t="shared" si="44"/>
        <v>1.8901381878965242</v>
      </c>
      <c r="Q130" s="61">
        <f t="shared" si="44"/>
        <v>2.0900609320780021</v>
      </c>
      <c r="R130" s="61">
        <f>R129/R93</f>
        <v>1.6002782681689587</v>
      </c>
      <c r="S130" s="61">
        <f>S129/S93</f>
        <v>1.8169222536639476</v>
      </c>
      <c r="T130" s="61">
        <f>T129/T93</f>
        <v>2.1737382601021831</v>
      </c>
      <c r="U130" s="61">
        <f>U129/U93</f>
        <v>1.9842552374451412</v>
      </c>
      <c r="V130" s="61">
        <f>V129/V93</f>
        <v>1.4467568094453411</v>
      </c>
      <c r="W130" s="61">
        <f t="shared" ref="W130:X130" si="45">W129/W93</f>
        <v>1.1132778092666675</v>
      </c>
      <c r="X130" s="61">
        <f t="shared" si="45"/>
        <v>1.6307902239650449</v>
      </c>
      <c r="Y130" s="61">
        <f>Y129/Y93</f>
        <v>0.9403438065648092</v>
      </c>
    </row>
    <row r="131" spans="2:25" ht="14.25" customHeight="1" x14ac:dyDescent="0.35">
      <c r="M131" s="79"/>
      <c r="N131" s="79"/>
      <c r="O131" s="76"/>
      <c r="P131" s="76"/>
      <c r="Q131" s="76"/>
      <c r="R131" s="76"/>
      <c r="S131" s="76"/>
      <c r="T131" s="76"/>
      <c r="U131" s="76"/>
      <c r="V131" s="76"/>
      <c r="W131" s="76"/>
      <c r="X131" s="76"/>
      <c r="Y131" s="76"/>
    </row>
    <row r="132" spans="2:25" s="12" customFormat="1" ht="14.25" customHeight="1" x14ac:dyDescent="0.35">
      <c r="B132" s="5" t="s">
        <v>186</v>
      </c>
      <c r="C132" s="24">
        <f>C110</f>
        <v>1.6969936327626918</v>
      </c>
      <c r="D132" s="24">
        <f t="shared" ref="D132:F132" si="46">D110</f>
        <v>1.7702241520129975</v>
      </c>
      <c r="E132" s="24">
        <f t="shared" si="46"/>
        <v>1.7637354539928811</v>
      </c>
      <c r="F132" s="24">
        <f t="shared" si="46"/>
        <v>1.7660319094513468</v>
      </c>
      <c r="G132" s="24">
        <f t="shared" ref="G132:I132" si="47">G110</f>
        <v>1.8513370212936004</v>
      </c>
      <c r="H132" s="24">
        <f t="shared" si="47"/>
        <v>2.0769952958670181</v>
      </c>
      <c r="I132" s="24">
        <f t="shared" si="47"/>
        <v>1.8860308071067002</v>
      </c>
      <c r="J132" s="24">
        <f t="shared" ref="J132:Q132" si="48">J110</f>
        <v>1.4406743674999238</v>
      </c>
      <c r="K132" s="24">
        <f t="shared" si="48"/>
        <v>1.6493717471789364</v>
      </c>
      <c r="L132" s="24">
        <f t="shared" si="48"/>
        <v>2.0458672336970287</v>
      </c>
      <c r="M132" s="24">
        <f t="shared" si="48"/>
        <v>2.4105532505182983</v>
      </c>
      <c r="N132" s="24">
        <f t="shared" si="48"/>
        <v>1.9152892544387556</v>
      </c>
      <c r="O132" s="24">
        <f t="shared" si="48"/>
        <v>2.7829204200817572</v>
      </c>
      <c r="P132" s="24">
        <f>P110</f>
        <v>3.2317535830748105</v>
      </c>
      <c r="Q132" s="24">
        <f t="shared" si="48"/>
        <v>3.731369205429345</v>
      </c>
      <c r="R132" s="24">
        <f>R110</f>
        <v>3.2949962517034592</v>
      </c>
      <c r="S132" s="24">
        <f t="shared" ref="S132" si="49">S110</f>
        <v>3.2907429708933575</v>
      </c>
      <c r="T132" s="24">
        <f>T110</f>
        <v>3.6558321872160886</v>
      </c>
      <c r="U132" s="24">
        <f>U110</f>
        <v>2.846128114158438</v>
      </c>
      <c r="V132" s="24">
        <f>V110</f>
        <v>2.7308814854379002</v>
      </c>
      <c r="W132" s="24">
        <f t="shared" ref="W132:Y132" si="50">W110</f>
        <v>2.8446866578112102</v>
      </c>
      <c r="X132" s="24">
        <f t="shared" si="50"/>
        <v>2.9875796765917086</v>
      </c>
      <c r="Y132" s="24">
        <f t="shared" si="50"/>
        <v>2.8348039500104201</v>
      </c>
    </row>
    <row r="133" spans="2:25" ht="14.25" customHeight="1" x14ac:dyDescent="0.35">
      <c r="B133" s="52" t="s">
        <v>142</v>
      </c>
      <c r="C133" s="62">
        <f>C121</f>
        <v>17.7</v>
      </c>
      <c r="D133" s="62">
        <f t="shared" ref="D133:O133" si="51">D121</f>
        <v>18.25</v>
      </c>
      <c r="E133" s="62">
        <f t="shared" si="51"/>
        <v>21.49</v>
      </c>
      <c r="F133" s="62">
        <f t="shared" si="51"/>
        <v>21.34</v>
      </c>
      <c r="G133" s="62">
        <f t="shared" si="51"/>
        <v>22.75</v>
      </c>
      <c r="H133" s="62">
        <f t="shared" si="51"/>
        <v>24.252280173674752</v>
      </c>
      <c r="I133" s="62">
        <f t="shared" si="51"/>
        <v>22.53</v>
      </c>
      <c r="J133" s="62">
        <f t="shared" si="51"/>
        <v>24.01</v>
      </c>
      <c r="K133" s="62">
        <f t="shared" si="51"/>
        <v>24.21</v>
      </c>
      <c r="L133" s="62">
        <f t="shared" si="51"/>
        <v>28.79</v>
      </c>
      <c r="M133" s="62">
        <f t="shared" si="51"/>
        <v>31.553207990189691</v>
      </c>
      <c r="N133" s="62">
        <f t="shared" si="51"/>
        <v>27.244265210836751</v>
      </c>
      <c r="O133" s="62">
        <f t="shared" si="51"/>
        <v>40.65241110080251</v>
      </c>
      <c r="P133" s="62">
        <f>P121</f>
        <v>47.357998443166153</v>
      </c>
      <c r="Q133" s="62">
        <f t="shared" ref="Q133" si="52">Q121</f>
        <v>51.379665470624069</v>
      </c>
      <c r="R133" s="62">
        <f>R121</f>
        <v>56.049556746606868</v>
      </c>
      <c r="S133" s="62">
        <f t="shared" ref="S133" si="53">S121</f>
        <v>48.978428711167808</v>
      </c>
      <c r="T133" s="62">
        <f>T121</f>
        <v>55.948488964735333</v>
      </c>
      <c r="U133" s="62">
        <f>U121</f>
        <v>56.336507380630664</v>
      </c>
      <c r="V133" s="62">
        <f>V121</f>
        <v>60.947399060421809</v>
      </c>
      <c r="W133" s="62">
        <f t="shared" ref="W133:X133" si="54">W121</f>
        <v>63.960629589386855</v>
      </c>
      <c r="X133" s="62">
        <f t="shared" si="54"/>
        <v>59.434313284312033</v>
      </c>
      <c r="Y133" s="62">
        <f t="shared" ref="Y133" si="55">Y121</f>
        <v>62.643552713342274</v>
      </c>
    </row>
    <row r="134" spans="2:25" ht="14.25" customHeight="1" x14ac:dyDescent="0.35">
      <c r="B134" s="52" t="s">
        <v>188</v>
      </c>
      <c r="C134" s="47">
        <f t="shared" ref="C134:Y134" si="56">C51</f>
        <v>0.29880917345442698</v>
      </c>
      <c r="D134" s="47">
        <f t="shared" si="56"/>
        <v>0.39670058210410303</v>
      </c>
      <c r="E134" s="47">
        <f t="shared" si="56"/>
        <v>0.38119202506687239</v>
      </c>
      <c r="F134" s="47">
        <f t="shared" si="56"/>
        <v>0.41903682278525795</v>
      </c>
      <c r="G134" s="47">
        <f t="shared" si="56"/>
        <v>0.33194846803955474</v>
      </c>
      <c r="H134" s="47">
        <f t="shared" si="56"/>
        <v>0.33837092923496587</v>
      </c>
      <c r="I134" s="47">
        <f t="shared" si="56"/>
        <v>0.36091619872288322</v>
      </c>
      <c r="J134" s="47">
        <f t="shared" si="56"/>
        <v>0.44318740570458376</v>
      </c>
      <c r="K134" s="47">
        <f t="shared" si="56"/>
        <v>0.59283555397184606</v>
      </c>
      <c r="L134" s="47">
        <f t="shared" si="56"/>
        <v>0.52515504021305248</v>
      </c>
      <c r="M134" s="47">
        <f t="shared" si="56"/>
        <v>0.50580028861077841</v>
      </c>
      <c r="N134" s="47">
        <f t="shared" si="56"/>
        <v>0.51493947468360535</v>
      </c>
      <c r="O134" s="47">
        <f t="shared" si="56"/>
        <v>0.56272760578465164</v>
      </c>
      <c r="P134" s="47">
        <f t="shared" si="56"/>
        <v>0.51304588110771798</v>
      </c>
      <c r="Q134" s="47">
        <f t="shared" si="56"/>
        <v>0.38356810692927179</v>
      </c>
      <c r="R134" s="47">
        <f t="shared" si="56"/>
        <v>0.46039051001601722</v>
      </c>
      <c r="S134" s="47">
        <f t="shared" si="56"/>
        <v>0.46977172985730764</v>
      </c>
      <c r="T134" s="47">
        <f t="shared" si="56"/>
        <v>0.52175027391121231</v>
      </c>
      <c r="U134" s="47">
        <f t="shared" si="56"/>
        <v>0.53924307394392734</v>
      </c>
      <c r="V134" s="47">
        <f t="shared" si="56"/>
        <v>0.46802506855812454</v>
      </c>
      <c r="W134" s="47">
        <f t="shared" si="56"/>
        <v>0.33788088237615083</v>
      </c>
      <c r="X134" s="47">
        <f t="shared" si="56"/>
        <v>0.45355660098937334</v>
      </c>
      <c r="Y134" s="47">
        <f t="shared" si="56"/>
        <v>0.43042341215298641</v>
      </c>
    </row>
    <row r="135" spans="2:25" ht="14.25" customHeight="1" x14ac:dyDescent="0.35">
      <c r="B135" s="52" t="s">
        <v>175</v>
      </c>
      <c r="C135" s="62">
        <f t="shared" ref="C135:Y135" si="57">C12</f>
        <v>346.51289749729762</v>
      </c>
      <c r="D135" s="62">
        <f t="shared" si="57"/>
        <v>412.71817597187169</v>
      </c>
      <c r="E135" s="62">
        <f t="shared" si="57"/>
        <v>415.58264532217009</v>
      </c>
      <c r="F135" s="62">
        <f t="shared" si="57"/>
        <v>415.08445190156601</v>
      </c>
      <c r="G135" s="62">
        <f t="shared" si="57"/>
        <v>417.12576289705765</v>
      </c>
      <c r="H135" s="62">
        <f t="shared" si="57"/>
        <v>419.4370714414049</v>
      </c>
      <c r="I135" s="62">
        <f t="shared" si="57"/>
        <v>416.97074249359918</v>
      </c>
      <c r="J135" s="62">
        <f t="shared" si="57"/>
        <v>424.31193538476521</v>
      </c>
      <c r="K135" s="62">
        <f t="shared" si="57"/>
        <v>427.29246873389093</v>
      </c>
      <c r="L135" s="62">
        <f t="shared" si="57"/>
        <v>424.72558476408665</v>
      </c>
      <c r="M135" s="62">
        <f t="shared" si="57"/>
        <v>417.72880881164673</v>
      </c>
      <c r="N135" s="62">
        <f t="shared" si="57"/>
        <v>423.46308299180231</v>
      </c>
      <c r="O135" s="62">
        <f t="shared" si="57"/>
        <v>422.224931168701</v>
      </c>
      <c r="P135" s="62">
        <f t="shared" si="57"/>
        <v>430.43128100133163</v>
      </c>
      <c r="Q135" s="62">
        <f t="shared" si="57"/>
        <v>425.73011216116225</v>
      </c>
      <c r="R135" s="62">
        <f t="shared" si="57"/>
        <v>426.17853740771045</v>
      </c>
      <c r="S135" s="62">
        <f t="shared" si="57"/>
        <v>426.2078556489181</v>
      </c>
      <c r="T135" s="62">
        <f t="shared" si="57"/>
        <v>431.7930776732058</v>
      </c>
      <c r="U135" s="62">
        <f t="shared" si="57"/>
        <v>437.95599206692748</v>
      </c>
      <c r="V135" s="62">
        <f t="shared" si="57"/>
        <v>432.80625812267033</v>
      </c>
      <c r="W135" s="62">
        <f t="shared" si="57"/>
        <v>429.75628846131258</v>
      </c>
      <c r="X135" s="62">
        <f t="shared" si="57"/>
        <v>433.12822022784059</v>
      </c>
      <c r="Y135" s="62">
        <f t="shared" si="57"/>
        <v>424.01267938408671</v>
      </c>
    </row>
    <row r="136" spans="2:25" ht="14.25" customHeight="1" x14ac:dyDescent="0.35">
      <c r="B136" s="52" t="s">
        <v>219</v>
      </c>
      <c r="C136" s="61">
        <f>(C133*16.67)*(1-C134)/C135</f>
        <v>0.59707060136577961</v>
      </c>
      <c r="D136" s="61">
        <f t="shared" ref="D136:O136" si="58">(D133*16.67)*(1-D134)/D135</f>
        <v>0.44471090527021756</v>
      </c>
      <c r="E136" s="61">
        <f t="shared" si="58"/>
        <v>0.53342149741270795</v>
      </c>
      <c r="F136" s="61">
        <f t="shared" si="58"/>
        <v>0.49790003358736451</v>
      </c>
      <c r="G136" s="61">
        <f t="shared" si="58"/>
        <v>0.6073792502047739</v>
      </c>
      <c r="H136" s="61">
        <f t="shared" si="58"/>
        <v>0.63772867217829288</v>
      </c>
      <c r="I136" s="61">
        <f t="shared" si="58"/>
        <v>0.57563742035622045</v>
      </c>
      <c r="J136" s="61">
        <f t="shared" si="58"/>
        <v>0.52523246413770586</v>
      </c>
      <c r="K136" s="61">
        <f t="shared" si="58"/>
        <v>0.38456964296623741</v>
      </c>
      <c r="L136" s="61">
        <f t="shared" si="58"/>
        <v>0.53656294165951934</v>
      </c>
      <c r="M136" s="61">
        <f t="shared" si="58"/>
        <v>0.62228191553996104</v>
      </c>
      <c r="N136" s="61">
        <f t="shared" si="58"/>
        <v>0.52022482987820595</v>
      </c>
      <c r="O136" s="61">
        <f t="shared" si="58"/>
        <v>0.70182703797584456</v>
      </c>
      <c r="P136" s="61">
        <f>(P133*16.67)*(1-P134)/P135</f>
        <v>0.89312687285861858</v>
      </c>
      <c r="Q136" s="61">
        <f t="shared" ref="Q136" si="59">(Q133*16.67)*(1-Q134)/Q135</f>
        <v>1.2401596676462712</v>
      </c>
      <c r="R136" s="61">
        <f>(R133*16.67)*(1-R134)/R135</f>
        <v>1.1830300781301735</v>
      </c>
      <c r="S136" s="61">
        <f t="shared" ref="S136" si="60">(S133*16.67)*(1-S134)/S135</f>
        <v>1.0157384139790897</v>
      </c>
      <c r="T136" s="61">
        <f>(T133*16.67)*(1-T134)/T135</f>
        <v>1.0330064088639528</v>
      </c>
      <c r="U136" s="61">
        <f>(U133*16.67)*(1-U134)/U135</f>
        <v>0.98802269036581536</v>
      </c>
      <c r="V136" s="61">
        <f>(V133*16.67)*(1-V134)/V135</f>
        <v>1.2487871237921779</v>
      </c>
      <c r="W136" s="61">
        <f t="shared" ref="W136:X136" si="61">(W133*16.67)*(1-W134)/W135</f>
        <v>1.6427149788070763</v>
      </c>
      <c r="X136" s="61">
        <f t="shared" si="61"/>
        <v>1.2499756480689863</v>
      </c>
      <c r="Y136" s="61">
        <f t="shared" ref="Y136" si="62">(Y133*16.67)*(1-Y134)/Y135</f>
        <v>1.4027661121329351</v>
      </c>
    </row>
    <row r="137" spans="2:25" ht="14.25" customHeight="1" x14ac:dyDescent="0.35">
      <c r="B137" s="5" t="s">
        <v>187</v>
      </c>
      <c r="C137" s="24">
        <f>C132-C136</f>
        <v>1.0999230313969122</v>
      </c>
      <c r="D137" s="24">
        <f t="shared" ref="D137:O137" si="63">D132-D136</f>
        <v>1.3255132467427799</v>
      </c>
      <c r="E137" s="24">
        <f t="shared" si="63"/>
        <v>1.2303139565801731</v>
      </c>
      <c r="F137" s="24">
        <f t="shared" si="63"/>
        <v>1.2681318758639823</v>
      </c>
      <c r="G137" s="24">
        <f t="shared" si="63"/>
        <v>1.2439577710888265</v>
      </c>
      <c r="H137" s="24">
        <f t="shared" si="63"/>
        <v>1.4392666236887253</v>
      </c>
      <c r="I137" s="24">
        <f t="shared" si="63"/>
        <v>1.3103933867504798</v>
      </c>
      <c r="J137" s="24">
        <f t="shared" si="63"/>
        <v>0.91544190336221798</v>
      </c>
      <c r="K137" s="24">
        <f t="shared" si="63"/>
        <v>1.2648021042126989</v>
      </c>
      <c r="L137" s="24">
        <f t="shared" si="63"/>
        <v>1.5093042920375095</v>
      </c>
      <c r="M137" s="24">
        <f t="shared" si="63"/>
        <v>1.7882713349783372</v>
      </c>
      <c r="N137" s="24">
        <f t="shared" si="63"/>
        <v>1.3950644245605497</v>
      </c>
      <c r="O137" s="24">
        <f t="shared" si="63"/>
        <v>2.0810933821059128</v>
      </c>
      <c r="P137" s="24">
        <f>P132-P136</f>
        <v>2.3386267102161922</v>
      </c>
      <c r="Q137" s="24">
        <f t="shared" ref="Q137" si="64">Q132-Q136</f>
        <v>2.4912095377830736</v>
      </c>
      <c r="R137" s="24">
        <f>R132-R136</f>
        <v>2.1119661735732858</v>
      </c>
      <c r="S137" s="24">
        <f t="shared" ref="S137" si="65">S132-S136</f>
        <v>2.2750045569142676</v>
      </c>
      <c r="T137" s="24">
        <f>T132-T136</f>
        <v>2.6228257783521358</v>
      </c>
      <c r="U137" s="24">
        <f>U132-U136</f>
        <v>1.8581054237926227</v>
      </c>
      <c r="V137" s="24">
        <f>V132-V136</f>
        <v>1.4820943616457223</v>
      </c>
      <c r="W137" s="24">
        <f t="shared" ref="W137:Y137" si="66">W132-W136</f>
        <v>1.2019716790041339</v>
      </c>
      <c r="X137" s="24">
        <f t="shared" si="66"/>
        <v>1.7376040285227223</v>
      </c>
      <c r="Y137" s="24">
        <f t="shared" si="66"/>
        <v>1.432037837877485</v>
      </c>
    </row>
    <row r="138" spans="2:25" ht="14.25" customHeight="1" x14ac:dyDescent="0.35">
      <c r="B138" s="5" t="s">
        <v>185</v>
      </c>
      <c r="C138" s="24">
        <f t="shared" ref="C138:Q138" si="67">C127-C137</f>
        <v>-0.5325384229231187</v>
      </c>
      <c r="D138" s="24">
        <f t="shared" si="67"/>
        <v>-0.50110414860746333</v>
      </c>
      <c r="E138" s="24">
        <f t="shared" si="67"/>
        <v>-0.46325371469632048</v>
      </c>
      <c r="F138" s="24">
        <f t="shared" si="67"/>
        <v>-0.45152372703307997</v>
      </c>
      <c r="G138" s="24">
        <f t="shared" si="67"/>
        <v>-0.36346984834083007</v>
      </c>
      <c r="H138" s="24">
        <f t="shared" si="67"/>
        <v>-0.28222607205690076</v>
      </c>
      <c r="I138" s="24">
        <f>I127-I137</f>
        <v>-0.38015486796819753</v>
      </c>
      <c r="J138" s="24">
        <f t="shared" si="67"/>
        <v>-0.26686172985557544</v>
      </c>
      <c r="K138" s="24">
        <f t="shared" si="67"/>
        <v>-0.27281085716902187</v>
      </c>
      <c r="L138" s="24">
        <f t="shared" si="67"/>
        <v>-0.3943212961150182</v>
      </c>
      <c r="M138" s="24">
        <f t="shared" si="67"/>
        <v>-0.42218458336616949</v>
      </c>
      <c r="N138" s="24">
        <f t="shared" si="67"/>
        <v>-0.34848272667260649</v>
      </c>
      <c r="O138" s="24">
        <f t="shared" si="67"/>
        <v>-0.42402074221578889</v>
      </c>
      <c r="P138" s="24">
        <f t="shared" si="67"/>
        <v>-0.44018060130130054</v>
      </c>
      <c r="Q138" s="24">
        <f t="shared" si="67"/>
        <v>-0.39067628971950397</v>
      </c>
      <c r="R138" s="24">
        <f>R127-R137</f>
        <v>-0.40800866411129255</v>
      </c>
      <c r="S138" s="24">
        <f t="shared" ref="S138" si="68">S127-S137</f>
        <v>-0.42321585731246847</v>
      </c>
      <c r="T138" s="24">
        <f>T127-T137</f>
        <v>-0.41938658511023386</v>
      </c>
      <c r="U138" s="24">
        <f>U127-U137</f>
        <v>0.14687889721774439</v>
      </c>
      <c r="V138" s="24">
        <f>V127-V137</f>
        <v>-4.9809198208182526E-2</v>
      </c>
      <c r="W138" s="24">
        <f t="shared" ref="W138:Y138" si="69">W127-W137</f>
        <v>-7.4549329654705287E-2</v>
      </c>
      <c r="X138" s="24">
        <f t="shared" si="69"/>
        <v>-9.492408674179309E-2</v>
      </c>
      <c r="Y138" s="24">
        <f t="shared" si="69"/>
        <v>-0.47503604550206691</v>
      </c>
    </row>
    <row r="139" spans="2:25" ht="14.25" customHeight="1" thickBot="1" x14ac:dyDescent="0.4">
      <c r="S139" s="21"/>
      <c r="V139" s="76"/>
      <c r="W139" s="76"/>
      <c r="X139" s="76"/>
      <c r="Y139" s="76"/>
    </row>
    <row r="140" spans="2:25" ht="14.25" customHeight="1" thickBot="1" x14ac:dyDescent="0.4">
      <c r="B140" s="9" t="s">
        <v>242</v>
      </c>
      <c r="C140" s="10"/>
      <c r="D140" s="10"/>
      <c r="E140" s="10"/>
      <c r="F140" s="10"/>
      <c r="G140" s="10"/>
      <c r="H140" s="10"/>
      <c r="I140" s="10"/>
      <c r="J140" s="10"/>
      <c r="K140" s="10"/>
      <c r="L140" s="10"/>
      <c r="M140" s="10"/>
      <c r="N140" s="10"/>
      <c r="O140" s="10"/>
      <c r="P140" s="10"/>
      <c r="Q140" s="10"/>
      <c r="R140" s="66"/>
      <c r="S140" s="10"/>
      <c r="T140" s="10"/>
      <c r="U140" s="10"/>
      <c r="V140" s="10"/>
      <c r="W140" s="10"/>
      <c r="X140" s="10"/>
      <c r="Y140" s="10"/>
    </row>
    <row r="141" spans="2:25" ht="14.25" customHeight="1" x14ac:dyDescent="0.35">
      <c r="B141" s="5" t="s">
        <v>247</v>
      </c>
      <c r="C141" s="69">
        <f>SUM(C142:C143)</f>
        <v>1.9491081500477441</v>
      </c>
      <c r="D141" s="69">
        <f t="shared" ref="D141:U141" si="70">SUM(D142:D143)</f>
        <v>2.110983645481106</v>
      </c>
      <c r="E141" s="69">
        <f t="shared" si="70"/>
        <v>2.0846044131454082</v>
      </c>
      <c r="F141" s="69">
        <f t="shared" si="70"/>
        <v>2.1206994502825944</v>
      </c>
      <c r="G141" s="69">
        <f t="shared" si="70"/>
        <v>2.2230114778688645</v>
      </c>
      <c r="H141" s="69">
        <f t="shared" si="70"/>
        <v>2.4476724426779817</v>
      </c>
      <c r="I141" s="69">
        <f t="shared" si="70"/>
        <v>2.2415102393840365</v>
      </c>
      <c r="J141" s="69">
        <f t="shared" si="70"/>
        <v>1.872697621188006</v>
      </c>
      <c r="K141" s="69">
        <f t="shared" si="70"/>
        <v>2.1759304406094921</v>
      </c>
      <c r="L141" s="69">
        <f t="shared" si="70"/>
        <v>2.6777981033596712</v>
      </c>
      <c r="M141" s="69">
        <f t="shared" si="70"/>
        <v>3.0988007163958287</v>
      </c>
      <c r="N141" s="69">
        <f t="shared" si="70"/>
        <v>2.4878784754050072</v>
      </c>
      <c r="O141" s="69">
        <f t="shared" si="70"/>
        <v>3.6380263623148918</v>
      </c>
      <c r="P141" s="69">
        <f t="shared" si="70"/>
        <v>4.1167584168444664</v>
      </c>
      <c r="Q141" s="69">
        <f t="shared" si="70"/>
        <v>4.5816346670559485</v>
      </c>
      <c r="R141" s="69">
        <f t="shared" si="70"/>
        <v>4.2655490706611054</v>
      </c>
      <c r="S141" s="69">
        <f t="shared" si="70"/>
        <v>4.1811617707349331</v>
      </c>
      <c r="T141" s="69">
        <f t="shared" si="70"/>
        <v>4.7300993297039806</v>
      </c>
      <c r="U141" s="69">
        <f t="shared" si="70"/>
        <v>3.919128189993812</v>
      </c>
      <c r="V141" s="69">
        <f t="shared" ref="V141" si="71">SUM(V142:V143)</f>
        <v>3.7022206416743058</v>
      </c>
      <c r="W141" s="69">
        <f t="shared" ref="W141:Y141" si="72">SUM(W142:W143)</f>
        <v>3.8330041156055721</v>
      </c>
      <c r="X141" s="69">
        <f t="shared" si="72"/>
        <v>4.0125493248463746</v>
      </c>
      <c r="Y141" s="69">
        <f t="shared" si="72"/>
        <v>3.6687705324005009</v>
      </c>
    </row>
    <row r="142" spans="2:25" ht="14.25" customHeight="1" x14ac:dyDescent="0.35">
      <c r="B142" s="52" t="s">
        <v>248</v>
      </c>
      <c r="C142" s="61">
        <f t="shared" ref="C142:Y142" si="73">C23/C93</f>
        <v>1.6969936327626918</v>
      </c>
      <c r="D142" s="61">
        <f t="shared" si="73"/>
        <v>1.7702241520129975</v>
      </c>
      <c r="E142" s="61">
        <f t="shared" si="73"/>
        <v>1.7637354539928811</v>
      </c>
      <c r="F142" s="61">
        <f t="shared" si="73"/>
        <v>1.7660319094513468</v>
      </c>
      <c r="G142" s="61">
        <f t="shared" si="73"/>
        <v>1.8513370212936004</v>
      </c>
      <c r="H142" s="61">
        <f t="shared" si="73"/>
        <v>2.0769952958670181</v>
      </c>
      <c r="I142" s="61">
        <f t="shared" si="73"/>
        <v>1.8860308071067002</v>
      </c>
      <c r="J142" s="61">
        <f t="shared" si="73"/>
        <v>1.4406743674999238</v>
      </c>
      <c r="K142" s="61">
        <f t="shared" si="73"/>
        <v>1.6493717471789364</v>
      </c>
      <c r="L142" s="61">
        <f t="shared" si="73"/>
        <v>2.0458672336970287</v>
      </c>
      <c r="M142" s="61">
        <f t="shared" si="73"/>
        <v>2.4105532505182983</v>
      </c>
      <c r="N142" s="61">
        <f t="shared" si="73"/>
        <v>1.9152892544387556</v>
      </c>
      <c r="O142" s="61">
        <f t="shared" si="73"/>
        <v>2.7829204200817572</v>
      </c>
      <c r="P142" s="61">
        <f t="shared" si="73"/>
        <v>3.2317535830748105</v>
      </c>
      <c r="Q142" s="61">
        <f t="shared" si="73"/>
        <v>3.731369205429345</v>
      </c>
      <c r="R142" s="61">
        <f t="shared" si="73"/>
        <v>3.2949962517034592</v>
      </c>
      <c r="S142" s="61">
        <f t="shared" si="73"/>
        <v>3.2907429708933575</v>
      </c>
      <c r="T142" s="61">
        <f t="shared" si="73"/>
        <v>3.6558321872160886</v>
      </c>
      <c r="U142" s="61">
        <f t="shared" si="73"/>
        <v>2.846128114158438</v>
      </c>
      <c r="V142" s="61">
        <f t="shared" si="73"/>
        <v>2.7308814854379002</v>
      </c>
      <c r="W142" s="61">
        <f t="shared" si="73"/>
        <v>2.8446866578112102</v>
      </c>
      <c r="X142" s="61">
        <f t="shared" si="73"/>
        <v>2.9875796765917086</v>
      </c>
      <c r="Y142" s="61">
        <f t="shared" si="73"/>
        <v>2.8348039500104201</v>
      </c>
    </row>
    <row r="143" spans="2:25" ht="14.25" customHeight="1" x14ac:dyDescent="0.35">
      <c r="B143" s="52" t="s">
        <v>252</v>
      </c>
      <c r="C143" s="61">
        <f>(C26+C31+C33)/C11</f>
        <v>0.25211451728505224</v>
      </c>
      <c r="D143" s="61">
        <f t="shared" ref="D143:Y143" si="74">(D26+D31+D33)/D11</f>
        <v>0.3407594934681083</v>
      </c>
      <c r="E143" s="61">
        <f t="shared" si="74"/>
        <v>0.32086895915252728</v>
      </c>
      <c r="F143" s="61">
        <f t="shared" si="74"/>
        <v>0.35466754083124774</v>
      </c>
      <c r="G143" s="61">
        <f t="shared" si="74"/>
        <v>0.37167445657526427</v>
      </c>
      <c r="H143" s="61">
        <f t="shared" si="74"/>
        <v>0.37067714681096336</v>
      </c>
      <c r="I143" s="61">
        <f t="shared" si="74"/>
        <v>0.35547943227733619</v>
      </c>
      <c r="J143" s="61">
        <f t="shared" si="74"/>
        <v>0.4320232536880822</v>
      </c>
      <c r="K143" s="61">
        <f t="shared" si="74"/>
        <v>0.52655869343055561</v>
      </c>
      <c r="L143" s="61">
        <f t="shared" si="74"/>
        <v>0.63193086966264223</v>
      </c>
      <c r="M143" s="61">
        <f t="shared" si="74"/>
        <v>0.68824746587753027</v>
      </c>
      <c r="N143" s="61">
        <f t="shared" si="74"/>
        <v>0.57258922096625176</v>
      </c>
      <c r="O143" s="61">
        <f t="shared" si="74"/>
        <v>0.85510594223313463</v>
      </c>
      <c r="P143" s="61">
        <f t="shared" si="74"/>
        <v>0.88500483376965611</v>
      </c>
      <c r="Q143" s="61">
        <f t="shared" si="74"/>
        <v>0.8502654616266031</v>
      </c>
      <c r="R143" s="61">
        <f t="shared" si="74"/>
        <v>0.97055281895764611</v>
      </c>
      <c r="S143" s="61">
        <f t="shared" si="74"/>
        <v>0.89041879984157601</v>
      </c>
      <c r="T143" s="61">
        <f t="shared" si="74"/>
        <v>1.0742671424878918</v>
      </c>
      <c r="U143" s="61">
        <f t="shared" si="74"/>
        <v>1.0730000758353739</v>
      </c>
      <c r="V143" s="61">
        <f t="shared" si="74"/>
        <v>0.97133915623640565</v>
      </c>
      <c r="W143" s="61">
        <f t="shared" si="74"/>
        <v>0.98831745779436198</v>
      </c>
      <c r="X143" s="61">
        <f t="shared" si="74"/>
        <v>1.0249696482546662</v>
      </c>
      <c r="Y143" s="61">
        <f t="shared" si="74"/>
        <v>0.83396658239008059</v>
      </c>
    </row>
    <row r="144" spans="2:25" ht="14.25" customHeight="1" x14ac:dyDescent="0.35">
      <c r="B144" s="5" t="s">
        <v>253</v>
      </c>
      <c r="C144" s="69">
        <f>C141-C143</f>
        <v>1.6969936327626918</v>
      </c>
      <c r="D144" s="69">
        <f t="shared" ref="D144:U144" si="75">D141-D143</f>
        <v>1.7702241520129975</v>
      </c>
      <c r="E144" s="69">
        <f t="shared" si="75"/>
        <v>1.7637354539928809</v>
      </c>
      <c r="F144" s="69">
        <f t="shared" si="75"/>
        <v>1.7660319094513466</v>
      </c>
      <c r="G144" s="69">
        <f t="shared" si="75"/>
        <v>1.8513370212936002</v>
      </c>
      <c r="H144" s="69">
        <f t="shared" si="75"/>
        <v>2.0769952958670181</v>
      </c>
      <c r="I144" s="69">
        <f t="shared" si="75"/>
        <v>1.8860308071067002</v>
      </c>
      <c r="J144" s="69">
        <f t="shared" si="75"/>
        <v>1.4406743674999238</v>
      </c>
      <c r="K144" s="69">
        <f t="shared" si="75"/>
        <v>1.6493717471789364</v>
      </c>
      <c r="L144" s="69">
        <f t="shared" si="75"/>
        <v>2.0458672336970292</v>
      </c>
      <c r="M144" s="69">
        <f t="shared" si="75"/>
        <v>2.4105532505182983</v>
      </c>
      <c r="N144" s="69">
        <f t="shared" si="75"/>
        <v>1.9152892544387554</v>
      </c>
      <c r="O144" s="69">
        <f t="shared" si="75"/>
        <v>2.7829204200817572</v>
      </c>
      <c r="P144" s="69">
        <f>P141-P143</f>
        <v>3.2317535830748101</v>
      </c>
      <c r="Q144" s="69">
        <f t="shared" si="75"/>
        <v>3.7313692054293455</v>
      </c>
      <c r="R144" s="69">
        <f t="shared" si="75"/>
        <v>3.2949962517034592</v>
      </c>
      <c r="S144" s="69">
        <f t="shared" si="75"/>
        <v>3.2907429708933571</v>
      </c>
      <c r="T144" s="69">
        <f t="shared" si="75"/>
        <v>3.655832187216089</v>
      </c>
      <c r="U144" s="69">
        <f t="shared" si="75"/>
        <v>2.846128114158438</v>
      </c>
      <c r="V144" s="69">
        <f t="shared" ref="V144" si="76">V141-V143</f>
        <v>2.7308814854379002</v>
      </c>
      <c r="W144" s="69">
        <f t="shared" ref="W144:X144" si="77">W141-W143</f>
        <v>2.8446866578112102</v>
      </c>
      <c r="X144" s="69">
        <f t="shared" si="77"/>
        <v>2.9875796765917082</v>
      </c>
      <c r="Y144" s="69">
        <f t="shared" ref="Y144" si="78">Y141-Y143</f>
        <v>2.8348039500104205</v>
      </c>
    </row>
    <row r="145" spans="2:25" ht="14.25" customHeight="1" x14ac:dyDescent="0.35">
      <c r="B145" s="6" t="s">
        <v>244</v>
      </c>
      <c r="C145" s="70">
        <f>C146+C147+C148</f>
        <v>-1.3807904311989998</v>
      </c>
      <c r="D145" s="70">
        <f t="shared" ref="D145:U145" si="79">D146+D147+D148</f>
        <v>-1.2871015112159838</v>
      </c>
      <c r="E145" s="70">
        <f>E146+E147+E148</f>
        <v>-1.3465599255125773</v>
      </c>
      <c r="F145" s="70">
        <f t="shared" si="79"/>
        <v>-1.3123863522021595</v>
      </c>
      <c r="G145" s="70">
        <f t="shared" si="79"/>
        <v>-1.3269547098482826</v>
      </c>
      <c r="H145" s="70">
        <f t="shared" si="79"/>
        <v>-1.3238187423170018</v>
      </c>
      <c r="I145" s="70">
        <f t="shared" si="79"/>
        <v>-1.3252094488408668</v>
      </c>
      <c r="J145" s="70">
        <f t="shared" si="79"/>
        <v>-1.4880445713821251</v>
      </c>
      <c r="K145" s="70">
        <f t="shared" si="79"/>
        <v>-1.4184064263615925</v>
      </c>
      <c r="L145" s="70">
        <f t="shared" si="79"/>
        <v>-1.5533592260013513</v>
      </c>
      <c r="M145" s="70">
        <f>M146+M147+M148</f>
        <v>-1.6965028586881894</v>
      </c>
      <c r="N145" s="70">
        <f t="shared" si="79"/>
        <v>-1.5462877130368649</v>
      </c>
      <c r="O145" s="70">
        <f t="shared" si="79"/>
        <v>-2.12984205978821</v>
      </c>
      <c r="P145" s="70">
        <f t="shared" si="79"/>
        <v>-2.4364611414259087</v>
      </c>
      <c r="Q145" s="70">
        <f t="shared" si="79"/>
        <v>-2.6267930570553704</v>
      </c>
      <c r="R145" s="70">
        <f t="shared" si="79"/>
        <v>-2.8689668802979451</v>
      </c>
      <c r="S145" s="70">
        <f t="shared" si="79"/>
        <v>-2.5325518989108811</v>
      </c>
      <c r="T145" s="70">
        <f t="shared" si="79"/>
        <v>-3.5859157400490105</v>
      </c>
      <c r="U145" s="70">
        <f t="shared" si="79"/>
        <v>-2.9870451596904353</v>
      </c>
      <c r="V145" s="70">
        <f t="shared" ref="V145" si="80">V146+V147+V148</f>
        <v>-3.3833452159872408</v>
      </c>
      <c r="W145" s="70">
        <f t="shared" ref="W145:X145" si="81">W146+W147+W148</f>
        <v>-2.8091001439080703</v>
      </c>
      <c r="X145" s="70">
        <f t="shared" si="81"/>
        <v>-3.1619657174648022</v>
      </c>
      <c r="Y145" s="70">
        <f t="shared" ref="Y145" si="82">Y146+Y147+Y148</f>
        <v>-3.1855015565887643</v>
      </c>
    </row>
    <row r="146" spans="2:25" ht="14.25" customHeight="1" x14ac:dyDescent="0.35">
      <c r="B146" s="52" t="s">
        <v>249</v>
      </c>
      <c r="C146" s="61">
        <f>C88/C93</f>
        <v>-1.2142055284242934</v>
      </c>
      <c r="D146" s="61">
        <f t="shared" ref="D146:Y146" si="83">D88/D93</f>
        <v>-1.2084482529982665</v>
      </c>
      <c r="E146" s="61">
        <f t="shared" si="83"/>
        <v>-1.3460541237921402</v>
      </c>
      <c r="F146" s="61">
        <f t="shared" si="83"/>
        <v>-1.2746103422885304</v>
      </c>
      <c r="G146" s="61">
        <f t="shared" si="83"/>
        <v>-1.2735703128539129</v>
      </c>
      <c r="H146" s="61">
        <f t="shared" si="83"/>
        <v>-1.3261678398502323</v>
      </c>
      <c r="I146" s="61">
        <f t="shared" si="83"/>
        <v>-1.304583819549882</v>
      </c>
      <c r="J146" s="61">
        <f t="shared" si="83"/>
        <v>-1.5176275914806379</v>
      </c>
      <c r="K146" s="61">
        <f t="shared" si="83"/>
        <v>-1.4818902287917188</v>
      </c>
      <c r="L146" s="61">
        <f t="shared" si="83"/>
        <v>-1.5372091714684784</v>
      </c>
      <c r="M146" s="61">
        <f t="shared" si="83"/>
        <v>-1.665237193621578</v>
      </c>
      <c r="N146" s="61">
        <f t="shared" si="83"/>
        <v>-1.5557951893963555</v>
      </c>
      <c r="O146" s="61">
        <f t="shared" si="83"/>
        <v>-2.1602199558748687</v>
      </c>
      <c r="P146" s="61">
        <f t="shared" si="83"/>
        <v>-2.4820929454941156</v>
      </c>
      <c r="Q146" s="61">
        <f t="shared" si="83"/>
        <v>-2.6085231004361864</v>
      </c>
      <c r="R146" s="61">
        <f t="shared" si="83"/>
        <v>-2.8892827231436788</v>
      </c>
      <c r="S146" s="61">
        <f t="shared" si="83"/>
        <v>-2.5517966644134908</v>
      </c>
      <c r="T146" s="61">
        <f t="shared" si="83"/>
        <v>-3.5335863798771925</v>
      </c>
      <c r="U146" s="61">
        <f t="shared" si="83"/>
        <v>-3.5017045125231574</v>
      </c>
      <c r="V146" s="61">
        <f t="shared" si="83"/>
        <v>-3.641580597202235</v>
      </c>
      <c r="W146" s="61">
        <f t="shared" si="83"/>
        <v>-3.1830470123704235</v>
      </c>
      <c r="X146" s="61">
        <f t="shared" si="83"/>
        <v>-3.4483175726921163</v>
      </c>
      <c r="Y146" s="61">
        <f t="shared" si="83"/>
        <v>-3.1814240496381179</v>
      </c>
    </row>
    <row r="147" spans="2:25" ht="14.25" customHeight="1" x14ac:dyDescent="0.35">
      <c r="B147" s="52" t="s">
        <v>250</v>
      </c>
      <c r="C147" s="61">
        <f>(C42/C93)+('Statement of income'!C14/'Operational data'!C11)</f>
        <v>-0.24725435943916207</v>
      </c>
      <c r="D147" s="61">
        <f>(D42/D93)+('Statement of income'!D14/'Operational data'!D11)</f>
        <v>-0.1446209432416995</v>
      </c>
      <c r="E147" s="61">
        <f>(E42/E93)+('Statement of income'!E14/'Operational data'!E11)</f>
        <v>-8.5251142125583601E-2</v>
      </c>
      <c r="F147" s="61">
        <f>(F42/F93)+('Statement of income'!F14/'Operational data'!F11)</f>
        <v>-0.12415479180401125</v>
      </c>
      <c r="G147" s="61">
        <f>(G42/G93)+('Statement of income'!G14/'Operational data'!G11)</f>
        <v>-0.1338926964831571</v>
      </c>
      <c r="H147" s="61">
        <f>(H42/H93)+('Statement of income'!H14/'Operational data'!H11)</f>
        <v>-7.2204164558401507E-2</v>
      </c>
      <c r="I147" s="61">
        <f>(I42/I93)+('Statement of income'!I14/'Operational data'!I11)</f>
        <v>-0.10134563553147251</v>
      </c>
      <c r="J147" s="61">
        <f>(J42/J93)+('Statement of income'!J14/'Operational data'!J11)</f>
        <v>-6.515579335500013E-2</v>
      </c>
      <c r="K147" s="61">
        <f>(K42/K93)+('Statement of income'!K14/'Operational data'!K11)</f>
        <v>-7.7508748890772472E-3</v>
      </c>
      <c r="L147" s="61">
        <f>(L42/L93)+('Statement of income'!L14/'Operational data'!L11)</f>
        <v>-7.6540947493798445E-2</v>
      </c>
      <c r="M147" s="61">
        <f>(M42/M93)+('Statement of income'!M14/'Operational data'!M11)</f>
        <v>-9.410351606478376E-2</v>
      </c>
      <c r="N147" s="61">
        <f>(N42/N93)+('Statement of income'!N14/'Operational data'!N11)</f>
        <v>-6.2127002777634499E-2</v>
      </c>
      <c r="O147" s="61">
        <f>(O42/O93)+('Statement of income'!O14/'Operational data'!O11)</f>
        <v>-6.8318637956914396E-2</v>
      </c>
      <c r="P147" s="61">
        <f>(P42/P93)+('Statement of income'!P14/'Operational data'!P11)</f>
        <v>-4.4506061973293265E-2</v>
      </c>
      <c r="Q147" s="61">
        <f>(Q42/Q93)+('Statement of income'!Q14/'Operational data'!Q11)</f>
        <v>-0.10513031637809644</v>
      </c>
      <c r="R147" s="61">
        <f>(R42/R93)+('Statement of income'!R14/'Operational data'!R11)</f>
        <v>-7.2082138740898138E-2</v>
      </c>
      <c r="S147" s="61">
        <f>(S42/S93)+('Statement of income'!S14/'Operational data'!S11)</f>
        <v>-7.2459411799492002E-2</v>
      </c>
      <c r="T147" s="61">
        <f>(T42/T93)+('Statement of income'!T14/'Operational data'!T11)</f>
        <v>-0.15945089953789876</v>
      </c>
      <c r="U147" s="61">
        <f>(U42/U93)+('Statement of income'!U14/'Operational data'!U11)</f>
        <v>0.41793780035385047</v>
      </c>
      <c r="V147" s="61">
        <f>(V42/V93)+('Statement of income'!V14/'Operational data'!V11)</f>
        <v>0.15448257539780491</v>
      </c>
      <c r="W147" s="61">
        <f>(W42/W93)+('Statement of income'!W14/'Operational data'!W11)</f>
        <v>0.27420009571858073</v>
      </c>
      <c r="X147" s="61">
        <f>(X42/X93)+('Statement of income'!X14/'Operational data'!X11)</f>
        <v>0.1847865811897092</v>
      </c>
      <c r="Y147" s="61">
        <f>(Y42/Y93)+('Statement of income'!Y14/'Operational data'!Y11)</f>
        <v>-0.12565238023569048</v>
      </c>
    </row>
    <row r="148" spans="2:25" ht="14.25" customHeight="1" x14ac:dyDescent="0.35">
      <c r="B148" s="52" t="s">
        <v>251</v>
      </c>
      <c r="C148" s="61">
        <f>'Statement of cash flow'!C9/'Operational data'!C93</f>
        <v>8.0669456664455658E-2</v>
      </c>
      <c r="D148" s="61">
        <f>'Statement of cash flow'!D9/'Operational data'!D93</f>
        <v>6.5967685023982259E-2</v>
      </c>
      <c r="E148" s="61">
        <f>'Statement of cash flow'!W9/'Operational data'!E93</f>
        <v>8.4745340405146655E-2</v>
      </c>
      <c r="F148" s="61">
        <f>'Statement of cash flow'!X9/'Operational data'!F93</f>
        <v>8.6378781890382242E-2</v>
      </c>
      <c r="G148" s="61">
        <f>'Statement of cash flow'!Y9/'Operational data'!G93</f>
        <v>8.0508299488787308E-2</v>
      </c>
      <c r="H148" s="61">
        <f>'Statement of cash flow'!Z9/'Operational data'!H93</f>
        <v>7.4553262091632058E-2</v>
      </c>
      <c r="I148" s="61">
        <f>'Statement of cash flow'!H9/'Operational data'!I93</f>
        <v>8.0720006240487779E-2</v>
      </c>
      <c r="J148" s="61">
        <f>'Statement of cash flow'!AA9/'Operational data'!J93</f>
        <v>9.4738813453512885E-2</v>
      </c>
      <c r="K148" s="61">
        <f>'Statement of cash flow'!AB9/'Operational data'!K93</f>
        <v>7.1234677319203632E-2</v>
      </c>
      <c r="L148" s="61">
        <f>'Statement of cash flow'!AC9/'Operational data'!L93</f>
        <v>6.0390892960925362E-2</v>
      </c>
      <c r="M148" s="61">
        <f>'Statement of cash flow'!AD9/'Operational data'!M93</f>
        <v>6.2837850998172309E-2</v>
      </c>
      <c r="N148" s="61">
        <f>'Statement of cash flow'!L9/'Operational data'!N93</f>
        <v>7.1634479137125326E-2</v>
      </c>
      <c r="O148" s="61">
        <f>'Statement of cash flow'!AE9/'Operational data'!O93</f>
        <v>9.8696534043573328E-2</v>
      </c>
      <c r="P148" s="61">
        <f>'Statement of cash flow'!AF9/'Operational data'!P93</f>
        <v>9.0137866041500397E-2</v>
      </c>
      <c r="Q148" s="61">
        <f>'Statement of cash flow'!AG9/'Operational data'!Q93</f>
        <v>8.6860359758912556E-2</v>
      </c>
      <c r="R148" s="61">
        <f>'Statement of cash flow'!AH9/'Operational data'!R93</f>
        <v>9.239798158663208E-2</v>
      </c>
      <c r="S148" s="61">
        <f>'Statement of cash flow'!P9/'Operational data'!S93</f>
        <v>9.1704177302101814E-2</v>
      </c>
      <c r="T148" s="61">
        <f>'Statement of cash flow'!AI9/'Operational data'!T93</f>
        <v>0.10712153936608081</v>
      </c>
      <c r="U148" s="61">
        <f>'Statement of cash flow'!AJ9/'Operational data'!U93</f>
        <v>9.6721552478871708E-2</v>
      </c>
      <c r="V148" s="61">
        <f>'Statement of cash flow'!AK9/'Operational data'!V93</f>
        <v>0.10375280581718963</v>
      </c>
      <c r="W148" s="61">
        <f>'Statement of cash flow'!AL9/W93</f>
        <v>9.974677274377243E-2</v>
      </c>
      <c r="X148" s="61">
        <f>'Statement of cash flow'!T9/X93</f>
        <v>0.10156527403760486</v>
      </c>
      <c r="Y148" s="61">
        <f>'Statement of cash flow'!U9/Y93</f>
        <v>0.12157487328504431</v>
      </c>
    </row>
    <row r="149" spans="2:25" ht="14.25" customHeight="1" x14ac:dyDescent="0.35">
      <c r="B149" s="6" t="s">
        <v>254</v>
      </c>
      <c r="C149" s="72">
        <f>(C26+C31+C39)/C11</f>
        <v>0.25211451728505224</v>
      </c>
      <c r="D149" s="72">
        <f t="shared" ref="D149:Y149" si="84">(D26+D31+D39)/D11</f>
        <v>0.3407594934681083</v>
      </c>
      <c r="E149" s="72">
        <f t="shared" si="84"/>
        <v>0.31775466814130393</v>
      </c>
      <c r="F149" s="72">
        <f t="shared" si="84"/>
        <v>0.34865707005337443</v>
      </c>
      <c r="G149" s="72">
        <f t="shared" si="84"/>
        <v>0.36488127657201308</v>
      </c>
      <c r="H149" s="72">
        <f t="shared" si="84"/>
        <v>0.40613607125886186</v>
      </c>
      <c r="I149" s="72">
        <f t="shared" si="84"/>
        <v>0.36204225134826823</v>
      </c>
      <c r="J149" s="72">
        <f t="shared" si="84"/>
        <v>0.70051858029306935</v>
      </c>
      <c r="K149" s="72">
        <f t="shared" si="84"/>
        <v>0.69648690196841934</v>
      </c>
      <c r="L149" s="72">
        <f t="shared" si="84"/>
        <v>0.6279473134994904</v>
      </c>
      <c r="M149" s="72">
        <f t="shared" si="84"/>
        <v>0.68484046786848574</v>
      </c>
      <c r="N149" s="72">
        <f t="shared" si="84"/>
        <v>0.6767867304289491</v>
      </c>
      <c r="O149" s="72">
        <f t="shared" si="84"/>
        <v>0.96681099229448275</v>
      </c>
      <c r="P149" s="72">
        <f t="shared" si="84"/>
        <v>1.017040313483027</v>
      </c>
      <c r="Q149" s="72">
        <f t="shared" si="84"/>
        <v>1.0628625542875474</v>
      </c>
      <c r="R149" s="72">
        <f t="shared" si="84"/>
        <v>1.3038392808581416</v>
      </c>
      <c r="S149" s="72">
        <f t="shared" si="84"/>
        <v>1.0886807691382521</v>
      </c>
      <c r="T149" s="72">
        <f t="shared" si="84"/>
        <v>1.8794915474741143</v>
      </c>
      <c r="U149" s="72">
        <f t="shared" si="84"/>
        <v>1.8380126178738079</v>
      </c>
      <c r="V149" s="72">
        <f t="shared" si="84"/>
        <v>1.8427778042545839</v>
      </c>
      <c r="W149" s="72">
        <f t="shared" si="84"/>
        <v>1.1934931588353683</v>
      </c>
      <c r="X149" s="72">
        <f t="shared" si="84"/>
        <v>1.6833220937854931</v>
      </c>
      <c r="Y149" s="72">
        <f t="shared" si="84"/>
        <v>1.0923816879617605</v>
      </c>
    </row>
    <row r="150" spans="2:25" ht="14.25" customHeight="1" x14ac:dyDescent="0.35">
      <c r="B150" s="5" t="s">
        <v>255</v>
      </c>
      <c r="C150" s="69">
        <f>C145+C149</f>
        <v>-1.1286759139139475</v>
      </c>
      <c r="D150" s="69">
        <f>D145+D149</f>
        <v>-0.94634201774787552</v>
      </c>
      <c r="E150" s="69">
        <f t="shared" ref="E150:V150" si="85">E145+E149</f>
        <v>-1.0288052573712734</v>
      </c>
      <c r="F150" s="69">
        <f t="shared" si="85"/>
        <v>-0.96372928214878506</v>
      </c>
      <c r="G150" s="69">
        <f t="shared" si="85"/>
        <v>-0.96207343327626949</v>
      </c>
      <c r="H150" s="69">
        <f t="shared" si="85"/>
        <v>-0.91768267105813994</v>
      </c>
      <c r="I150" s="69">
        <f t="shared" si="85"/>
        <v>-0.9631671974925986</v>
      </c>
      <c r="J150" s="69">
        <f t="shared" si="85"/>
        <v>-0.78752599108905574</v>
      </c>
      <c r="K150" s="69">
        <f t="shared" si="85"/>
        <v>-0.7219195243931732</v>
      </c>
      <c r="L150" s="69">
        <f t="shared" si="85"/>
        <v>-0.92541191250186094</v>
      </c>
      <c r="M150" s="69">
        <f t="shared" si="85"/>
        <v>-1.0116623908197035</v>
      </c>
      <c r="N150" s="69">
        <f t="shared" si="85"/>
        <v>-0.86950098260791575</v>
      </c>
      <c r="O150" s="69">
        <f t="shared" si="85"/>
        <v>-1.1630310674937272</v>
      </c>
      <c r="P150" s="69">
        <f t="shared" si="85"/>
        <v>-1.4194208279428817</v>
      </c>
      <c r="Q150" s="69">
        <f t="shared" si="85"/>
        <v>-1.563930502767823</v>
      </c>
      <c r="R150" s="69">
        <f t="shared" si="85"/>
        <v>-1.5651275994398035</v>
      </c>
      <c r="S150" s="69">
        <f t="shared" si="85"/>
        <v>-1.443871129772629</v>
      </c>
      <c r="T150" s="69">
        <f t="shared" si="85"/>
        <v>-1.7064241925748962</v>
      </c>
      <c r="U150" s="69">
        <f t="shared" si="85"/>
        <v>-1.1490325418166274</v>
      </c>
      <c r="V150" s="69">
        <f t="shared" si="85"/>
        <v>-1.5405674117326569</v>
      </c>
      <c r="W150" s="69">
        <f t="shared" ref="W150:X150" si="86">W145+W149</f>
        <v>-1.615606985072702</v>
      </c>
      <c r="X150" s="69">
        <f t="shared" si="86"/>
        <v>-1.478643623679309</v>
      </c>
      <c r="Y150" s="69">
        <f t="shared" ref="Y150" si="87">Y145+Y149</f>
        <v>-2.0931198686270038</v>
      </c>
    </row>
    <row r="151" spans="2:25" ht="14.25" customHeight="1" x14ac:dyDescent="0.35">
      <c r="B151" s="5" t="s">
        <v>243</v>
      </c>
      <c r="C151" s="71">
        <f t="shared" ref="C151:Y151" si="88">-C128/C11</f>
        <v>-2.9286692956449149E-2</v>
      </c>
      <c r="D151" s="71">
        <f t="shared" si="88"/>
        <v>-0.11495093255380437</v>
      </c>
      <c r="E151" s="71">
        <f t="shared" si="88"/>
        <v>-1.9032634917600409E-2</v>
      </c>
      <c r="F151" s="71">
        <f t="shared" si="88"/>
        <v>8.0333042268578621E-4</v>
      </c>
      <c r="G151" s="71">
        <f t="shared" si="88"/>
        <v>-4.2162042261292408E-2</v>
      </c>
      <c r="H151" s="71">
        <f t="shared" si="88"/>
        <v>-9.3810901623276269E-3</v>
      </c>
      <c r="I151" s="71">
        <f t="shared" si="88"/>
        <v>-1.7564077056817416E-2</v>
      </c>
      <c r="J151" s="71">
        <f t="shared" si="88"/>
        <v>-2.1264334909475567E-2</v>
      </c>
      <c r="K151" s="71">
        <f t="shared" si="88"/>
        <v>1.847785697755297E-2</v>
      </c>
      <c r="L151" s="71">
        <f t="shared" si="88"/>
        <v>0</v>
      </c>
      <c r="M151" s="71">
        <f t="shared" si="88"/>
        <v>0</v>
      </c>
      <c r="N151" s="71">
        <f t="shared" si="88"/>
        <v>-3.0253115391090581E-4</v>
      </c>
      <c r="O151" s="71">
        <f t="shared" si="88"/>
        <v>-1.2868148190522212E-2</v>
      </c>
      <c r="P151" s="71">
        <f t="shared" si="88"/>
        <v>-7.3659392910741753E-3</v>
      </c>
      <c r="Q151" s="71">
        <f t="shared" si="88"/>
        <v>-1.1610805155667276E-2</v>
      </c>
      <c r="R151" s="71">
        <f t="shared" si="88"/>
        <v>-0.10682815796699494</v>
      </c>
      <c r="S151" s="71">
        <f t="shared" si="88"/>
        <v>-3.4628816359291485E-2</v>
      </c>
      <c r="T151" s="71">
        <f t="shared" si="88"/>
        <v>-2.8475771515434494E-2</v>
      </c>
      <c r="U151" s="71">
        <f t="shared" si="88"/>
        <v>-1.9172482721697758E-2</v>
      </c>
      <c r="V151" s="71">
        <f t="shared" si="88"/>
        <v>1.3773712157913235E-2</v>
      </c>
      <c r="W151" s="71">
        <f t="shared" si="88"/>
        <v>-1.6467050523980637E-2</v>
      </c>
      <c r="X151" s="71">
        <f t="shared" si="88"/>
        <v>-1.189763294208143E-2</v>
      </c>
      <c r="Y151" s="71">
        <f t="shared" si="88"/>
        <v>-1.450246022616326E-2</v>
      </c>
    </row>
    <row r="152" spans="2:25" ht="14.25" customHeight="1" x14ac:dyDescent="0.35">
      <c r="B152" s="6" t="s">
        <v>245</v>
      </c>
      <c r="C152" s="70">
        <f>C150+C151</f>
        <v>-1.1579626068703968</v>
      </c>
      <c r="D152" s="70">
        <f t="shared" ref="D152:U152" si="89">D150+D151</f>
        <v>-1.0612929503016799</v>
      </c>
      <c r="E152" s="70">
        <f t="shared" si="89"/>
        <v>-1.0478378922888738</v>
      </c>
      <c r="F152" s="70">
        <f t="shared" si="89"/>
        <v>-0.96292595172609929</v>
      </c>
      <c r="G152" s="70">
        <f t="shared" si="89"/>
        <v>-1.004235475537562</v>
      </c>
      <c r="H152" s="70">
        <f t="shared" si="89"/>
        <v>-0.92706376122046752</v>
      </c>
      <c r="I152" s="70">
        <f t="shared" si="89"/>
        <v>-0.980731274549416</v>
      </c>
      <c r="J152" s="70">
        <f t="shared" si="89"/>
        <v>-0.80879032599853129</v>
      </c>
      <c r="K152" s="70">
        <f t="shared" si="89"/>
        <v>-0.7034416674156202</v>
      </c>
      <c r="L152" s="70">
        <f t="shared" si="89"/>
        <v>-0.92541191250186094</v>
      </c>
      <c r="M152" s="70">
        <f t="shared" si="89"/>
        <v>-1.0116623908197035</v>
      </c>
      <c r="N152" s="70">
        <f t="shared" si="89"/>
        <v>-0.86980351376182663</v>
      </c>
      <c r="O152" s="70">
        <f t="shared" si="89"/>
        <v>-1.1758992156842494</v>
      </c>
      <c r="P152" s="70">
        <f t="shared" si="89"/>
        <v>-1.4267867672339558</v>
      </c>
      <c r="Q152" s="70">
        <f t="shared" si="89"/>
        <v>-1.5755413079234903</v>
      </c>
      <c r="R152" s="70">
        <f t="shared" si="89"/>
        <v>-1.6719557574067985</v>
      </c>
      <c r="S152" s="70">
        <f t="shared" si="89"/>
        <v>-1.4784999461319204</v>
      </c>
      <c r="T152" s="70">
        <f t="shared" si="89"/>
        <v>-1.7348999640903306</v>
      </c>
      <c r="U152" s="70">
        <f t="shared" si="89"/>
        <v>-1.1682050245383251</v>
      </c>
      <c r="V152" s="70">
        <f t="shared" ref="V152" si="90">V150+V151</f>
        <v>-1.5267936995747435</v>
      </c>
      <c r="W152" s="70">
        <f t="shared" ref="W152:X152" si="91">W150+W151</f>
        <v>-1.6320740355966825</v>
      </c>
      <c r="X152" s="70">
        <f t="shared" si="91"/>
        <v>-1.4905412566213905</v>
      </c>
      <c r="Y152" s="70">
        <f t="shared" ref="Y152" si="92">Y150+Y151</f>
        <v>-2.107622328853167</v>
      </c>
    </row>
    <row r="153" spans="2:25" ht="14.25" customHeight="1" x14ac:dyDescent="0.35">
      <c r="B153" s="5" t="s">
        <v>246</v>
      </c>
      <c r="C153" s="69">
        <f>C144+C150+C151</f>
        <v>0.53903102589229512</v>
      </c>
      <c r="D153" s="69">
        <f t="shared" ref="D153:U153" si="93">D144+D150+D151</f>
        <v>0.70893120171131763</v>
      </c>
      <c r="E153" s="69">
        <f t="shared" si="93"/>
        <v>0.71589756170400709</v>
      </c>
      <c r="F153" s="69">
        <f t="shared" si="93"/>
        <v>0.80310595772524729</v>
      </c>
      <c r="G153" s="69">
        <f t="shared" si="93"/>
        <v>0.84710154575603835</v>
      </c>
      <c r="H153" s="69">
        <f t="shared" si="93"/>
        <v>1.1499315346465506</v>
      </c>
      <c r="I153" s="69">
        <f t="shared" si="93"/>
        <v>0.90529953255728424</v>
      </c>
      <c r="J153" s="69">
        <f t="shared" si="93"/>
        <v>0.63188404150139255</v>
      </c>
      <c r="K153" s="69">
        <f t="shared" si="93"/>
        <v>0.94593007976331622</v>
      </c>
      <c r="L153" s="69">
        <f t="shared" si="93"/>
        <v>1.1204553211951682</v>
      </c>
      <c r="M153" s="69">
        <f t="shared" si="93"/>
        <v>1.3988908596985947</v>
      </c>
      <c r="N153" s="69">
        <f t="shared" si="93"/>
        <v>1.0454857406769287</v>
      </c>
      <c r="O153" s="69">
        <f t="shared" si="93"/>
        <v>1.6070212043975078</v>
      </c>
      <c r="P153" s="69">
        <f>P144+P150+P151</f>
        <v>1.8049668158408543</v>
      </c>
      <c r="Q153" s="69">
        <f t="shared" si="93"/>
        <v>2.1558278975058554</v>
      </c>
      <c r="R153" s="69">
        <f t="shared" si="93"/>
        <v>1.6230404942966608</v>
      </c>
      <c r="S153" s="69">
        <f t="shared" si="93"/>
        <v>1.8122430247614367</v>
      </c>
      <c r="T153" s="69">
        <f t="shared" si="93"/>
        <v>1.9209322231257584</v>
      </c>
      <c r="U153" s="69">
        <f t="shared" si="93"/>
        <v>1.6779230896201129</v>
      </c>
      <c r="V153" s="69">
        <f t="shared" ref="V153" si="94">V144+V150+V151</f>
        <v>1.2040877858631567</v>
      </c>
      <c r="W153" s="69">
        <f t="shared" ref="W153:X153" si="95">W144+W150+W151</f>
        <v>1.2126126222145277</v>
      </c>
      <c r="X153" s="69">
        <f t="shared" si="95"/>
        <v>1.4970384199703177</v>
      </c>
      <c r="Y153" s="69">
        <f t="shared" ref="Y153" si="96">Y144+Y150+Y151</f>
        <v>0.72718162115725338</v>
      </c>
    </row>
    <row r="154" spans="2:25" ht="14.25" customHeight="1" x14ac:dyDescent="0.35">
      <c r="B154" s="5"/>
      <c r="C154" s="63"/>
      <c r="D154" s="63"/>
      <c r="E154" s="63"/>
      <c r="F154" s="63"/>
      <c r="G154" s="63"/>
      <c r="H154" s="63"/>
      <c r="I154" s="63"/>
      <c r="J154" s="63"/>
      <c r="K154" s="63"/>
      <c r="L154" s="63"/>
      <c r="M154" s="63"/>
      <c r="N154" s="63"/>
      <c r="O154" s="63"/>
      <c r="P154" s="63"/>
      <c r="Q154" s="63"/>
      <c r="R154" s="68"/>
      <c r="S154" s="63"/>
      <c r="T154" s="63"/>
      <c r="U154" s="63"/>
      <c r="V154" s="63"/>
      <c r="W154" s="63"/>
      <c r="X154" s="63"/>
      <c r="Y154" s="63"/>
    </row>
    <row r="155" spans="2:25" ht="14.25" customHeight="1" x14ac:dyDescent="0.35">
      <c r="B155" s="22" t="s">
        <v>221</v>
      </c>
      <c r="S155" s="21"/>
    </row>
    <row r="156" spans="2:25" ht="14.25" customHeight="1" x14ac:dyDescent="0.35">
      <c r="B156" s="22" t="s">
        <v>220</v>
      </c>
      <c r="S156" s="21"/>
    </row>
    <row r="157" spans="2:25" ht="14.25" customHeight="1" x14ac:dyDescent="0.35">
      <c r="B157" s="22" t="s">
        <v>256</v>
      </c>
      <c r="S157" s="21"/>
    </row>
    <row r="158" spans="2:25" ht="14.25" customHeight="1" x14ac:dyDescent="0.35">
      <c r="B158" s="6"/>
      <c r="C158" s="61"/>
      <c r="D158" s="61"/>
      <c r="E158" s="61"/>
      <c r="F158" s="61"/>
      <c r="G158" s="61"/>
      <c r="H158" s="61"/>
      <c r="I158" s="61"/>
      <c r="J158" s="61"/>
      <c r="K158" s="61"/>
      <c r="L158" s="61"/>
      <c r="M158" s="61"/>
      <c r="N158" s="61"/>
      <c r="O158" s="61"/>
      <c r="P158" s="61"/>
      <c r="Q158" s="61"/>
      <c r="R158" s="61"/>
      <c r="U158" s="61"/>
      <c r="V158" s="61"/>
      <c r="W158" s="61"/>
      <c r="X158" s="61"/>
      <c r="Y158" s="61"/>
    </row>
  </sheetData>
  <mergeCells count="24">
    <mergeCell ref="C5:C6"/>
    <mergeCell ref="M5:M6"/>
    <mergeCell ref="N5:N6"/>
    <mergeCell ref="D5:D6"/>
    <mergeCell ref="K5:K6"/>
    <mergeCell ref="L5:L6"/>
    <mergeCell ref="E5:E6"/>
    <mergeCell ref="F5:F6"/>
    <mergeCell ref="G5:G6"/>
    <mergeCell ref="H5:H6"/>
    <mergeCell ref="I5:I6"/>
    <mergeCell ref="J5:J6"/>
    <mergeCell ref="Y5:Y6"/>
    <mergeCell ref="S2:Y3"/>
    <mergeCell ref="S5:S6"/>
    <mergeCell ref="P5:P6"/>
    <mergeCell ref="O5:O6"/>
    <mergeCell ref="R5:R6"/>
    <mergeCell ref="T5:T6"/>
    <mergeCell ref="Q5:Q6"/>
    <mergeCell ref="U5:U6"/>
    <mergeCell ref="V5:V6"/>
    <mergeCell ref="W5:W6"/>
    <mergeCell ref="X5:X6"/>
  </mergeCells>
  <pageMargins left="0.7" right="0.7" top="0.75" bottom="0.75" header="0.3" footer="0.3"/>
  <pageSetup paperSize="9" orientation="portrait" r:id="rId1"/>
  <ignoredErrors>
    <ignoredError sqref="C26:K26 L26 N26:O26" formulaRange="1"/>
    <ignoredError sqref="M110:M118 M106:M107" formula="1"/>
    <ignoredError sqref="M26" formula="1"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A0AAB-C397-47C5-B2A3-43F440BA40B7}">
  <sheetPr>
    <tabColor rgb="FF1B7754"/>
    <outlinePr summaryRight="0"/>
  </sheetPr>
  <dimension ref="A2:U44"/>
  <sheetViews>
    <sheetView showGridLines="0" zoomScaleNormal="100" workbookViewId="0"/>
  </sheetViews>
  <sheetFormatPr defaultColWidth="9.140625" defaultRowHeight="14.45" customHeight="1" x14ac:dyDescent="0.35"/>
  <cols>
    <col min="1" max="1" width="1.7109375" style="2" customWidth="1"/>
    <col min="2" max="2" width="53.140625" style="2" customWidth="1"/>
    <col min="3" max="21" width="10.85546875" style="2" customWidth="1"/>
    <col min="22" max="16384" width="9.140625" style="2"/>
  </cols>
  <sheetData>
    <row r="2" spans="1:21" ht="14.45" customHeight="1" x14ac:dyDescent="0.35">
      <c r="O2" s="100" t="s">
        <v>224</v>
      </c>
      <c r="P2" s="100"/>
      <c r="Q2" s="100"/>
      <c r="R2" s="100"/>
      <c r="S2" s="100"/>
      <c r="T2" s="100"/>
      <c r="U2" s="100"/>
    </row>
    <row r="3" spans="1:21" ht="14.45" customHeight="1" x14ac:dyDescent="0.35">
      <c r="H3" s="58"/>
      <c r="O3" s="100"/>
      <c r="P3" s="100"/>
      <c r="Q3" s="100"/>
      <c r="R3" s="100"/>
      <c r="S3" s="100"/>
      <c r="T3" s="100"/>
      <c r="U3" s="100"/>
    </row>
    <row r="5" spans="1:21" s="11" customFormat="1" ht="14.45" customHeight="1" x14ac:dyDescent="0.25">
      <c r="B5" s="83" t="s">
        <v>101</v>
      </c>
      <c r="C5" s="99" t="s">
        <v>164</v>
      </c>
      <c r="D5" s="99" t="s">
        <v>127</v>
      </c>
      <c r="E5" s="99" t="s">
        <v>9</v>
      </c>
      <c r="F5" s="99" t="s">
        <v>10</v>
      </c>
      <c r="G5" s="99" t="s">
        <v>11</v>
      </c>
      <c r="H5" s="99" t="s">
        <v>12</v>
      </c>
      <c r="I5" s="99" t="s">
        <v>13</v>
      </c>
      <c r="J5" s="99" t="s">
        <v>14</v>
      </c>
      <c r="K5" s="99" t="s">
        <v>131</v>
      </c>
      <c r="L5" s="99" t="s">
        <v>155</v>
      </c>
      <c r="M5" s="99" t="s">
        <v>162</v>
      </c>
      <c r="N5" s="99" t="s">
        <v>190</v>
      </c>
      <c r="O5" s="99" t="s">
        <v>202</v>
      </c>
      <c r="P5" s="99" t="s">
        <v>215</v>
      </c>
      <c r="Q5" s="99" t="s">
        <v>222</v>
      </c>
      <c r="R5" s="99" t="s">
        <v>225</v>
      </c>
      <c r="S5" s="99" t="s">
        <v>257</v>
      </c>
      <c r="T5" s="99" t="s">
        <v>266</v>
      </c>
      <c r="U5" s="99" t="s">
        <v>281</v>
      </c>
    </row>
    <row r="6" spans="1:21" ht="14.45" customHeight="1" x14ac:dyDescent="0.35">
      <c r="B6" s="84" t="s">
        <v>113</v>
      </c>
      <c r="C6" s="99"/>
      <c r="D6" s="99"/>
      <c r="E6" s="99"/>
      <c r="F6" s="99"/>
      <c r="G6" s="99"/>
      <c r="H6" s="99"/>
      <c r="I6" s="99"/>
      <c r="J6" s="99"/>
      <c r="K6" s="99"/>
      <c r="L6" s="99"/>
      <c r="M6" s="99"/>
      <c r="N6" s="99"/>
      <c r="O6" s="99"/>
      <c r="P6" s="99"/>
      <c r="Q6" s="99"/>
      <c r="R6" s="99"/>
      <c r="S6" s="99"/>
      <c r="T6" s="99"/>
      <c r="U6" s="99"/>
    </row>
    <row r="7" spans="1:21" ht="14.45" customHeight="1" x14ac:dyDescent="0.35">
      <c r="B7" s="6" t="s">
        <v>233</v>
      </c>
      <c r="C7" s="6">
        <v>0</v>
      </c>
      <c r="D7" s="6">
        <v>0</v>
      </c>
      <c r="E7" s="6">
        <v>0</v>
      </c>
      <c r="F7" s="6">
        <v>0</v>
      </c>
      <c r="G7" s="6">
        <v>0</v>
      </c>
      <c r="H7" s="6">
        <v>0</v>
      </c>
      <c r="I7" s="6">
        <v>0</v>
      </c>
      <c r="J7" s="6">
        <v>0</v>
      </c>
      <c r="K7" s="6">
        <v>2826534</v>
      </c>
      <c r="L7" s="6">
        <v>3459887.7266947818</v>
      </c>
      <c r="M7" s="6">
        <v>2955878.1719011841</v>
      </c>
      <c r="N7" s="6">
        <v>3307088.9261245606</v>
      </c>
      <c r="O7" s="6">
        <v>3796126.547410585</v>
      </c>
      <c r="P7" s="6">
        <v>3308427.9087991854</v>
      </c>
      <c r="Q7" s="6">
        <v>3435962.8403765606</v>
      </c>
      <c r="R7" s="6">
        <v>3387582.6926613464</v>
      </c>
      <c r="S7" s="6">
        <v>3105739.4731393382</v>
      </c>
      <c r="T7" s="6">
        <v>3107827.0215485548</v>
      </c>
      <c r="U7" s="6">
        <v>2464967.1099920315</v>
      </c>
    </row>
    <row r="8" spans="1:21" ht="14.45" customHeight="1" x14ac:dyDescent="0.35">
      <c r="B8" s="6" t="s">
        <v>119</v>
      </c>
      <c r="C8" s="7">
        <f>437929498/1000</f>
        <v>437929.49800000002</v>
      </c>
      <c r="D8" s="6">
        <v>705686</v>
      </c>
      <c r="E8" s="6">
        <v>948717</v>
      </c>
      <c r="F8" s="6">
        <v>1358677</v>
      </c>
      <c r="G8" s="6">
        <v>1649109</v>
      </c>
      <c r="H8" s="6">
        <v>2419889</v>
      </c>
      <c r="I8" s="6">
        <v>2659403</v>
      </c>
      <c r="J8" s="6">
        <v>2741039</v>
      </c>
      <c r="K8" s="6">
        <v>0</v>
      </c>
      <c r="L8" s="6">
        <v>0</v>
      </c>
      <c r="M8" s="6">
        <v>0</v>
      </c>
      <c r="N8" s="6">
        <v>0</v>
      </c>
      <c r="O8" s="6">
        <v>0</v>
      </c>
      <c r="P8" s="6">
        <v>0</v>
      </c>
      <c r="Q8" s="6">
        <v>0</v>
      </c>
      <c r="R8" s="6">
        <v>0</v>
      </c>
      <c r="S8" s="6">
        <v>0</v>
      </c>
      <c r="T8" s="6">
        <v>0</v>
      </c>
      <c r="U8" s="6">
        <v>0</v>
      </c>
    </row>
    <row r="9" spans="1:21" ht="14.45" customHeight="1" x14ac:dyDescent="0.35">
      <c r="B9" s="6" t="s">
        <v>234</v>
      </c>
      <c r="C9" s="6">
        <v>0</v>
      </c>
      <c r="D9" s="6">
        <v>0</v>
      </c>
      <c r="E9" s="6">
        <v>0</v>
      </c>
      <c r="F9" s="6">
        <v>0</v>
      </c>
      <c r="G9" s="6">
        <v>0</v>
      </c>
      <c r="H9" s="6">
        <v>194732</v>
      </c>
      <c r="I9" s="6">
        <v>315921</v>
      </c>
      <c r="J9" s="6">
        <v>315067</v>
      </c>
      <c r="K9" s="6">
        <v>316575</v>
      </c>
      <c r="L9" s="6">
        <v>251920.71523999999</v>
      </c>
      <c r="M9" s="6">
        <v>254142.73180000001</v>
      </c>
      <c r="N9" s="6">
        <v>533781.44572999992</v>
      </c>
      <c r="O9" s="6">
        <v>547910.85721000005</v>
      </c>
      <c r="P9" s="6">
        <v>1226612.81168</v>
      </c>
      <c r="Q9" s="6">
        <v>1979649.8880300003</v>
      </c>
      <c r="R9" s="6">
        <v>1983796.5107</v>
      </c>
      <c r="S9" s="6">
        <v>2016020.77572</v>
      </c>
      <c r="T9" s="6">
        <v>2046623.0291700002</v>
      </c>
      <c r="U9" s="6">
        <v>3173588.3669299996</v>
      </c>
    </row>
    <row r="10" spans="1:21" ht="14.45" customHeight="1" x14ac:dyDescent="0.35">
      <c r="B10" s="6" t="s">
        <v>235</v>
      </c>
      <c r="C10" s="6">
        <v>0</v>
      </c>
      <c r="D10" s="6">
        <v>40799</v>
      </c>
      <c r="E10" s="6">
        <v>47017</v>
      </c>
      <c r="F10" s="6">
        <v>249329</v>
      </c>
      <c r="G10" s="6">
        <v>431876</v>
      </c>
      <c r="H10" s="6">
        <v>422552</v>
      </c>
      <c r="I10" s="6">
        <v>571924</v>
      </c>
      <c r="J10" s="6">
        <v>533708</v>
      </c>
      <c r="K10" s="6">
        <v>593059</v>
      </c>
      <c r="L10" s="6">
        <v>237791.54750999997</v>
      </c>
      <c r="M10" s="6">
        <v>154344.26506999999</v>
      </c>
      <c r="N10" s="6">
        <v>579379.67199000006</v>
      </c>
      <c r="O10" s="6">
        <v>574443.95103</v>
      </c>
      <c r="P10" s="6">
        <v>758529.74038000067</v>
      </c>
      <c r="Q10" s="6">
        <v>1130182.1048799991</v>
      </c>
      <c r="R10" s="6">
        <v>1372330.9623492616</v>
      </c>
      <c r="S10" s="6">
        <v>1392872.8551869702</v>
      </c>
      <c r="T10" s="6">
        <v>1744995.1912029719</v>
      </c>
      <c r="U10" s="6">
        <v>2210238.4626411358</v>
      </c>
    </row>
    <row r="11" spans="1:21" ht="14.45" customHeight="1" x14ac:dyDescent="0.35">
      <c r="B11" s="36" t="s">
        <v>236</v>
      </c>
      <c r="C11" s="4">
        <f t="shared" ref="C11:R11" si="0">C10+C9+C8+C7</f>
        <v>437929.49800000002</v>
      </c>
      <c r="D11" s="4">
        <f t="shared" si="0"/>
        <v>746485</v>
      </c>
      <c r="E11" s="4">
        <f t="shared" si="0"/>
        <v>995734</v>
      </c>
      <c r="F11" s="4">
        <f t="shared" si="0"/>
        <v>1608006</v>
      </c>
      <c r="G11" s="4">
        <f t="shared" si="0"/>
        <v>2080985</v>
      </c>
      <c r="H11" s="4">
        <f t="shared" si="0"/>
        <v>3037173</v>
      </c>
      <c r="I11" s="4">
        <f t="shared" si="0"/>
        <v>3547248</v>
      </c>
      <c r="J11" s="4">
        <f t="shared" si="0"/>
        <v>3589814</v>
      </c>
      <c r="K11" s="4">
        <f t="shared" si="0"/>
        <v>3736168</v>
      </c>
      <c r="L11" s="4">
        <f t="shared" si="0"/>
        <v>3949599.989444782</v>
      </c>
      <c r="M11" s="4">
        <f t="shared" si="0"/>
        <v>3364365.168771184</v>
      </c>
      <c r="N11" s="4">
        <f t="shared" si="0"/>
        <v>4420250.0438445602</v>
      </c>
      <c r="O11" s="4">
        <f t="shared" si="0"/>
        <v>4918481.3556505851</v>
      </c>
      <c r="P11" s="4">
        <f t="shared" si="0"/>
        <v>5293570.460859186</v>
      </c>
      <c r="Q11" s="4">
        <f t="shared" si="0"/>
        <v>6545794.8332865601</v>
      </c>
      <c r="R11" s="4">
        <f t="shared" si="0"/>
        <v>6743710.1657106075</v>
      </c>
      <c r="S11" s="4">
        <v>6514633.1040463084</v>
      </c>
      <c r="T11" s="4">
        <v>6899445.2419215273</v>
      </c>
      <c r="U11" s="4">
        <v>7848793.9395631673</v>
      </c>
    </row>
    <row r="12" spans="1:21" ht="14.45" customHeight="1" x14ac:dyDescent="0.35">
      <c r="B12" s="6" t="s">
        <v>237</v>
      </c>
      <c r="C12" s="6">
        <f>'Statements financial position'!C7+'Statements financial position'!C8+'Statements financial position'!C9</f>
        <v>234467</v>
      </c>
      <c r="D12" s="6">
        <f>'Statements financial position'!D7+'Statements financial position'!D8+'Statements financial position'!D9</f>
        <v>50559</v>
      </c>
      <c r="E12" s="6">
        <f>'Statements financial position'!E7+'Statements financial position'!E8+'Statements financial position'!E9</f>
        <v>95872.361000000004</v>
      </c>
      <c r="F12" s="6">
        <f>'Statements financial position'!F7+'Statements financial position'!F8+'Statements financial position'!F9</f>
        <v>123856.936</v>
      </c>
      <c r="G12" s="6">
        <f>'Statements financial position'!G7+'Statements financial position'!G8+'Statements financial position'!G9</f>
        <v>208658</v>
      </c>
      <c r="H12" s="6">
        <f>'Statements financial position'!H7+'Statements financial position'!H8+'Statements financial position'!H9</f>
        <v>465405</v>
      </c>
      <c r="I12" s="6">
        <f>'Statements financial position'!I7+'Statements financial position'!I8+'Statements financial position'!I9</f>
        <v>896568</v>
      </c>
      <c r="J12" s="6">
        <f>'Statements financial position'!J7+'Statements financial position'!J8+'Statements financial position'!J9</f>
        <v>750149</v>
      </c>
      <c r="K12" s="6">
        <v>664435</v>
      </c>
      <c r="L12" s="6">
        <v>977488.11758478219</v>
      </c>
      <c r="M12" s="6">
        <v>1030925.793461184</v>
      </c>
      <c r="N12" s="6">
        <v>805054.57949736994</v>
      </c>
      <c r="O12" s="6">
        <v>1149974.3937424803</v>
      </c>
      <c r="P12" s="6">
        <v>2252014.9000011096</v>
      </c>
      <c r="Q12" s="6">
        <v>3251259.7524565598</v>
      </c>
      <c r="R12" s="6">
        <v>2128468.3427784541</v>
      </c>
      <c r="S12" s="6">
        <v>1448130.254513693</v>
      </c>
      <c r="T12" s="6">
        <v>2057328.372370332</v>
      </c>
      <c r="U12" s="6">
        <v>2814436.7872565282</v>
      </c>
    </row>
    <row r="13" spans="1:21" ht="14.45" customHeight="1" x14ac:dyDescent="0.35">
      <c r="B13" s="36" t="s">
        <v>102</v>
      </c>
      <c r="C13" s="4">
        <f>C11-C12</f>
        <v>203462.49800000002</v>
      </c>
      <c r="D13" s="4">
        <f t="shared" ref="D13:R13" si="1">D11-D12</f>
        <v>695926</v>
      </c>
      <c r="E13" s="4">
        <f t="shared" si="1"/>
        <v>899861.63899999997</v>
      </c>
      <c r="F13" s="4">
        <f t="shared" si="1"/>
        <v>1484149.064</v>
      </c>
      <c r="G13" s="4">
        <f t="shared" si="1"/>
        <v>1872327</v>
      </c>
      <c r="H13" s="4">
        <f t="shared" si="1"/>
        <v>2571768</v>
      </c>
      <c r="I13" s="4">
        <f t="shared" si="1"/>
        <v>2650680</v>
      </c>
      <c r="J13" s="4">
        <f t="shared" si="1"/>
        <v>2839665</v>
      </c>
      <c r="K13" s="4">
        <f t="shared" si="1"/>
        <v>3071733</v>
      </c>
      <c r="L13" s="4">
        <f t="shared" si="1"/>
        <v>2972111.8718599998</v>
      </c>
      <c r="M13" s="4">
        <f t="shared" si="1"/>
        <v>2333439.37531</v>
      </c>
      <c r="N13" s="4">
        <f t="shared" si="1"/>
        <v>3615195.4643471902</v>
      </c>
      <c r="O13" s="4">
        <f t="shared" si="1"/>
        <v>3768506.9619081048</v>
      </c>
      <c r="P13" s="4">
        <f t="shared" si="1"/>
        <v>3041555.5608580764</v>
      </c>
      <c r="Q13" s="4">
        <f t="shared" si="1"/>
        <v>3294535.0808300003</v>
      </c>
      <c r="R13" s="4">
        <f t="shared" si="1"/>
        <v>4615241.8229321539</v>
      </c>
      <c r="S13" s="4">
        <v>5066502.8495326154</v>
      </c>
      <c r="T13" s="4">
        <v>4842116.8695511948</v>
      </c>
      <c r="U13" s="4">
        <v>5034357.1523066387</v>
      </c>
    </row>
    <row r="14" spans="1:21" ht="14.45" customHeight="1" x14ac:dyDescent="0.35">
      <c r="A14" s="12"/>
      <c r="B14" s="22" t="s">
        <v>103</v>
      </c>
      <c r="C14" s="67">
        <f t="shared" ref="C14:R14" si="2">C13/C15</f>
        <v>2.6011902223244996</v>
      </c>
      <c r="D14" s="67">
        <f t="shared" si="2"/>
        <v>3.2732007849814901</v>
      </c>
      <c r="E14" s="67">
        <f t="shared" si="2"/>
        <v>3.6315149654703682</v>
      </c>
      <c r="F14" s="67">
        <f t="shared" si="2"/>
        <v>5.2010794101474991</v>
      </c>
      <c r="G14" s="67">
        <f t="shared" si="2"/>
        <v>5.2445197790823119</v>
      </c>
      <c r="H14" s="67">
        <f t="shared" si="2"/>
        <v>5.3551468593009295</v>
      </c>
      <c r="I14" s="67">
        <f t="shared" si="2"/>
        <v>4.6373765501535722</v>
      </c>
      <c r="J14" s="67">
        <f t="shared" si="2"/>
        <v>3.8949553232306617</v>
      </c>
      <c r="K14" s="67">
        <f t="shared" si="2"/>
        <v>3.3219833811768398</v>
      </c>
      <c r="L14" s="67">
        <f t="shared" si="2"/>
        <v>2.5619887178987653</v>
      </c>
      <c r="M14" s="67">
        <f t="shared" si="2"/>
        <v>1.5396638773882116</v>
      </c>
      <c r="N14" s="67">
        <f t="shared" si="2"/>
        <v>1.9144276440779964</v>
      </c>
      <c r="O14" s="67">
        <f t="shared" si="2"/>
        <v>1.559833305427758</v>
      </c>
      <c r="P14" s="67">
        <f t="shared" si="2"/>
        <v>1.1601162119829354</v>
      </c>
      <c r="Q14" s="67">
        <f t="shared" si="2"/>
        <v>1.1886921681904248</v>
      </c>
      <c r="R14" s="67">
        <f t="shared" si="2"/>
        <v>1.6125826820057212</v>
      </c>
      <c r="S14" s="67">
        <v>2.0034747819840502</v>
      </c>
      <c r="T14" s="67">
        <v>2.0242141084008924</v>
      </c>
      <c r="U14" s="67">
        <v>2.4050982194698345</v>
      </c>
    </row>
    <row r="15" spans="1:21" ht="14.45" customHeight="1" x14ac:dyDescent="0.35">
      <c r="A15" s="12"/>
      <c r="B15" s="22" t="s">
        <v>2</v>
      </c>
      <c r="C15" s="6">
        <f>'Statement of income'!C29</f>
        <v>78219</v>
      </c>
      <c r="D15" s="6">
        <v>212613.29374999995</v>
      </c>
      <c r="E15" s="6">
        <v>247792.35320690641</v>
      </c>
      <c r="F15" s="6">
        <v>285354.0480663245</v>
      </c>
      <c r="G15" s="6">
        <v>357006.37596367701</v>
      </c>
      <c r="H15" s="6">
        <v>480242.29168118897</v>
      </c>
      <c r="I15" s="6">
        <v>571590.41784351529</v>
      </c>
      <c r="J15" s="6">
        <v>729062.27782983822</v>
      </c>
      <c r="K15" s="6">
        <v>924668.38257084042</v>
      </c>
      <c r="L15" s="6">
        <v>1160080</v>
      </c>
      <c r="M15" s="6">
        <v>1515551.1599507672</v>
      </c>
      <c r="N15" s="6">
        <v>1888394.9338750262</v>
      </c>
      <c r="O15" s="6">
        <v>2415967.7503966717</v>
      </c>
      <c r="P15" s="6">
        <v>2621768</v>
      </c>
      <c r="Q15" s="6">
        <v>2771562.87304</v>
      </c>
      <c r="R15" s="6">
        <v>2862018.7196799996</v>
      </c>
      <c r="S15" s="6">
        <v>2528857.8099871236</v>
      </c>
      <c r="T15" s="6">
        <v>2392097.1845100001</v>
      </c>
      <c r="U15" s="6">
        <v>2093202.3114700001</v>
      </c>
    </row>
    <row r="16" spans="1:21" ht="14.45" customHeight="1" thickBot="1" x14ac:dyDescent="0.4">
      <c r="B16" s="19"/>
      <c r="C16" s="64"/>
      <c r="D16" s="64"/>
      <c r="E16" s="64"/>
      <c r="F16" s="64"/>
      <c r="G16" s="64"/>
      <c r="H16" s="64"/>
      <c r="I16" s="64"/>
      <c r="J16" s="64"/>
      <c r="K16" s="64"/>
      <c r="L16" s="64"/>
      <c r="M16" s="64"/>
      <c r="N16" s="64"/>
      <c r="O16" s="64"/>
      <c r="P16" s="64"/>
      <c r="Q16" s="64"/>
      <c r="R16" s="64"/>
      <c r="S16" s="64"/>
      <c r="T16" s="64"/>
      <c r="U16" s="64"/>
    </row>
    <row r="17" spans="2:21" ht="14.45" customHeight="1" thickBot="1" x14ac:dyDescent="0.4">
      <c r="B17" s="9" t="s">
        <v>104</v>
      </c>
      <c r="C17" s="10"/>
      <c r="D17" s="10"/>
      <c r="E17" s="10"/>
      <c r="F17" s="10"/>
      <c r="G17" s="10"/>
      <c r="H17" s="10"/>
      <c r="I17" s="10"/>
      <c r="J17" s="10"/>
      <c r="K17" s="10"/>
      <c r="L17" s="10"/>
      <c r="M17" s="10"/>
      <c r="N17" s="10"/>
      <c r="O17" s="10"/>
      <c r="P17" s="10"/>
      <c r="Q17" s="10"/>
      <c r="R17" s="10"/>
      <c r="S17" s="10"/>
      <c r="T17" s="10"/>
      <c r="U17" s="10"/>
    </row>
    <row r="18" spans="2:21" ht="14.45" customHeight="1" x14ac:dyDescent="0.35">
      <c r="B18" s="7" t="s">
        <v>117</v>
      </c>
      <c r="C18" s="7">
        <f>12153734/1000</f>
        <v>12153.734</v>
      </c>
      <c r="D18" s="6">
        <v>66638</v>
      </c>
      <c r="E18" s="6">
        <v>108858.755</v>
      </c>
      <c r="F18" s="6">
        <v>291622.87099999998</v>
      </c>
      <c r="G18" s="6">
        <v>412957</v>
      </c>
      <c r="H18" s="6">
        <v>538943</v>
      </c>
      <c r="I18" s="6">
        <v>649182</v>
      </c>
      <c r="J18" s="6">
        <v>694724</v>
      </c>
      <c r="K18" s="6">
        <f>'Statements financial position'!K38</f>
        <v>867389</v>
      </c>
      <c r="L18" s="6">
        <f>'Statements financial position'!L38</f>
        <v>751890</v>
      </c>
      <c r="M18" s="6">
        <f>'Statements financial position'!M38</f>
        <v>457209</v>
      </c>
      <c r="N18" s="6">
        <f>'Statements financial position'!N38</f>
        <v>936187</v>
      </c>
      <c r="O18" s="6">
        <f>'Statements financial position'!O38</f>
        <v>974300</v>
      </c>
      <c r="P18" s="6">
        <f>'Statements financial position'!P38</f>
        <v>955552</v>
      </c>
      <c r="Q18" s="6">
        <f>'Statements financial position'!Q38</f>
        <v>640538</v>
      </c>
      <c r="R18" s="6">
        <f>'Statements financial position'!R38</f>
        <v>1264321</v>
      </c>
      <c r="S18" s="6">
        <f>'Statements financial position'!S38</f>
        <v>3906946</v>
      </c>
      <c r="T18" s="6">
        <f>'Statements financial position'!T38</f>
        <v>4271074</v>
      </c>
      <c r="U18" s="6">
        <f>'Statements financial position'!U38</f>
        <v>2978091</v>
      </c>
    </row>
    <row r="19" spans="2:21" ht="14.45" customHeight="1" x14ac:dyDescent="0.35">
      <c r="B19" s="7" t="s">
        <v>118</v>
      </c>
      <c r="C19" s="7">
        <f>425775764/1000</f>
        <v>425775.76400000002</v>
      </c>
      <c r="D19" s="6">
        <v>679847</v>
      </c>
      <c r="E19" s="6">
        <v>886875.48100000003</v>
      </c>
      <c r="F19" s="6">
        <v>1316383.5889999999</v>
      </c>
      <c r="G19" s="6">
        <v>1668028</v>
      </c>
      <c r="H19" s="6">
        <v>2498230</v>
      </c>
      <c r="I19" s="6">
        <v>2898066</v>
      </c>
      <c r="J19" s="6">
        <v>2895089</v>
      </c>
      <c r="K19" s="6">
        <f t="shared" ref="K19:S19" si="3">K11-K18</f>
        <v>2868779</v>
      </c>
      <c r="L19" s="6">
        <f t="shared" si="3"/>
        <v>3197709.989444782</v>
      </c>
      <c r="M19" s="6">
        <f t="shared" si="3"/>
        <v>2907156.168771184</v>
      </c>
      <c r="N19" s="6">
        <f t="shared" si="3"/>
        <v>3484063.0438445602</v>
      </c>
      <c r="O19" s="6">
        <f t="shared" si="3"/>
        <v>3944181.3556505851</v>
      </c>
      <c r="P19" s="6">
        <f t="shared" si="3"/>
        <v>4338018.460859186</v>
      </c>
      <c r="Q19" s="6">
        <f t="shared" si="3"/>
        <v>5905256.8332865601</v>
      </c>
      <c r="R19" s="6">
        <f t="shared" si="3"/>
        <v>5479389.1657106075</v>
      </c>
      <c r="S19" s="6">
        <f t="shared" si="3"/>
        <v>2607687.1040463084</v>
      </c>
      <c r="T19" s="6">
        <f t="shared" ref="T19:U19" si="4">T11-T18</f>
        <v>2628371.2419215273</v>
      </c>
      <c r="U19" s="6">
        <f t="shared" si="4"/>
        <v>4870702.9395631673</v>
      </c>
    </row>
    <row r="20" spans="2:21" ht="14.45" customHeight="1" x14ac:dyDescent="0.35">
      <c r="B20" s="25" t="s">
        <v>105</v>
      </c>
      <c r="C20" s="41">
        <f t="shared" ref="C20:S20" si="5">C18/C11*100</f>
        <v>2.7752718315403362</v>
      </c>
      <c r="D20" s="41">
        <f t="shared" si="5"/>
        <v>8.9269040905041628</v>
      </c>
      <c r="E20" s="41">
        <f t="shared" si="5"/>
        <v>10.932513603030529</v>
      </c>
      <c r="F20" s="41">
        <f t="shared" si="5"/>
        <v>18.135683013620596</v>
      </c>
      <c r="G20" s="41">
        <f t="shared" si="5"/>
        <v>19.844304500032436</v>
      </c>
      <c r="H20" s="41">
        <f t="shared" si="5"/>
        <v>17.744889737924048</v>
      </c>
      <c r="I20" s="41">
        <f t="shared" si="5"/>
        <v>18.30100404595337</v>
      </c>
      <c r="J20" s="41">
        <f t="shared" si="5"/>
        <v>19.352646125955271</v>
      </c>
      <c r="K20" s="41">
        <f t="shared" si="5"/>
        <v>23.216006346609682</v>
      </c>
      <c r="L20" s="41">
        <f t="shared" si="5"/>
        <v>19.037117733679594</v>
      </c>
      <c r="M20" s="41">
        <f t="shared" si="5"/>
        <v>13.589755483260845</v>
      </c>
      <c r="N20" s="41">
        <f t="shared" si="5"/>
        <v>21.179503211672191</v>
      </c>
      <c r="O20" s="41">
        <f t="shared" si="5"/>
        <v>19.808959911592993</v>
      </c>
      <c r="P20" s="41">
        <f t="shared" si="5"/>
        <v>18.051181278597863</v>
      </c>
      <c r="Q20" s="41">
        <f t="shared" si="5"/>
        <v>9.7854884901486283</v>
      </c>
      <c r="R20" s="41">
        <f t="shared" si="5"/>
        <v>18.748151520933199</v>
      </c>
      <c r="S20" s="41">
        <f t="shared" si="5"/>
        <v>59.971850104242307</v>
      </c>
      <c r="T20" s="41">
        <f t="shared" ref="T20:U20" si="6">T18/T11*100</f>
        <v>61.904600301030669</v>
      </c>
      <c r="U20" s="41">
        <f t="shared" si="6"/>
        <v>37.943294510363316</v>
      </c>
    </row>
    <row r="21" spans="2:21" ht="14.45" customHeight="1" x14ac:dyDescent="0.35">
      <c r="B21" s="25" t="s">
        <v>106</v>
      </c>
      <c r="C21" s="41">
        <f t="shared" ref="C21:S21" si="7">C19/C11*100</f>
        <v>97.224728168459663</v>
      </c>
      <c r="D21" s="41">
        <f t="shared" si="7"/>
        <v>91.073095909495834</v>
      </c>
      <c r="E21" s="41">
        <f t="shared" si="7"/>
        <v>89.067510098078401</v>
      </c>
      <c r="F21" s="41">
        <f t="shared" si="7"/>
        <v>81.864345593237829</v>
      </c>
      <c r="G21" s="41">
        <f t="shared" si="7"/>
        <v>80.155695499967564</v>
      </c>
      <c r="H21" s="41">
        <f t="shared" si="7"/>
        <v>82.255110262075945</v>
      </c>
      <c r="I21" s="41">
        <f t="shared" si="7"/>
        <v>81.698995954046623</v>
      </c>
      <c r="J21" s="41">
        <f t="shared" si="7"/>
        <v>80.647326017448265</v>
      </c>
      <c r="K21" s="41">
        <f t="shared" si="7"/>
        <v>76.783993653390311</v>
      </c>
      <c r="L21" s="41">
        <f t="shared" si="7"/>
        <v>80.962882266320406</v>
      </c>
      <c r="M21" s="41">
        <f t="shared" si="7"/>
        <v>86.410244516739155</v>
      </c>
      <c r="N21" s="41">
        <f t="shared" si="7"/>
        <v>78.820496788327816</v>
      </c>
      <c r="O21" s="41">
        <f t="shared" si="7"/>
        <v>80.191040088407007</v>
      </c>
      <c r="P21" s="41">
        <f t="shared" si="7"/>
        <v>81.948818721402134</v>
      </c>
      <c r="Q21" s="41">
        <f t="shared" si="7"/>
        <v>90.214511509851363</v>
      </c>
      <c r="R21" s="41">
        <f t="shared" si="7"/>
        <v>81.251848479066808</v>
      </c>
      <c r="S21" s="41">
        <f t="shared" si="7"/>
        <v>40.028149895757693</v>
      </c>
      <c r="T21" s="41">
        <f t="shared" ref="T21:U21" si="8">T19/T11*100</f>
        <v>38.095399698969331</v>
      </c>
      <c r="U21" s="41">
        <f t="shared" si="8"/>
        <v>62.056705489636684</v>
      </c>
    </row>
    <row r="22" spans="2:21" ht="14.45" customHeight="1" x14ac:dyDescent="0.35">
      <c r="B22" s="16"/>
      <c r="C22" s="16"/>
      <c r="D22" s="16"/>
      <c r="E22" s="16"/>
      <c r="F22" s="16"/>
      <c r="G22" s="16"/>
      <c r="H22" s="16"/>
      <c r="I22" s="16"/>
      <c r="J22" s="16"/>
      <c r="K22" s="16"/>
      <c r="L22" s="16"/>
      <c r="M22" s="16"/>
      <c r="N22" s="16"/>
      <c r="O22" s="16"/>
      <c r="P22" s="16"/>
      <c r="Q22" s="16"/>
      <c r="R22" s="16"/>
      <c r="S22" s="16"/>
      <c r="T22" s="16"/>
      <c r="U22" s="16"/>
    </row>
    <row r="23" spans="2:21" ht="14.45" customHeight="1" x14ac:dyDescent="0.35">
      <c r="B23" s="25" t="s">
        <v>119</v>
      </c>
      <c r="C23" s="25">
        <f>C8</f>
        <v>437929.49800000002</v>
      </c>
      <c r="D23" s="25">
        <f t="shared" ref="D23:U23" si="9">D8</f>
        <v>705686</v>
      </c>
      <c r="E23" s="25">
        <f t="shared" si="9"/>
        <v>948717</v>
      </c>
      <c r="F23" s="25">
        <f t="shared" si="9"/>
        <v>1358677</v>
      </c>
      <c r="G23" s="25">
        <f t="shared" si="9"/>
        <v>1649109</v>
      </c>
      <c r="H23" s="25">
        <f t="shared" si="9"/>
        <v>2419889</v>
      </c>
      <c r="I23" s="25">
        <f t="shared" si="9"/>
        <v>2659403</v>
      </c>
      <c r="J23" s="25">
        <f t="shared" si="9"/>
        <v>2741039</v>
      </c>
      <c r="K23" s="25">
        <f t="shared" si="9"/>
        <v>0</v>
      </c>
      <c r="L23" s="25">
        <f t="shared" si="9"/>
        <v>0</v>
      </c>
      <c r="M23" s="25">
        <f t="shared" si="9"/>
        <v>0</v>
      </c>
      <c r="N23" s="25">
        <f t="shared" si="9"/>
        <v>0</v>
      </c>
      <c r="O23" s="25">
        <f t="shared" si="9"/>
        <v>0</v>
      </c>
      <c r="P23" s="25">
        <f t="shared" si="9"/>
        <v>0</v>
      </c>
      <c r="Q23" s="25">
        <f t="shared" si="9"/>
        <v>0</v>
      </c>
      <c r="R23" s="25">
        <f t="shared" si="9"/>
        <v>0</v>
      </c>
      <c r="S23" s="25">
        <f t="shared" si="9"/>
        <v>0</v>
      </c>
      <c r="T23" s="25">
        <f t="shared" si="9"/>
        <v>0</v>
      </c>
      <c r="U23" s="25">
        <f t="shared" si="9"/>
        <v>0</v>
      </c>
    </row>
    <row r="24" spans="2:21" ht="14.45" customHeight="1" x14ac:dyDescent="0.35">
      <c r="B24" s="25" t="s">
        <v>107</v>
      </c>
      <c r="C24" s="44">
        <f t="shared" ref="C24:T24" si="10">SUM(C9:C10)</f>
        <v>0</v>
      </c>
      <c r="D24" s="44">
        <f t="shared" si="10"/>
        <v>40799</v>
      </c>
      <c r="E24" s="44">
        <f t="shared" si="10"/>
        <v>47017</v>
      </c>
      <c r="F24" s="44">
        <f t="shared" si="10"/>
        <v>249329</v>
      </c>
      <c r="G24" s="44">
        <f t="shared" si="10"/>
        <v>431876</v>
      </c>
      <c r="H24" s="44">
        <f t="shared" si="10"/>
        <v>617284</v>
      </c>
      <c r="I24" s="44">
        <f t="shared" si="10"/>
        <v>887845</v>
      </c>
      <c r="J24" s="44">
        <f t="shared" si="10"/>
        <v>848775</v>
      </c>
      <c r="K24" s="44">
        <f t="shared" si="10"/>
        <v>909634</v>
      </c>
      <c r="L24" s="44">
        <f t="shared" si="10"/>
        <v>489712.26274999999</v>
      </c>
      <c r="M24" s="44">
        <f t="shared" si="10"/>
        <v>408486.99687000003</v>
      </c>
      <c r="N24" s="44">
        <f t="shared" si="10"/>
        <v>1113161.11772</v>
      </c>
      <c r="O24" s="44">
        <f t="shared" si="10"/>
        <v>1122354.8082400002</v>
      </c>
      <c r="P24" s="44">
        <f t="shared" si="10"/>
        <v>1985142.5520600006</v>
      </c>
      <c r="Q24" s="44">
        <f t="shared" si="10"/>
        <v>3109831.9929099996</v>
      </c>
      <c r="R24" s="44">
        <f t="shared" si="10"/>
        <v>3356127.4730492616</v>
      </c>
      <c r="S24" s="44">
        <f t="shared" si="10"/>
        <v>3408893.6309069702</v>
      </c>
      <c r="T24" s="44">
        <f t="shared" si="10"/>
        <v>3791618.2203729721</v>
      </c>
      <c r="U24" s="44">
        <f t="shared" ref="U24" si="11">SUM(U9:U10)</f>
        <v>5383826.8295711353</v>
      </c>
    </row>
    <row r="25" spans="2:21" ht="14.45" customHeight="1" x14ac:dyDescent="0.35">
      <c r="B25" s="25" t="s">
        <v>126</v>
      </c>
      <c r="C25" s="41">
        <f>C23/C$11*100</f>
        <v>100</v>
      </c>
      <c r="D25" s="41">
        <f>D23/D$11*100</f>
        <v>94.534518443103337</v>
      </c>
      <c r="E25" s="41">
        <f>E23/E$11*100</f>
        <v>95.278156616124392</v>
      </c>
      <c r="F25" s="41">
        <f>F23/F$11*100</f>
        <v>84.494523030386702</v>
      </c>
      <c r="G25" s="41">
        <f>G23/G$11*100</f>
        <v>79.246558720990308</v>
      </c>
      <c r="H25" s="41">
        <f t="shared" ref="H25:K25" si="12">H23/H$11*100</f>
        <v>79.675705005938084</v>
      </c>
      <c r="I25" s="41">
        <f t="shared" ref="I25:J25" si="13">I23/I$11*100</f>
        <v>74.970878833394224</v>
      </c>
      <c r="J25" s="41">
        <f t="shared" si="13"/>
        <v>76.356017331260063</v>
      </c>
      <c r="K25" s="41">
        <f t="shared" si="12"/>
        <v>0</v>
      </c>
      <c r="L25" s="41">
        <f t="shared" ref="L25:O25" si="14">L23/L$11*100</f>
        <v>0</v>
      </c>
      <c r="M25" s="41">
        <f t="shared" si="14"/>
        <v>0</v>
      </c>
      <c r="N25" s="41">
        <f t="shared" si="14"/>
        <v>0</v>
      </c>
      <c r="O25" s="41">
        <f t="shared" si="14"/>
        <v>0</v>
      </c>
      <c r="P25" s="41">
        <f t="shared" ref="P25:S25" si="15">P23/P$11*100</f>
        <v>0</v>
      </c>
      <c r="Q25" s="41">
        <f t="shared" si="15"/>
        <v>0</v>
      </c>
      <c r="R25" s="41">
        <f t="shared" si="15"/>
        <v>0</v>
      </c>
      <c r="S25" s="41">
        <f t="shared" si="15"/>
        <v>0</v>
      </c>
      <c r="T25" s="41">
        <f t="shared" ref="T25:U25" si="16">T23/T$11*100</f>
        <v>0</v>
      </c>
      <c r="U25" s="41">
        <f t="shared" si="16"/>
        <v>0</v>
      </c>
    </row>
    <row r="26" spans="2:21" ht="14.45" customHeight="1" x14ac:dyDescent="0.35">
      <c r="B26" s="25" t="s">
        <v>108</v>
      </c>
      <c r="C26" s="41">
        <f t="shared" ref="C26:K26" si="17">C24/C$11*100</f>
        <v>0</v>
      </c>
      <c r="D26" s="41">
        <f t="shared" ref="D26:G26" si="18">D24/D$11*100</f>
        <v>5.4654815568966555</v>
      </c>
      <c r="E26" s="41">
        <f t="shared" si="18"/>
        <v>4.7218433838756129</v>
      </c>
      <c r="F26" s="41">
        <f t="shared" si="18"/>
        <v>15.505476969613296</v>
      </c>
      <c r="G26" s="41">
        <f t="shared" si="18"/>
        <v>20.753441279009699</v>
      </c>
      <c r="H26" s="41">
        <f t="shared" si="17"/>
        <v>20.324294994061912</v>
      </c>
      <c r="I26" s="41">
        <f t="shared" ref="I26:J26" si="19">I24/I$11*100</f>
        <v>25.029121166605773</v>
      </c>
      <c r="J26" s="41">
        <f t="shared" si="19"/>
        <v>23.643982668739941</v>
      </c>
      <c r="K26" s="41">
        <f t="shared" si="17"/>
        <v>24.34671031923618</v>
      </c>
      <c r="L26" s="41">
        <f t="shared" ref="L26:O26" si="20">L24/L$11*100</f>
        <v>12.399034435354089</v>
      </c>
      <c r="M26" s="41">
        <f t="shared" si="20"/>
        <v>12.141577277688844</v>
      </c>
      <c r="N26" s="41">
        <f t="shared" si="20"/>
        <v>25.183216032544081</v>
      </c>
      <c r="O26" s="41">
        <f t="shared" si="20"/>
        <v>22.819133124304429</v>
      </c>
      <c r="P26" s="41">
        <f t="shared" ref="P26:S26" si="21">P24/P$11*100</f>
        <v>37.501013101425634</v>
      </c>
      <c r="Q26" s="41">
        <f t="shared" si="21"/>
        <v>47.508852203798639</v>
      </c>
      <c r="R26" s="41">
        <f t="shared" si="21"/>
        <v>49.766781053462061</v>
      </c>
      <c r="S26" s="41">
        <f t="shared" si="21"/>
        <v>52.326717045502832</v>
      </c>
      <c r="T26" s="41">
        <f t="shared" ref="T26:U26" si="22">T24/T$11*100</f>
        <v>54.955407100484344</v>
      </c>
      <c r="U26" s="41">
        <f t="shared" si="22"/>
        <v>68.594319981227301</v>
      </c>
    </row>
    <row r="27" spans="2:21" ht="14.45" customHeight="1" x14ac:dyDescent="0.35">
      <c r="B27" s="25"/>
      <c r="C27" s="25"/>
      <c r="D27" s="42"/>
      <c r="E27" s="42"/>
      <c r="F27" s="42"/>
      <c r="G27" s="40"/>
      <c r="H27" s="40"/>
      <c r="I27" s="43"/>
      <c r="J27" s="43"/>
      <c r="K27" s="43"/>
      <c r="L27" s="43"/>
      <c r="M27" s="43"/>
      <c r="N27" s="43"/>
      <c r="O27" s="43"/>
      <c r="P27" s="43"/>
      <c r="Q27" s="43"/>
      <c r="R27" s="43"/>
      <c r="S27" s="73"/>
      <c r="T27" s="73"/>
      <c r="U27" s="73"/>
    </row>
    <row r="28" spans="2:21" ht="14.45" customHeight="1" x14ac:dyDescent="0.35">
      <c r="B28" s="25" t="s">
        <v>109</v>
      </c>
      <c r="C28" s="25">
        <f>C8</f>
        <v>437929.49800000002</v>
      </c>
      <c r="D28" s="25">
        <f>D8</f>
        <v>705686</v>
      </c>
      <c r="E28" s="25">
        <f>E8</f>
        <v>948717</v>
      </c>
      <c r="F28" s="6">
        <v>1388165.88958</v>
      </c>
      <c r="G28" s="6">
        <v>1682482</v>
      </c>
      <c r="H28" s="44">
        <v>2456512.7958800001</v>
      </c>
      <c r="I28" s="6">
        <v>2688800.44783</v>
      </c>
      <c r="J28" s="6">
        <v>2762708.3095</v>
      </c>
      <c r="K28" s="6">
        <v>1308101.8638500003</v>
      </c>
      <c r="L28" s="6">
        <v>1494725.2600347819</v>
      </c>
      <c r="M28" s="6">
        <v>1230044.1543511841</v>
      </c>
      <c r="N28" s="6">
        <v>1431049</v>
      </c>
      <c r="O28" s="6">
        <v>1870972.1444505854</v>
      </c>
      <c r="P28" s="6">
        <v>1650388.6124177852</v>
      </c>
      <c r="Q28" s="6">
        <v>1758874.6020025602</v>
      </c>
      <c r="R28" s="6">
        <v>1656005.8733898071</v>
      </c>
      <c r="S28" s="6">
        <v>1432251.7076228671</v>
      </c>
      <c r="T28" s="6">
        <v>1480947.5265782485</v>
      </c>
      <c r="U28" s="6">
        <v>919495.17808710365</v>
      </c>
    </row>
    <row r="29" spans="2:21" ht="14.45" customHeight="1" x14ac:dyDescent="0.35">
      <c r="B29" s="25" t="s">
        <v>110</v>
      </c>
      <c r="C29" s="25">
        <v>0</v>
      </c>
      <c r="D29" s="6">
        <v>40799.432000000001</v>
      </c>
      <c r="E29" s="6">
        <v>47017.41143</v>
      </c>
      <c r="F29" s="6">
        <v>219840.57032999999</v>
      </c>
      <c r="G29" s="6">
        <v>398503</v>
      </c>
      <c r="H29" s="44">
        <v>580660.20422000007</v>
      </c>
      <c r="I29" s="6">
        <v>858447.55169000011</v>
      </c>
      <c r="J29" s="6">
        <v>827105.30825</v>
      </c>
      <c r="K29" s="6">
        <v>2428066.1222200003</v>
      </c>
      <c r="L29" s="6">
        <v>2454874.7294100001</v>
      </c>
      <c r="M29" s="6">
        <v>2134321.0144199999</v>
      </c>
      <c r="N29" s="6">
        <v>2989201</v>
      </c>
      <c r="O29" s="6">
        <v>3047509.2111999998</v>
      </c>
      <c r="P29" s="6">
        <v>3643181.8484414001</v>
      </c>
      <c r="Q29" s="6">
        <v>4786920.2312840009</v>
      </c>
      <c r="R29" s="6">
        <v>5087704.2923208</v>
      </c>
      <c r="S29" s="6">
        <v>5082381.3964234395</v>
      </c>
      <c r="T29" s="6">
        <v>5418497.7153432798</v>
      </c>
      <c r="U29" s="6">
        <v>6929298.7614760641</v>
      </c>
    </row>
    <row r="30" spans="2:21" ht="14.45" customHeight="1" x14ac:dyDescent="0.35">
      <c r="B30" s="25" t="s">
        <v>111</v>
      </c>
      <c r="C30" s="41">
        <f t="shared" ref="C30:D30" si="23">C28/C$11*100</f>
        <v>100</v>
      </c>
      <c r="D30" s="41">
        <f t="shared" si="23"/>
        <v>94.534518443103337</v>
      </c>
      <c r="E30" s="41">
        <f t="shared" ref="E30:R30" si="24">E28/E$11*100</f>
        <v>95.278156616124392</v>
      </c>
      <c r="F30" s="41">
        <f t="shared" si="24"/>
        <v>86.328402355463837</v>
      </c>
      <c r="G30" s="41">
        <f t="shared" si="24"/>
        <v>80.850270424822853</v>
      </c>
      <c r="H30" s="41">
        <f t="shared" si="24"/>
        <v>80.88155649612321</v>
      </c>
      <c r="I30" s="41">
        <f t="shared" si="24"/>
        <v>75.799618403618808</v>
      </c>
      <c r="J30" s="41">
        <f t="shared" si="24"/>
        <v>76.959650541782949</v>
      </c>
      <c r="K30" s="41">
        <f t="shared" si="24"/>
        <v>35.011858777496094</v>
      </c>
      <c r="L30" s="41">
        <f t="shared" si="24"/>
        <v>37.844978327663611</v>
      </c>
      <c r="M30" s="41">
        <f t="shared" si="24"/>
        <v>36.560958535914551</v>
      </c>
      <c r="N30" s="41">
        <f t="shared" si="24"/>
        <v>32.374842730736781</v>
      </c>
      <c r="O30" s="41">
        <f t="shared" si="24"/>
        <v>38.039630714491246</v>
      </c>
      <c r="P30" s="41">
        <f t="shared" si="24"/>
        <v>31.177229520619527</v>
      </c>
      <c r="Q30" s="41">
        <f t="shared" si="24"/>
        <v>26.870298364048352</v>
      </c>
      <c r="R30" s="41">
        <f t="shared" si="24"/>
        <v>24.556302579698844</v>
      </c>
      <c r="S30" s="41">
        <f t="shared" ref="S30" si="25">S28/S$11*100</f>
        <v>21.985147662932548</v>
      </c>
      <c r="T30" s="41">
        <f t="shared" ref="T30:U30" si="26">T28/T$11*100</f>
        <v>21.464733390155839</v>
      </c>
      <c r="U30" s="41">
        <f t="shared" si="26"/>
        <v>11.715114260450047</v>
      </c>
    </row>
    <row r="31" spans="2:21" ht="14.45" customHeight="1" x14ac:dyDescent="0.35">
      <c r="B31" s="25" t="s">
        <v>112</v>
      </c>
      <c r="C31" s="41">
        <f t="shared" ref="C31:D31" si="27">C29/C$11*100</f>
        <v>0</v>
      </c>
      <c r="D31" s="41">
        <f t="shared" si="27"/>
        <v>5.4655394281197882</v>
      </c>
      <c r="E31" s="41">
        <f t="shared" ref="E31:R31" si="28">E29/E$11*100</f>
        <v>4.7218847031436102</v>
      </c>
      <c r="F31" s="41">
        <f t="shared" si="28"/>
        <v>13.671626245797588</v>
      </c>
      <c r="G31" s="41">
        <f t="shared" si="28"/>
        <v>19.14972957517714</v>
      </c>
      <c r="H31" s="41">
        <f t="shared" si="28"/>
        <v>19.118443507169331</v>
      </c>
      <c r="I31" s="41">
        <f t="shared" si="28"/>
        <v>24.20038158284958</v>
      </c>
      <c r="J31" s="41">
        <f t="shared" si="28"/>
        <v>23.040338810033052</v>
      </c>
      <c r="K31" s="41">
        <f t="shared" si="28"/>
        <v>64.988140849662017</v>
      </c>
      <c r="L31" s="41">
        <f t="shared" si="28"/>
        <v>62.155021672336396</v>
      </c>
      <c r="M31" s="41">
        <f t="shared" si="28"/>
        <v>63.439041464085456</v>
      </c>
      <c r="N31" s="41">
        <f t="shared" si="28"/>
        <v>67.625156277360958</v>
      </c>
      <c r="O31" s="41">
        <f t="shared" si="28"/>
        <v>61.960369285508754</v>
      </c>
      <c r="P31" s="41">
        <f t="shared" si="28"/>
        <v>68.822770479380452</v>
      </c>
      <c r="Q31" s="41">
        <f t="shared" si="28"/>
        <v>73.129701635951662</v>
      </c>
      <c r="R31" s="41">
        <f t="shared" si="28"/>
        <v>75.443697420301149</v>
      </c>
      <c r="S31" s="41">
        <f t="shared" ref="S31" si="29">S29/S$11*100</f>
        <v>78.014852337067424</v>
      </c>
      <c r="T31" s="41">
        <f t="shared" ref="T31:U31" si="30">T29/T$11*100</f>
        <v>78.535266609844172</v>
      </c>
      <c r="U31" s="41">
        <f t="shared" si="30"/>
        <v>88.284885739549964</v>
      </c>
    </row>
    <row r="32" spans="2:21" ht="14.45" customHeight="1" x14ac:dyDescent="0.35">
      <c r="B32" s="16"/>
      <c r="C32" s="16"/>
      <c r="D32" s="42"/>
      <c r="E32" s="42"/>
      <c r="F32" s="42"/>
      <c r="G32" s="40"/>
      <c r="H32" s="40"/>
      <c r="I32" s="43"/>
      <c r="J32" s="43"/>
      <c r="K32" s="43"/>
    </row>
    <row r="33" spans="2:21" ht="14.45" customHeight="1" x14ac:dyDescent="0.35">
      <c r="B33" s="22" t="s">
        <v>318</v>
      </c>
      <c r="C33" s="82"/>
      <c r="D33" s="82"/>
      <c r="E33" s="82"/>
      <c r="F33" s="82"/>
      <c r="G33" s="82"/>
      <c r="H33" s="82"/>
      <c r="I33" s="82"/>
      <c r="J33" s="82"/>
      <c r="K33" s="82"/>
      <c r="L33" s="82"/>
      <c r="M33" s="82"/>
      <c r="N33" s="82"/>
      <c r="O33" s="82"/>
      <c r="P33" s="82"/>
      <c r="Q33" s="82"/>
      <c r="R33" s="82"/>
      <c r="S33" s="82"/>
      <c r="T33" s="82"/>
      <c r="U33" s="82"/>
    </row>
    <row r="34" spans="2:21" ht="14.45" customHeight="1" x14ac:dyDescent="0.35">
      <c r="B34" s="22" t="s">
        <v>319</v>
      </c>
      <c r="C34" s="80"/>
      <c r="D34" s="80"/>
      <c r="E34" s="80"/>
      <c r="F34" s="80"/>
      <c r="G34" s="80"/>
      <c r="H34" s="80"/>
      <c r="I34" s="80"/>
      <c r="J34" s="80"/>
      <c r="K34" s="80"/>
      <c r="L34" s="80"/>
      <c r="M34" s="80"/>
      <c r="N34" s="80"/>
      <c r="O34" s="80"/>
      <c r="P34" s="80"/>
      <c r="Q34" s="80"/>
      <c r="R34" s="80"/>
      <c r="S34" s="80"/>
      <c r="T34" s="80"/>
      <c r="U34" s="80"/>
    </row>
    <row r="35" spans="2:21" ht="14.45" customHeight="1" x14ac:dyDescent="0.35">
      <c r="B35" s="22" t="s">
        <v>320</v>
      </c>
      <c r="C35" s="22"/>
      <c r="K35" s="19"/>
    </row>
    <row r="36" spans="2:21" ht="14.45" customHeight="1" x14ac:dyDescent="0.35">
      <c r="B36" s="22" t="s">
        <v>238</v>
      </c>
      <c r="C36" s="80"/>
      <c r="D36" s="80"/>
      <c r="E36" s="80"/>
      <c r="F36" s="80"/>
      <c r="G36" s="80"/>
      <c r="H36" s="80"/>
      <c r="I36" s="80"/>
      <c r="J36" s="80"/>
      <c r="K36" s="80"/>
      <c r="L36" s="80"/>
      <c r="M36" s="80"/>
      <c r="N36" s="80"/>
      <c r="O36" s="80"/>
      <c r="P36" s="80"/>
      <c r="Q36" s="80"/>
      <c r="R36" s="80"/>
      <c r="S36" s="80"/>
      <c r="T36" s="80"/>
      <c r="U36" s="80"/>
    </row>
    <row r="37" spans="2:21" ht="14.45" customHeight="1" x14ac:dyDescent="0.35">
      <c r="B37" s="22" t="s">
        <v>239</v>
      </c>
      <c r="C37" s="22"/>
      <c r="K37" s="19"/>
    </row>
    <row r="38" spans="2:21" ht="14.45" customHeight="1" x14ac:dyDescent="0.35">
      <c r="B38" s="22" t="s">
        <v>240</v>
      </c>
      <c r="C38" s="22"/>
      <c r="K38" s="19"/>
    </row>
    <row r="39" spans="2:21" ht="14.45" customHeight="1" x14ac:dyDescent="0.35">
      <c r="B39" s="39"/>
      <c r="C39" s="39"/>
    </row>
    <row r="40" spans="2:21" ht="14.45" customHeight="1" x14ac:dyDescent="0.35">
      <c r="B40" s="39"/>
      <c r="C40" s="39"/>
    </row>
    <row r="41" spans="2:21" ht="14.45" customHeight="1" x14ac:dyDescent="0.35">
      <c r="B41" s="39"/>
      <c r="C41" s="39"/>
    </row>
    <row r="42" spans="2:21" ht="14.45" customHeight="1" x14ac:dyDescent="0.35">
      <c r="B42" s="39"/>
      <c r="C42" s="39"/>
    </row>
    <row r="43" spans="2:21" ht="14.45" customHeight="1" x14ac:dyDescent="0.35">
      <c r="B43" s="39"/>
      <c r="C43" s="39"/>
    </row>
    <row r="44" spans="2:21" ht="14.45" customHeight="1" x14ac:dyDescent="0.35">
      <c r="B44" s="38"/>
      <c r="C44" s="38"/>
    </row>
  </sheetData>
  <mergeCells count="20">
    <mergeCell ref="O5:O6"/>
    <mergeCell ref="O2:U3"/>
    <mergeCell ref="U5:U6"/>
    <mergeCell ref="T5:T6"/>
    <mergeCell ref="M5:M6"/>
    <mergeCell ref="N5:N6"/>
    <mergeCell ref="P5:P6"/>
    <mergeCell ref="S5:S6"/>
    <mergeCell ref="R5:R6"/>
    <mergeCell ref="Q5:Q6"/>
    <mergeCell ref="C5:C6"/>
    <mergeCell ref="L5:L6"/>
    <mergeCell ref="K5:K6"/>
    <mergeCell ref="D5:D6"/>
    <mergeCell ref="J5:J6"/>
    <mergeCell ref="E5:E6"/>
    <mergeCell ref="F5:F6"/>
    <mergeCell ref="G5:G6"/>
    <mergeCell ref="H5:H6"/>
    <mergeCell ref="I5:I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BB245-C5A4-4189-8EBE-E1A8BD3BAB8A}">
  <sheetPr>
    <tabColor rgb="FF1B7754"/>
    <outlinePr summaryRight="0"/>
  </sheetPr>
  <dimension ref="B2:Y19"/>
  <sheetViews>
    <sheetView showGridLines="0" zoomScaleNormal="100" workbookViewId="0"/>
  </sheetViews>
  <sheetFormatPr defaultColWidth="9.140625" defaultRowHeight="14.25" customHeight="1" x14ac:dyDescent="0.35"/>
  <cols>
    <col min="1" max="1" width="1.7109375" style="2" customWidth="1"/>
    <col min="2" max="2" width="55.5703125" style="2" customWidth="1"/>
    <col min="3" max="25" width="10.7109375" style="2" customWidth="1"/>
    <col min="26" max="16384" width="9.140625" style="2"/>
  </cols>
  <sheetData>
    <row r="2" spans="2:25" ht="14.25" customHeight="1" x14ac:dyDescent="0.35">
      <c r="O2" s="58"/>
      <c r="P2" s="58"/>
      <c r="S2" s="100" t="s">
        <v>224</v>
      </c>
      <c r="T2" s="100"/>
      <c r="U2" s="100"/>
      <c r="V2" s="100"/>
      <c r="W2" s="100"/>
      <c r="X2" s="100"/>
      <c r="Y2" s="100"/>
    </row>
    <row r="3" spans="2:25" ht="14.25" customHeight="1" x14ac:dyDescent="0.35">
      <c r="H3" s="58"/>
      <c r="I3" s="58"/>
      <c r="N3" s="58"/>
      <c r="O3" s="58"/>
      <c r="P3" s="58"/>
      <c r="S3" s="100"/>
      <c r="T3" s="100"/>
      <c r="U3" s="100"/>
      <c r="V3" s="100"/>
      <c r="W3" s="100"/>
      <c r="X3" s="100"/>
      <c r="Y3" s="100"/>
    </row>
    <row r="5" spans="2:25" s="11" customFormat="1" ht="14.25" customHeight="1" x14ac:dyDescent="0.25">
      <c r="B5" s="83" t="s">
        <v>8</v>
      </c>
      <c r="C5" s="99" t="s">
        <v>163</v>
      </c>
      <c r="D5" s="99" t="s">
        <v>158</v>
      </c>
      <c r="E5" s="99" t="s">
        <v>9</v>
      </c>
      <c r="F5" s="99" t="s">
        <v>10</v>
      </c>
      <c r="G5" s="99" t="s">
        <v>11</v>
      </c>
      <c r="H5" s="99" t="s">
        <v>12</v>
      </c>
      <c r="I5" s="99" t="s">
        <v>152</v>
      </c>
      <c r="J5" s="99" t="s">
        <v>13</v>
      </c>
      <c r="K5" s="99" t="s">
        <v>14</v>
      </c>
      <c r="L5" s="99" t="s">
        <v>131</v>
      </c>
      <c r="M5" s="99" t="s">
        <v>155</v>
      </c>
      <c r="N5" s="99" t="s">
        <v>154</v>
      </c>
      <c r="O5" s="99" t="s">
        <v>162</v>
      </c>
      <c r="P5" s="99" t="s">
        <v>190</v>
      </c>
      <c r="Q5" s="99" t="s">
        <v>202</v>
      </c>
      <c r="R5" s="99" t="s">
        <v>215</v>
      </c>
      <c r="S5" s="99" t="s">
        <v>214</v>
      </c>
      <c r="T5" s="99" t="s">
        <v>222</v>
      </c>
      <c r="U5" s="99" t="s">
        <v>225</v>
      </c>
      <c r="V5" s="99" t="s">
        <v>257</v>
      </c>
      <c r="W5" s="99" t="s">
        <v>266</v>
      </c>
      <c r="X5" s="99" t="s">
        <v>265</v>
      </c>
      <c r="Y5" s="99" t="s">
        <v>281</v>
      </c>
    </row>
    <row r="6" spans="2:25" ht="14.25" customHeight="1" thickBot="1" x14ac:dyDescent="0.4">
      <c r="B6" s="84" t="s">
        <v>113</v>
      </c>
      <c r="C6" s="99"/>
      <c r="D6" s="99"/>
      <c r="E6" s="99"/>
      <c r="F6" s="99"/>
      <c r="G6" s="99"/>
      <c r="H6" s="99"/>
      <c r="I6" s="99"/>
      <c r="J6" s="99"/>
      <c r="K6" s="99"/>
      <c r="L6" s="99"/>
      <c r="M6" s="99"/>
      <c r="N6" s="99"/>
      <c r="O6" s="99"/>
      <c r="P6" s="99"/>
      <c r="Q6" s="99"/>
      <c r="R6" s="99"/>
      <c r="S6" s="99"/>
      <c r="T6" s="99"/>
      <c r="U6" s="99"/>
      <c r="V6" s="99"/>
      <c r="W6" s="99"/>
      <c r="X6" s="99"/>
      <c r="Y6" s="99"/>
    </row>
    <row r="7" spans="2:25" ht="14.25" customHeight="1" thickBot="1" x14ac:dyDescent="0.4">
      <c r="B7" s="9" t="s">
        <v>120</v>
      </c>
      <c r="C7" s="10">
        <v>320926.52</v>
      </c>
      <c r="D7" s="10">
        <f>C14</f>
        <v>433424</v>
      </c>
      <c r="E7" s="10">
        <f>D14</f>
        <v>939543.69299999997</v>
      </c>
      <c r="F7" s="10">
        <f>E14</f>
        <v>1208407.693</v>
      </c>
      <c r="G7" s="10">
        <f>F14</f>
        <v>1568699.9610000001</v>
      </c>
      <c r="H7" s="10">
        <f>G14</f>
        <v>1908777.8940000001</v>
      </c>
      <c r="I7" s="10">
        <f>E7</f>
        <v>939543.69299999997</v>
      </c>
      <c r="J7" s="10">
        <f>I14</f>
        <v>2190785.0870000003</v>
      </c>
      <c r="K7" s="10">
        <f>J14</f>
        <v>3438026.0870000003</v>
      </c>
      <c r="L7" s="10">
        <f t="shared" ref="L7" si="0">K14</f>
        <v>2621496.0870000003</v>
      </c>
      <c r="M7" s="10">
        <f>L14</f>
        <v>2765359.0870000003</v>
      </c>
      <c r="N7" s="10">
        <f>J7</f>
        <v>2190785.0870000003</v>
      </c>
      <c r="O7" s="10">
        <f>N14</f>
        <v>2879404.0870000003</v>
      </c>
      <c r="P7" s="10">
        <f>O14</f>
        <v>2921751.0870000003</v>
      </c>
      <c r="Q7" s="10">
        <f>P14</f>
        <v>2996223.0870000003</v>
      </c>
      <c r="R7" s="10">
        <f>Q14</f>
        <v>3157775.0870000003</v>
      </c>
      <c r="S7" s="10">
        <f>O7</f>
        <v>2879404.0870000003</v>
      </c>
      <c r="T7" s="10">
        <f>R14</f>
        <v>3329098.0870000003</v>
      </c>
      <c r="U7" s="10">
        <v>3711837</v>
      </c>
      <c r="V7" s="10">
        <v>4147584</v>
      </c>
      <c r="W7" s="10">
        <v>4520764.9438999994</v>
      </c>
      <c r="X7" s="10">
        <v>3329098</v>
      </c>
      <c r="Y7" s="10">
        <v>4994520</v>
      </c>
    </row>
    <row r="8" spans="2:25" ht="14.25" customHeight="1" x14ac:dyDescent="0.35">
      <c r="B8" s="6" t="s">
        <v>321</v>
      </c>
      <c r="C8" s="6">
        <f>C9+C10+C11</f>
        <v>132190.48000000001</v>
      </c>
      <c r="D8" s="6">
        <f t="shared" ref="D8:V8" si="1">D9+D10+D11</f>
        <v>525812.94099999999</v>
      </c>
      <c r="E8" s="6">
        <f t="shared" si="1"/>
        <v>279621</v>
      </c>
      <c r="F8" s="6">
        <f t="shared" si="1"/>
        <v>371024.16300000006</v>
      </c>
      <c r="G8" s="6">
        <f t="shared" si="1"/>
        <v>350899.17700000003</v>
      </c>
      <c r="H8" s="6">
        <f t="shared" si="1"/>
        <v>301360</v>
      </c>
      <c r="I8" s="6">
        <f t="shared" si="1"/>
        <v>1303080.3940000001</v>
      </c>
      <c r="J8" s="6">
        <f t="shared" si="1"/>
        <v>1292885</v>
      </c>
      <c r="K8" s="6">
        <f t="shared" si="1"/>
        <v>-814885</v>
      </c>
      <c r="L8" s="6">
        <f t="shared" si="1"/>
        <v>167390</v>
      </c>
      <c r="M8" s="6">
        <f t="shared" si="1"/>
        <v>137232</v>
      </c>
      <c r="N8" s="6">
        <f t="shared" si="1"/>
        <v>782622</v>
      </c>
      <c r="O8" s="6">
        <f t="shared" si="1"/>
        <v>75074</v>
      </c>
      <c r="P8" s="6">
        <f t="shared" si="1"/>
        <v>108758</v>
      </c>
      <c r="Q8" s="6">
        <f t="shared" si="1"/>
        <v>196585</v>
      </c>
      <c r="R8" s="6">
        <f t="shared" si="1"/>
        <v>206698</v>
      </c>
      <c r="S8" s="6">
        <f t="shared" si="1"/>
        <v>587115</v>
      </c>
      <c r="T8" s="6">
        <f t="shared" si="1"/>
        <v>419754</v>
      </c>
      <c r="U8" s="6">
        <f t="shared" si="1"/>
        <v>639338</v>
      </c>
      <c r="V8" s="6">
        <f t="shared" si="1"/>
        <v>410739.90247999993</v>
      </c>
      <c r="W8" s="6">
        <f t="shared" ref="W8:X8" si="2">W9+W10+W11</f>
        <v>682127.09752000007</v>
      </c>
      <c r="X8" s="6">
        <f t="shared" si="2"/>
        <v>2151959</v>
      </c>
      <c r="Y8" s="6">
        <f t="shared" ref="Y8" si="3">Y9+Y10+Y11</f>
        <v>402078</v>
      </c>
    </row>
    <row r="9" spans="2:25" ht="14.25" customHeight="1" x14ac:dyDescent="0.35">
      <c r="B9" s="7" t="s">
        <v>124</v>
      </c>
      <c r="C9" s="7">
        <f>128.120684*1000</f>
        <v>128120.68400000001</v>
      </c>
      <c r="D9" s="6">
        <v>496033.77499999997</v>
      </c>
      <c r="E9" s="6">
        <v>277152</v>
      </c>
      <c r="F9" s="6">
        <v>371120.94600000005</v>
      </c>
      <c r="G9" s="6">
        <v>345214</v>
      </c>
      <c r="H9" s="6">
        <v>299876</v>
      </c>
      <c r="I9" s="6">
        <v>1293539</v>
      </c>
      <c r="J9" s="6">
        <v>1287344</v>
      </c>
      <c r="K9" s="6">
        <v>-837429</v>
      </c>
      <c r="L9" s="6">
        <v>165896</v>
      </c>
      <c r="M9" s="6">
        <v>133284</v>
      </c>
      <c r="N9" s="6">
        <f>SUM(J9:M9)</f>
        <v>749095</v>
      </c>
      <c r="O9" s="6">
        <v>68282</v>
      </c>
      <c r="P9" s="6">
        <v>98377</v>
      </c>
      <c r="Q9" s="6">
        <v>184397</v>
      </c>
      <c r="R9" s="6">
        <v>160104</v>
      </c>
      <c r="S9" s="6">
        <v>511160</v>
      </c>
      <c r="T9" s="6">
        <v>399509</v>
      </c>
      <c r="U9" s="6">
        <v>609469</v>
      </c>
      <c r="V9" s="6">
        <v>415987.90247999993</v>
      </c>
      <c r="W9" s="6">
        <v>674456.09752000007</v>
      </c>
      <c r="X9" s="6">
        <v>2099422</v>
      </c>
      <c r="Y9" s="6">
        <v>395514</v>
      </c>
    </row>
    <row r="10" spans="2:25" ht="14.25" customHeight="1" x14ac:dyDescent="0.35">
      <c r="B10" s="7" t="s">
        <v>125</v>
      </c>
      <c r="C10" s="7">
        <v>4069.7959999999994</v>
      </c>
      <c r="D10" s="6">
        <v>29779.165999999997</v>
      </c>
      <c r="E10" s="6">
        <v>2469</v>
      </c>
      <c r="F10" s="6">
        <v>-96.783000000000001</v>
      </c>
      <c r="G10" s="6">
        <v>5685.1770000000006</v>
      </c>
      <c r="H10" s="6">
        <v>1484</v>
      </c>
      <c r="I10" s="6">
        <f>SUM(E10:H10)</f>
        <v>9541.3940000000002</v>
      </c>
      <c r="J10" s="6">
        <v>5541</v>
      </c>
      <c r="K10" s="6">
        <v>-5205</v>
      </c>
      <c r="L10" s="6">
        <v>0</v>
      </c>
      <c r="M10" s="6">
        <v>0</v>
      </c>
      <c r="N10" s="6">
        <f>SUM(J10:M10)</f>
        <v>336</v>
      </c>
      <c r="O10" s="6">
        <v>4328</v>
      </c>
      <c r="P10" s="6">
        <v>2700</v>
      </c>
      <c r="Q10" s="6">
        <v>4251</v>
      </c>
      <c r="R10" s="6">
        <v>38085</v>
      </c>
      <c r="S10" s="6">
        <v>49364</v>
      </c>
      <c r="T10" s="6">
        <v>9112</v>
      </c>
      <c r="U10" s="6">
        <v>7314</v>
      </c>
      <c r="V10" s="6">
        <v>-5249</v>
      </c>
      <c r="W10" s="6">
        <v>6137</v>
      </c>
      <c r="X10" s="6">
        <v>17314</v>
      </c>
      <c r="Y10" s="6">
        <v>6564</v>
      </c>
    </row>
    <row r="11" spans="2:25" ht="14.25" customHeight="1" x14ac:dyDescent="0.35">
      <c r="B11" s="7" t="s">
        <v>229</v>
      </c>
      <c r="C11" s="7">
        <v>0</v>
      </c>
      <c r="D11" s="6">
        <v>0</v>
      </c>
      <c r="E11" s="6">
        <v>0</v>
      </c>
      <c r="F11" s="6">
        <v>0</v>
      </c>
      <c r="G11" s="6">
        <v>0</v>
      </c>
      <c r="H11" s="6">
        <v>0</v>
      </c>
      <c r="I11" s="6">
        <v>0</v>
      </c>
      <c r="J11" s="6">
        <v>0</v>
      </c>
      <c r="K11" s="6">
        <v>27749</v>
      </c>
      <c r="L11" s="6">
        <v>1494</v>
      </c>
      <c r="M11" s="6">
        <v>3948</v>
      </c>
      <c r="N11" s="6">
        <v>33191</v>
      </c>
      <c r="O11" s="6">
        <v>2464</v>
      </c>
      <c r="P11" s="6">
        <v>7681</v>
      </c>
      <c r="Q11" s="6">
        <v>7937</v>
      </c>
      <c r="R11" s="6">
        <v>8509</v>
      </c>
      <c r="S11" s="6">
        <v>26591</v>
      </c>
      <c r="T11" s="6">
        <v>11133</v>
      </c>
      <c r="U11" s="6">
        <v>22555</v>
      </c>
      <c r="V11" s="6">
        <v>1</v>
      </c>
      <c r="W11" s="6">
        <v>1534</v>
      </c>
      <c r="X11" s="6">
        <v>35223</v>
      </c>
      <c r="Y11" s="6">
        <v>0</v>
      </c>
    </row>
    <row r="12" spans="2:25" ht="14.25" customHeight="1" x14ac:dyDescent="0.35">
      <c r="B12" s="6" t="s">
        <v>230</v>
      </c>
      <c r="C12" s="6">
        <v>-19693</v>
      </c>
      <c r="D12" s="6">
        <v>-19693.248</v>
      </c>
      <c r="E12" s="6">
        <v>-10757</v>
      </c>
      <c r="F12" s="6">
        <v>-10731.894999999997</v>
      </c>
      <c r="G12" s="6">
        <v>-10821.244000000002</v>
      </c>
      <c r="H12" s="6">
        <v>-3960</v>
      </c>
      <c r="I12" s="6">
        <v>-45142</v>
      </c>
      <c r="J12" s="6">
        <v>-45142</v>
      </c>
      <c r="K12" s="6">
        <v>-1571</v>
      </c>
      <c r="L12" s="6">
        <v>-23527</v>
      </c>
      <c r="M12" s="6">
        <v>-23107</v>
      </c>
      <c r="N12" s="6">
        <f>SUM(J12:M12)</f>
        <v>-93347</v>
      </c>
      <c r="O12" s="6">
        <v>-32678</v>
      </c>
      <c r="P12" s="6">
        <v>-33770</v>
      </c>
      <c r="Q12" s="6">
        <v>-35033</v>
      </c>
      <c r="R12" s="6">
        <v>-35375</v>
      </c>
      <c r="S12" s="6">
        <v>-136856</v>
      </c>
      <c r="T12" s="6">
        <v>-35756</v>
      </c>
      <c r="U12" s="6">
        <v>-29418</v>
      </c>
      <c r="V12" s="6">
        <v>-37513</v>
      </c>
      <c r="W12" s="6">
        <v>-37350</v>
      </c>
      <c r="X12" s="6">
        <v>-140037</v>
      </c>
      <c r="Y12" s="6">
        <v>-60655</v>
      </c>
    </row>
    <row r="13" spans="2:25" ht="14.25" customHeight="1" thickBot="1" x14ac:dyDescent="0.4">
      <c r="B13" s="6" t="s">
        <v>336</v>
      </c>
      <c r="C13" s="6">
        <v>0</v>
      </c>
      <c r="D13" s="6">
        <v>0</v>
      </c>
      <c r="E13" s="6">
        <v>0</v>
      </c>
      <c r="F13" s="6">
        <v>0</v>
      </c>
      <c r="G13" s="6">
        <v>0</v>
      </c>
      <c r="H13" s="6">
        <v>0</v>
      </c>
      <c r="I13" s="6">
        <v>-6697</v>
      </c>
      <c r="J13" s="6">
        <v>-502</v>
      </c>
      <c r="K13" s="6">
        <v>-74</v>
      </c>
      <c r="L13" s="6">
        <v>0</v>
      </c>
      <c r="M13" s="6">
        <v>0</v>
      </c>
      <c r="N13" s="6">
        <v>-656</v>
      </c>
      <c r="O13" s="6">
        <v>-49</v>
      </c>
      <c r="P13" s="6">
        <v>-516</v>
      </c>
      <c r="Q13" s="6">
        <v>0</v>
      </c>
      <c r="R13" s="6">
        <v>0</v>
      </c>
      <c r="S13" s="6">
        <v>-565</v>
      </c>
      <c r="T13" s="6">
        <v>-1259</v>
      </c>
      <c r="U13" s="6">
        <v>-174173</v>
      </c>
      <c r="V13" s="6">
        <v>-45.958580000005895</v>
      </c>
      <c r="W13" s="6">
        <v>-171022.04142000002</v>
      </c>
      <c r="X13" s="6">
        <v>-346500</v>
      </c>
      <c r="Y13" s="6">
        <v>0</v>
      </c>
    </row>
    <row r="14" spans="2:25" ht="14.25" customHeight="1" thickBot="1" x14ac:dyDescent="0.4">
      <c r="B14" s="9" t="s">
        <v>322</v>
      </c>
      <c r="C14" s="10">
        <f>C8+C12+C7+C13</f>
        <v>433424</v>
      </c>
      <c r="D14" s="10">
        <f t="shared" ref="D14:V14" si="4">D8+D12+D7+D13</f>
        <v>939543.69299999997</v>
      </c>
      <c r="E14" s="10">
        <f t="shared" si="4"/>
        <v>1208407.693</v>
      </c>
      <c r="F14" s="10">
        <f>F8+F12+F7+F13</f>
        <v>1568699.9610000001</v>
      </c>
      <c r="G14" s="10">
        <f t="shared" si="4"/>
        <v>1908777.8940000001</v>
      </c>
      <c r="H14" s="10">
        <f t="shared" si="4"/>
        <v>2206177.8940000003</v>
      </c>
      <c r="I14" s="10">
        <f t="shared" si="4"/>
        <v>2190785.0870000003</v>
      </c>
      <c r="J14" s="10">
        <f>J8+J12+J7+J13</f>
        <v>3438026.0870000003</v>
      </c>
      <c r="K14" s="10">
        <f t="shared" si="4"/>
        <v>2621496.0870000003</v>
      </c>
      <c r="L14" s="10">
        <f t="shared" si="4"/>
        <v>2765359.0870000003</v>
      </c>
      <c r="M14" s="10">
        <f t="shared" si="4"/>
        <v>2879484.0870000003</v>
      </c>
      <c r="N14" s="10">
        <f t="shared" si="4"/>
        <v>2879404.0870000003</v>
      </c>
      <c r="O14" s="10">
        <f t="shared" si="4"/>
        <v>2921751.0870000003</v>
      </c>
      <c r="P14" s="10">
        <f t="shared" si="4"/>
        <v>2996223.0870000003</v>
      </c>
      <c r="Q14" s="10">
        <f t="shared" si="4"/>
        <v>3157775.0870000003</v>
      </c>
      <c r="R14" s="10">
        <f t="shared" si="4"/>
        <v>3329098.0870000003</v>
      </c>
      <c r="S14" s="10">
        <f t="shared" si="4"/>
        <v>3329098.0870000003</v>
      </c>
      <c r="T14" s="10">
        <f t="shared" si="4"/>
        <v>3711837.0870000003</v>
      </c>
      <c r="U14" s="10">
        <f t="shared" si="4"/>
        <v>4147584</v>
      </c>
      <c r="V14" s="10">
        <f t="shared" si="4"/>
        <v>4520764.9438999994</v>
      </c>
      <c r="W14" s="10">
        <f t="shared" ref="W14:X14" si="5">W8+W12+W7+W13</f>
        <v>4994520</v>
      </c>
      <c r="X14" s="10">
        <f t="shared" si="5"/>
        <v>4994520</v>
      </c>
      <c r="Y14" s="10">
        <f t="shared" ref="Y14" si="6">Y8+Y12+Y7+Y13</f>
        <v>5335943</v>
      </c>
    </row>
    <row r="15" spans="2:25" ht="8.1" customHeight="1" x14ac:dyDescent="0.35">
      <c r="B15" s="19"/>
      <c r="C15" s="19"/>
      <c r="D15" s="19"/>
      <c r="E15" s="19"/>
      <c r="F15" s="19"/>
      <c r="G15" s="19"/>
      <c r="H15" s="19"/>
      <c r="I15" s="19"/>
      <c r="J15" s="19"/>
      <c r="K15" s="19"/>
      <c r="L15" s="26"/>
      <c r="M15" s="26"/>
      <c r="N15" s="26"/>
      <c r="O15" s="26"/>
      <c r="P15" s="26"/>
      <c r="Q15" s="26"/>
      <c r="R15" s="26"/>
      <c r="U15" s="26"/>
      <c r="V15" s="26"/>
      <c r="W15" s="26"/>
      <c r="X15" s="26"/>
      <c r="Y15" s="26"/>
    </row>
    <row r="16" spans="2:25" ht="8.1" customHeight="1" x14ac:dyDescent="0.35">
      <c r="B16" s="22" t="s">
        <v>231</v>
      </c>
      <c r="C16" s="22"/>
      <c r="D16" s="27"/>
      <c r="E16" s="27"/>
      <c r="F16" s="28"/>
      <c r="G16" s="27"/>
      <c r="H16" s="27"/>
      <c r="I16" s="27"/>
      <c r="J16" s="26"/>
      <c r="K16" s="19"/>
      <c r="L16" s="26"/>
      <c r="M16" s="26"/>
      <c r="N16" s="26"/>
      <c r="O16" s="26"/>
    </row>
    <row r="17" spans="2:14" ht="8.1" customHeight="1" x14ac:dyDescent="0.35">
      <c r="B17" s="22" t="s">
        <v>232</v>
      </c>
      <c r="C17" s="22"/>
      <c r="D17" s="19"/>
      <c r="E17" s="19"/>
      <c r="F17" s="19"/>
      <c r="G17" s="19"/>
      <c r="H17" s="19"/>
      <c r="I17" s="19"/>
      <c r="J17" s="19"/>
      <c r="K17" s="19"/>
      <c r="L17" s="19"/>
      <c r="M17" s="19"/>
      <c r="N17" s="19"/>
    </row>
    <row r="18" spans="2:14" ht="8.1" customHeight="1" x14ac:dyDescent="0.35">
      <c r="B18" s="22" t="s">
        <v>123</v>
      </c>
      <c r="C18" s="22"/>
      <c r="D18" s="19"/>
      <c r="E18" s="19"/>
      <c r="F18" s="19"/>
      <c r="G18" s="19"/>
      <c r="H18" s="19"/>
      <c r="I18" s="19"/>
      <c r="J18" s="19"/>
      <c r="K18" s="19"/>
      <c r="L18" s="19"/>
      <c r="M18" s="19"/>
      <c r="N18" s="19"/>
    </row>
    <row r="19" spans="2:14" ht="8.1" customHeight="1" x14ac:dyDescent="0.35">
      <c r="B19" s="22"/>
      <c r="C19" s="22"/>
      <c r="D19" s="19"/>
      <c r="E19" s="19"/>
      <c r="F19" s="19"/>
      <c r="G19" s="19"/>
      <c r="H19" s="19"/>
      <c r="I19" s="19"/>
      <c r="J19" s="19"/>
      <c r="K19" s="19"/>
      <c r="L19" s="19"/>
      <c r="M19" s="19"/>
      <c r="N19" s="19"/>
    </row>
  </sheetData>
  <mergeCells count="24">
    <mergeCell ref="S2:Y3"/>
    <mergeCell ref="P5:P6"/>
    <mergeCell ref="O5:O6"/>
    <mergeCell ref="Q5:Q6"/>
    <mergeCell ref="R5:R6"/>
    <mergeCell ref="V5:V6"/>
    <mergeCell ref="U5:U6"/>
    <mergeCell ref="T5:T6"/>
    <mergeCell ref="Y5:Y6"/>
    <mergeCell ref="W5:W6"/>
    <mergeCell ref="X5:X6"/>
    <mergeCell ref="N5:N6"/>
    <mergeCell ref="S5:S6"/>
    <mergeCell ref="C5:C6"/>
    <mergeCell ref="M5:M6"/>
    <mergeCell ref="L5:L6"/>
    <mergeCell ref="D5:D6"/>
    <mergeCell ref="K5:K6"/>
    <mergeCell ref="E5:E6"/>
    <mergeCell ref="F5:F6"/>
    <mergeCell ref="G5:G6"/>
    <mergeCell ref="H5:H6"/>
    <mergeCell ref="J5:J6"/>
    <mergeCell ref="I5:I6"/>
  </mergeCells>
  <pageMargins left="0.7" right="0.7" top="0.75" bottom="0.75" header="0.3" footer="0.3"/>
  <pageSetup paperSize="9" orientation="portrait" r:id="rId1"/>
  <ignoredErrors>
    <ignoredError sqref="I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Results</vt:lpstr>
      <vt:lpstr>Statements financial position</vt:lpstr>
      <vt:lpstr>Statement of income</vt:lpstr>
      <vt:lpstr>Statement of cash flow</vt:lpstr>
      <vt:lpstr>Net debt cash flow</vt:lpstr>
      <vt:lpstr>Operational data</vt:lpstr>
      <vt:lpstr>Debt</vt:lpstr>
      <vt:lpstr>Capex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2023-10-24T14:28:28Z</dcterms:modified>
</cp:coreProperties>
</file>