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B94E1DAB-4ADD-4746-A0A7-1601E3165169}" xr6:coauthVersionLast="47" xr6:coauthVersionMax="47" xr10:uidLastSave="{00000000-0000-0000-0000-000000000000}"/>
  <bookViews>
    <workbookView xWindow="-110" yWindow="-110" windowWidth="19420" windowHeight="10420" tabRatio="766" activeTab="3" xr2:uid="{00000000-000D-0000-FFFF-FFFF00000000}"/>
  </bookViews>
  <sheets>
    <sheet name="Results" sheetId="86" r:id="rId1"/>
    <sheet name="Balanço Patrimonial" sheetId="74" r:id="rId2"/>
    <sheet name="Demonstração dos Resultados" sheetId="75" r:id="rId3"/>
    <sheet name="Demonstração do Fluxo de Caixa" sheetId="76" r:id="rId4"/>
    <sheet name="Fluxo da Dívida Líquida" sheetId="82" r:id="rId5"/>
    <sheet name="Endividamento" sheetId="79" r:id="rId6"/>
    <sheet name="Dados Operacionais" sheetId="85" r:id="rId7"/>
    <sheet name="Capex" sheetId="8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82" l="1"/>
  <c r="D17" i="82" l="1"/>
  <c r="D11" i="82"/>
  <c r="I7" i="82"/>
  <c r="I17" i="82" s="1"/>
  <c r="J7" i="82" s="1"/>
  <c r="J17" i="82" s="1"/>
  <c r="AU16" i="82"/>
  <c r="AU14" i="82"/>
  <c r="AU8" i="82"/>
  <c r="H14" i="75" l="1"/>
  <c r="C14" i="80" l="1"/>
  <c r="D7" i="80" s="1"/>
  <c r="N12" i="80"/>
  <c r="N10" i="80"/>
  <c r="N8" i="80" s="1"/>
  <c r="I10" i="80"/>
  <c r="Z8" i="80"/>
  <c r="Z14" i="80" s="1"/>
  <c r="N9" i="80"/>
  <c r="C9" i="80"/>
  <c r="Y8" i="80"/>
  <c r="Y14" i="80" s="1"/>
  <c r="X8" i="80"/>
  <c r="X14" i="80" s="1"/>
  <c r="W8" i="80"/>
  <c r="W14" i="80" s="1"/>
  <c r="V8" i="80"/>
  <c r="V14" i="80" s="1"/>
  <c r="U8" i="80"/>
  <c r="U14" i="80" s="1"/>
  <c r="T8" i="80"/>
  <c r="S8" i="80"/>
  <c r="R8" i="80"/>
  <c r="Q8" i="80"/>
  <c r="P8" i="80"/>
  <c r="O8" i="80"/>
  <c r="M8" i="80"/>
  <c r="L8" i="80"/>
  <c r="K8" i="80"/>
  <c r="J8" i="80"/>
  <c r="I8" i="80"/>
  <c r="H8" i="80"/>
  <c r="G8" i="80"/>
  <c r="F8" i="80"/>
  <c r="E8" i="80"/>
  <c r="D8" i="80"/>
  <c r="D14" i="80" s="1"/>
  <c r="E7" i="80" s="1"/>
  <c r="I7" i="80" s="1"/>
  <c r="C8" i="80"/>
  <c r="L147" i="85"/>
  <c r="Z134" i="85"/>
  <c r="Y134" i="85"/>
  <c r="X134" i="85"/>
  <c r="W134" i="85"/>
  <c r="V134" i="85"/>
  <c r="U134" i="85"/>
  <c r="T134" i="85"/>
  <c r="S134" i="85"/>
  <c r="R134" i="85"/>
  <c r="Q134" i="85"/>
  <c r="P134" i="85"/>
  <c r="O134" i="85"/>
  <c r="N134" i="85"/>
  <c r="M134" i="85"/>
  <c r="L134" i="85"/>
  <c r="K134" i="85"/>
  <c r="J134" i="85"/>
  <c r="I134" i="85"/>
  <c r="H134" i="85"/>
  <c r="G134" i="85"/>
  <c r="F134" i="85"/>
  <c r="E134" i="85"/>
  <c r="D134" i="85"/>
  <c r="C134" i="85"/>
  <c r="Z152" i="85"/>
  <c r="N129" i="85"/>
  <c r="I129" i="85"/>
  <c r="I130" i="85" s="1"/>
  <c r="Z130" i="85"/>
  <c r="Y130" i="85"/>
  <c r="X130" i="85"/>
  <c r="W130" i="85"/>
  <c r="V130" i="85"/>
  <c r="U130" i="85"/>
  <c r="T130" i="85"/>
  <c r="S130" i="85"/>
  <c r="R130" i="85"/>
  <c r="Q130" i="85"/>
  <c r="P130" i="85"/>
  <c r="O130" i="85"/>
  <c r="M130" i="85"/>
  <c r="L130" i="85"/>
  <c r="K130" i="85"/>
  <c r="H130" i="85"/>
  <c r="G130" i="85"/>
  <c r="F130" i="85"/>
  <c r="E130" i="85"/>
  <c r="D130" i="85"/>
  <c r="C130" i="85"/>
  <c r="S120" i="85"/>
  <c r="R120" i="85"/>
  <c r="Q120" i="85"/>
  <c r="P120" i="85"/>
  <c r="O120" i="85"/>
  <c r="N120" i="85"/>
  <c r="M120" i="85"/>
  <c r="L120" i="85"/>
  <c r="K120" i="85"/>
  <c r="J120" i="85"/>
  <c r="I120" i="85"/>
  <c r="H120" i="85"/>
  <c r="G120" i="85"/>
  <c r="F120" i="85"/>
  <c r="E120" i="85"/>
  <c r="D120" i="85"/>
  <c r="C120" i="85"/>
  <c r="Y119" i="85"/>
  <c r="X119" i="85"/>
  <c r="W119" i="85"/>
  <c r="V119" i="85"/>
  <c r="U119" i="85"/>
  <c r="T119" i="85"/>
  <c r="S119" i="85"/>
  <c r="R119" i="85"/>
  <c r="Q119" i="85"/>
  <c r="P119" i="85"/>
  <c r="O119" i="85"/>
  <c r="N119" i="85"/>
  <c r="M119" i="85"/>
  <c r="L119" i="85"/>
  <c r="K119" i="85"/>
  <c r="J119" i="85"/>
  <c r="I119" i="85"/>
  <c r="H119" i="85"/>
  <c r="G119" i="85"/>
  <c r="F119" i="85"/>
  <c r="E119" i="85"/>
  <c r="D119" i="85"/>
  <c r="Y118" i="85"/>
  <c r="X118" i="85"/>
  <c r="W118" i="85"/>
  <c r="V118" i="85"/>
  <c r="U118" i="85"/>
  <c r="T118" i="85"/>
  <c r="S118" i="85"/>
  <c r="R118" i="85"/>
  <c r="Q118" i="85"/>
  <c r="P118" i="85"/>
  <c r="O118" i="85"/>
  <c r="N118" i="85"/>
  <c r="M118" i="85"/>
  <c r="L118" i="85"/>
  <c r="K118" i="85"/>
  <c r="J118" i="85"/>
  <c r="I118" i="85"/>
  <c r="H118" i="85"/>
  <c r="G118" i="85"/>
  <c r="F118" i="85"/>
  <c r="E118" i="85"/>
  <c r="D118" i="85"/>
  <c r="Y117" i="85"/>
  <c r="X117" i="85"/>
  <c r="W117" i="85"/>
  <c r="V117" i="85"/>
  <c r="U117" i="85"/>
  <c r="T117" i="85"/>
  <c r="S117" i="85"/>
  <c r="R117" i="85"/>
  <c r="Q117" i="85"/>
  <c r="P117" i="85"/>
  <c r="O117" i="85"/>
  <c r="N117" i="85"/>
  <c r="M117" i="85"/>
  <c r="L117" i="85"/>
  <c r="K117" i="85"/>
  <c r="J117" i="85"/>
  <c r="I117" i="85"/>
  <c r="H117" i="85"/>
  <c r="G117" i="85"/>
  <c r="F117" i="85"/>
  <c r="E117" i="85"/>
  <c r="D117" i="85"/>
  <c r="Y116" i="85"/>
  <c r="X116" i="85"/>
  <c r="W116" i="85"/>
  <c r="V116" i="85"/>
  <c r="U116" i="85"/>
  <c r="T116" i="85"/>
  <c r="S116" i="85"/>
  <c r="R116" i="85"/>
  <c r="Q116" i="85"/>
  <c r="P116" i="85"/>
  <c r="O116" i="85"/>
  <c r="N116" i="85"/>
  <c r="M116" i="85"/>
  <c r="L116" i="85"/>
  <c r="K116" i="85"/>
  <c r="J116" i="85"/>
  <c r="I116" i="85"/>
  <c r="H116" i="85"/>
  <c r="G116" i="85"/>
  <c r="F116" i="85"/>
  <c r="E116" i="85"/>
  <c r="D116" i="85"/>
  <c r="Y114" i="85"/>
  <c r="X114" i="85"/>
  <c r="W114" i="85"/>
  <c r="V114" i="85"/>
  <c r="U114" i="85"/>
  <c r="T114" i="85"/>
  <c r="R114" i="85"/>
  <c r="Q114" i="85"/>
  <c r="P114" i="85"/>
  <c r="O114" i="85"/>
  <c r="N114" i="85"/>
  <c r="M114" i="85"/>
  <c r="L114" i="85"/>
  <c r="K114" i="85"/>
  <c r="J114" i="85"/>
  <c r="I114" i="85"/>
  <c r="H114" i="85"/>
  <c r="G114" i="85"/>
  <c r="F114" i="85"/>
  <c r="E114" i="85"/>
  <c r="D114" i="85"/>
  <c r="Y113" i="85"/>
  <c r="X113" i="85"/>
  <c r="W113" i="85"/>
  <c r="V113" i="85"/>
  <c r="U113" i="85"/>
  <c r="T113" i="85"/>
  <c r="R113" i="85"/>
  <c r="Q113" i="85"/>
  <c r="P113" i="85"/>
  <c r="O113" i="85"/>
  <c r="N113" i="85"/>
  <c r="M113" i="85"/>
  <c r="L113" i="85"/>
  <c r="K113" i="85"/>
  <c r="J113" i="85"/>
  <c r="I113" i="85"/>
  <c r="H113" i="85"/>
  <c r="G113" i="85"/>
  <c r="F113" i="85"/>
  <c r="E113" i="85"/>
  <c r="D113" i="85"/>
  <c r="Y120" i="85"/>
  <c r="X120" i="85"/>
  <c r="W120" i="85"/>
  <c r="V120" i="85"/>
  <c r="U120" i="85"/>
  <c r="T120" i="85"/>
  <c r="C104" i="85"/>
  <c r="C102" i="85"/>
  <c r="C101" i="85"/>
  <c r="C103" i="85" s="1"/>
  <c r="C100" i="85"/>
  <c r="U98" i="85"/>
  <c r="L98" i="85"/>
  <c r="S97" i="85"/>
  <c r="S114" i="85" s="1"/>
  <c r="C97" i="85"/>
  <c r="Z95" i="85"/>
  <c r="Z147" i="85" s="1"/>
  <c r="S96" i="85"/>
  <c r="S113" i="85" s="1"/>
  <c r="C96" i="85"/>
  <c r="Y95" i="85"/>
  <c r="Y98" i="85" s="1"/>
  <c r="X95" i="85"/>
  <c r="X98" i="85" s="1"/>
  <c r="W95" i="85"/>
  <c r="V95" i="85"/>
  <c r="U95" i="85"/>
  <c r="U147" i="85" s="1"/>
  <c r="T95" i="85"/>
  <c r="T98" i="85" s="1"/>
  <c r="R95" i="85"/>
  <c r="R98" i="85" s="1"/>
  <c r="Q95" i="85"/>
  <c r="Q147" i="85" s="1"/>
  <c r="P95" i="85"/>
  <c r="P147" i="85" s="1"/>
  <c r="O95" i="85"/>
  <c r="N95" i="85"/>
  <c r="M95" i="85"/>
  <c r="M147" i="85" s="1"/>
  <c r="K95" i="85"/>
  <c r="K98" i="85" s="1"/>
  <c r="J95" i="85"/>
  <c r="J98" i="85" s="1"/>
  <c r="I95" i="85"/>
  <c r="I147" i="85" s="1"/>
  <c r="H95" i="85"/>
  <c r="H147" i="85" s="1"/>
  <c r="G95" i="85"/>
  <c r="G98" i="85" s="1"/>
  <c r="F95" i="85"/>
  <c r="E95" i="85"/>
  <c r="E147" i="85" s="1"/>
  <c r="D95" i="85"/>
  <c r="D98" i="85" s="1"/>
  <c r="C90" i="85"/>
  <c r="C86" i="85"/>
  <c r="C77" i="85"/>
  <c r="C65" i="85"/>
  <c r="Y40" i="85"/>
  <c r="X40" i="85"/>
  <c r="W40" i="85"/>
  <c r="V40" i="85"/>
  <c r="U40" i="85"/>
  <c r="T40" i="85"/>
  <c r="S40" i="85"/>
  <c r="R40" i="85"/>
  <c r="Q40" i="85"/>
  <c r="P40" i="85"/>
  <c r="O40" i="85"/>
  <c r="M40" i="85"/>
  <c r="L40" i="85"/>
  <c r="I40" i="85"/>
  <c r="H40" i="85"/>
  <c r="G40" i="85"/>
  <c r="F40" i="85"/>
  <c r="E40" i="85"/>
  <c r="D40" i="85"/>
  <c r="C40" i="85"/>
  <c r="Z40" i="85"/>
  <c r="K37" i="85"/>
  <c r="K40" i="85" s="1"/>
  <c r="J37" i="85"/>
  <c r="J40" i="85" s="1"/>
  <c r="Z120" i="85"/>
  <c r="Y31" i="85"/>
  <c r="X31" i="85"/>
  <c r="W31" i="85"/>
  <c r="V31" i="85"/>
  <c r="U31" i="85"/>
  <c r="T31" i="85"/>
  <c r="S31" i="85"/>
  <c r="R31" i="85"/>
  <c r="Q31" i="85"/>
  <c r="P31" i="85"/>
  <c r="O31" i="85"/>
  <c r="N31" i="85"/>
  <c r="M31" i="85"/>
  <c r="L31" i="85"/>
  <c r="K31" i="85"/>
  <c r="J31" i="85"/>
  <c r="I31" i="85"/>
  <c r="H31" i="85"/>
  <c r="G31" i="85"/>
  <c r="F31" i="85"/>
  <c r="E31" i="85"/>
  <c r="D31" i="85"/>
  <c r="Z119" i="85"/>
  <c r="C30" i="85"/>
  <c r="Z118" i="85"/>
  <c r="C29" i="85"/>
  <c r="C118" i="85" s="1"/>
  <c r="Z117" i="85"/>
  <c r="C28" i="85"/>
  <c r="C117" i="85" s="1"/>
  <c r="Z116" i="85"/>
  <c r="C27" i="85"/>
  <c r="C116" i="85" s="1"/>
  <c r="Y26" i="85"/>
  <c r="Y47" i="85" s="1"/>
  <c r="X26" i="85"/>
  <c r="X47" i="85" s="1"/>
  <c r="W26" i="85"/>
  <c r="W47" i="85" s="1"/>
  <c r="V26" i="85"/>
  <c r="U26" i="85"/>
  <c r="T26" i="85"/>
  <c r="S26" i="85"/>
  <c r="R26" i="85"/>
  <c r="Q26" i="85"/>
  <c r="Q47" i="85" s="1"/>
  <c r="P26" i="85"/>
  <c r="P47" i="85" s="1"/>
  <c r="O26" i="85"/>
  <c r="O47" i="85" s="1"/>
  <c r="N26" i="85"/>
  <c r="M26" i="85"/>
  <c r="L26" i="85"/>
  <c r="K26" i="85"/>
  <c r="J26" i="85"/>
  <c r="I26" i="85"/>
  <c r="I47" i="85" s="1"/>
  <c r="H26" i="85"/>
  <c r="H47" i="85" s="1"/>
  <c r="G26" i="85"/>
  <c r="G47" i="85" s="1"/>
  <c r="G51" i="85" s="1"/>
  <c r="G135" i="85" s="1"/>
  <c r="F26" i="85"/>
  <c r="E26" i="85"/>
  <c r="D26" i="85"/>
  <c r="Z114" i="85"/>
  <c r="C25" i="85"/>
  <c r="C114" i="85" s="1"/>
  <c r="Z113" i="85"/>
  <c r="C24" i="85"/>
  <c r="C113" i="85" s="1"/>
  <c r="Y23" i="85"/>
  <c r="X23" i="85"/>
  <c r="X143" i="85" s="1"/>
  <c r="W23" i="85"/>
  <c r="W143" i="85" s="1"/>
  <c r="V23" i="85"/>
  <c r="U23" i="85"/>
  <c r="T23" i="85"/>
  <c r="S23" i="85"/>
  <c r="R23" i="85"/>
  <c r="R112" i="85" s="1"/>
  <c r="R111" i="85" s="1"/>
  <c r="Q23" i="85"/>
  <c r="P23" i="85"/>
  <c r="P143" i="85" s="1"/>
  <c r="O23" i="85"/>
  <c r="O143" i="85" s="1"/>
  <c r="N23" i="85"/>
  <c r="M23" i="85"/>
  <c r="L23" i="85"/>
  <c r="L143" i="85" s="1"/>
  <c r="K23" i="85"/>
  <c r="J23" i="85"/>
  <c r="J143" i="85" s="1"/>
  <c r="I23" i="85"/>
  <c r="H23" i="85"/>
  <c r="H143" i="85" s="1"/>
  <c r="G23" i="85"/>
  <c r="G143" i="85" s="1"/>
  <c r="F23" i="85"/>
  <c r="E23" i="85"/>
  <c r="D23" i="85"/>
  <c r="C23" i="85"/>
  <c r="S20" i="85"/>
  <c r="S19" i="85"/>
  <c r="S18" i="85"/>
  <c r="S17" i="85"/>
  <c r="R16" i="85"/>
  <c r="Q16" i="85"/>
  <c r="P16" i="85"/>
  <c r="O16" i="85"/>
  <c r="N16" i="85"/>
  <c r="M16" i="85"/>
  <c r="L16" i="85"/>
  <c r="K16" i="85"/>
  <c r="J16" i="85"/>
  <c r="I16" i="85"/>
  <c r="H16" i="85"/>
  <c r="G16" i="85"/>
  <c r="F16" i="85"/>
  <c r="E16" i="85"/>
  <c r="D16" i="85"/>
  <c r="C16" i="85"/>
  <c r="Y15" i="85"/>
  <c r="Z15" i="85"/>
  <c r="Z136" i="85"/>
  <c r="Y12" i="85"/>
  <c r="Y136" i="85" s="1"/>
  <c r="X12" i="85"/>
  <c r="X136" i="85" s="1"/>
  <c r="W12" i="85"/>
  <c r="W136" i="85" s="1"/>
  <c r="V12" i="85"/>
  <c r="V136" i="85" s="1"/>
  <c r="U12" i="85"/>
  <c r="U136" i="85" s="1"/>
  <c r="T12" i="85"/>
  <c r="T136" i="85" s="1"/>
  <c r="R12" i="85"/>
  <c r="R136" i="85" s="1"/>
  <c r="Q12" i="85"/>
  <c r="Q136" i="85" s="1"/>
  <c r="P12" i="85"/>
  <c r="P136" i="85" s="1"/>
  <c r="O12" i="85"/>
  <c r="O136" i="85" s="1"/>
  <c r="M12" i="85"/>
  <c r="M136" i="85" s="1"/>
  <c r="L12" i="85"/>
  <c r="L136" i="85" s="1"/>
  <c r="K12" i="85"/>
  <c r="K136" i="85" s="1"/>
  <c r="J12" i="85"/>
  <c r="J136" i="85" s="1"/>
  <c r="H12" i="85"/>
  <c r="H136" i="85" s="1"/>
  <c r="G12" i="85"/>
  <c r="G136" i="85" s="1"/>
  <c r="F12" i="85"/>
  <c r="F136" i="85" s="1"/>
  <c r="E12" i="85"/>
  <c r="E136" i="85" s="1"/>
  <c r="D12" i="85"/>
  <c r="D136" i="85" s="1"/>
  <c r="C12" i="85"/>
  <c r="C136" i="85" s="1"/>
  <c r="X11" i="85"/>
  <c r="X15" i="85" s="1"/>
  <c r="W11" i="85"/>
  <c r="W15" i="85" s="1"/>
  <c r="V11" i="85"/>
  <c r="V15" i="85" s="1"/>
  <c r="U11" i="85"/>
  <c r="U15" i="85" s="1"/>
  <c r="T11" i="85"/>
  <c r="T15" i="85" s="1"/>
  <c r="S11" i="85"/>
  <c r="R11" i="85"/>
  <c r="Q11" i="85"/>
  <c r="Q15" i="85" s="1"/>
  <c r="P11" i="85"/>
  <c r="P15" i="85" s="1"/>
  <c r="O11" i="85"/>
  <c r="O15" i="85" s="1"/>
  <c r="N11" i="85"/>
  <c r="N15" i="85" s="1"/>
  <c r="M11" i="85"/>
  <c r="M15" i="85" s="1"/>
  <c r="L11" i="85"/>
  <c r="L15" i="85" s="1"/>
  <c r="K11" i="85"/>
  <c r="K15" i="85" s="1"/>
  <c r="J11" i="85"/>
  <c r="J15" i="85" s="1"/>
  <c r="I11" i="85"/>
  <c r="I15" i="85" s="1"/>
  <c r="H11" i="85"/>
  <c r="H15" i="85" s="1"/>
  <c r="G11" i="85"/>
  <c r="G15" i="85" s="1"/>
  <c r="F11" i="85"/>
  <c r="F15" i="85" s="1"/>
  <c r="E11" i="85"/>
  <c r="E15" i="85" s="1"/>
  <c r="D11" i="85"/>
  <c r="D15" i="85" s="1"/>
  <c r="C11" i="85"/>
  <c r="S10" i="85"/>
  <c r="S12" i="85" s="1"/>
  <c r="S136" i="85" s="1"/>
  <c r="N10" i="85"/>
  <c r="N12" i="85" s="1"/>
  <c r="N136" i="85" s="1"/>
  <c r="I10" i="85"/>
  <c r="I9" i="85"/>
  <c r="C9" i="85"/>
  <c r="I8" i="85"/>
  <c r="C35" i="79"/>
  <c r="D35" i="79"/>
  <c r="E35" i="79"/>
  <c r="F35" i="79"/>
  <c r="G35" i="79"/>
  <c r="H35" i="79"/>
  <c r="I35" i="79"/>
  <c r="J35" i="79"/>
  <c r="K35" i="79"/>
  <c r="L35" i="79"/>
  <c r="M35" i="79"/>
  <c r="N35" i="79"/>
  <c r="O35" i="79"/>
  <c r="P35" i="79"/>
  <c r="Q35" i="79"/>
  <c r="R35" i="79"/>
  <c r="S35" i="79"/>
  <c r="T35" i="79"/>
  <c r="U35" i="79"/>
  <c r="C36" i="79"/>
  <c r="D36" i="79"/>
  <c r="E36" i="79"/>
  <c r="F36" i="79"/>
  <c r="G36" i="79"/>
  <c r="H36" i="79"/>
  <c r="I36" i="79"/>
  <c r="J36" i="79"/>
  <c r="K36" i="79"/>
  <c r="L36" i="79"/>
  <c r="M36" i="79"/>
  <c r="N36" i="79"/>
  <c r="O36" i="79"/>
  <c r="P36" i="79"/>
  <c r="Q36" i="79"/>
  <c r="R36" i="79"/>
  <c r="S36" i="79"/>
  <c r="T36" i="79"/>
  <c r="U36" i="79"/>
  <c r="V36" i="79"/>
  <c r="V35" i="79"/>
  <c r="C24" i="79"/>
  <c r="C26" i="79" s="1"/>
  <c r="D24" i="79"/>
  <c r="D26" i="79" s="1"/>
  <c r="E24" i="79"/>
  <c r="E26" i="79" s="1"/>
  <c r="F24" i="79"/>
  <c r="G24" i="79"/>
  <c r="G26" i="79" s="1"/>
  <c r="H24" i="79"/>
  <c r="I24" i="79"/>
  <c r="I26" i="79" s="1"/>
  <c r="J24" i="79"/>
  <c r="J26" i="79" s="1"/>
  <c r="K24" i="79"/>
  <c r="K26" i="79" s="1"/>
  <c r="L24" i="79"/>
  <c r="L26" i="79" s="1"/>
  <c r="M24" i="79"/>
  <c r="N24" i="79"/>
  <c r="O24" i="79"/>
  <c r="P24" i="79"/>
  <c r="Q24" i="79"/>
  <c r="Q26" i="79" s="1"/>
  <c r="R24" i="79"/>
  <c r="R26" i="79" s="1"/>
  <c r="S24" i="79"/>
  <c r="S26" i="79" s="1"/>
  <c r="T24" i="79"/>
  <c r="T26" i="79" s="1"/>
  <c r="U24" i="79"/>
  <c r="U26" i="79" s="1"/>
  <c r="C25" i="79"/>
  <c r="D25" i="79"/>
  <c r="E25" i="79"/>
  <c r="F25" i="79"/>
  <c r="G25" i="79"/>
  <c r="H25" i="79"/>
  <c r="I25" i="79"/>
  <c r="J25" i="79"/>
  <c r="K25" i="79"/>
  <c r="L25" i="79"/>
  <c r="M25" i="79"/>
  <c r="N25" i="79"/>
  <c r="O25" i="79"/>
  <c r="P25" i="79"/>
  <c r="Q25" i="79"/>
  <c r="R25" i="79"/>
  <c r="S25" i="79"/>
  <c r="T25" i="79"/>
  <c r="U25" i="79"/>
  <c r="F26" i="79"/>
  <c r="H26" i="79"/>
  <c r="M26" i="79"/>
  <c r="N26" i="79"/>
  <c r="O26" i="79"/>
  <c r="P26" i="79"/>
  <c r="C28" i="79"/>
  <c r="D28" i="79"/>
  <c r="E28" i="79"/>
  <c r="E30" i="79" s="1"/>
  <c r="F28" i="79"/>
  <c r="F30" i="79" s="1"/>
  <c r="G28" i="79"/>
  <c r="G30" i="79" s="1"/>
  <c r="H28" i="79"/>
  <c r="H30" i="79" s="1"/>
  <c r="I28" i="79"/>
  <c r="I30" i="79" s="1"/>
  <c r="J28" i="79"/>
  <c r="K28" i="79"/>
  <c r="L28" i="79"/>
  <c r="M28" i="79"/>
  <c r="M30" i="79" s="1"/>
  <c r="N28" i="79"/>
  <c r="N30" i="79" s="1"/>
  <c r="O28" i="79"/>
  <c r="O30" i="79" s="1"/>
  <c r="P28" i="79"/>
  <c r="P30" i="79" s="1"/>
  <c r="Q28" i="79"/>
  <c r="Q30" i="79" s="1"/>
  <c r="R28" i="79"/>
  <c r="S28" i="79"/>
  <c r="T28" i="79"/>
  <c r="T30" i="79" s="1"/>
  <c r="U28" i="79"/>
  <c r="C29" i="79"/>
  <c r="C31" i="79" s="1"/>
  <c r="D29" i="79"/>
  <c r="D31" i="79" s="1"/>
  <c r="E29" i="79"/>
  <c r="E31" i="79" s="1"/>
  <c r="F29" i="79"/>
  <c r="F31" i="79" s="1"/>
  <c r="G29" i="79"/>
  <c r="H29" i="79"/>
  <c r="I29" i="79"/>
  <c r="J29" i="79"/>
  <c r="J31" i="79" s="1"/>
  <c r="K29" i="79"/>
  <c r="K31" i="79" s="1"/>
  <c r="L29" i="79"/>
  <c r="M29" i="79"/>
  <c r="M31" i="79" s="1"/>
  <c r="N29" i="79"/>
  <c r="N31" i="79" s="1"/>
  <c r="O29" i="79"/>
  <c r="P29" i="79"/>
  <c r="Q29" i="79"/>
  <c r="R29" i="79"/>
  <c r="R31" i="79" s="1"/>
  <c r="S29" i="79"/>
  <c r="S31" i="79" s="1"/>
  <c r="T29" i="79"/>
  <c r="T31" i="79" s="1"/>
  <c r="U29" i="79"/>
  <c r="U31" i="79" s="1"/>
  <c r="C30" i="79"/>
  <c r="D30" i="79"/>
  <c r="J30" i="79"/>
  <c r="K30" i="79"/>
  <c r="L30" i="79"/>
  <c r="R30" i="79"/>
  <c r="S30" i="79"/>
  <c r="U30" i="79"/>
  <c r="G31" i="79"/>
  <c r="H31" i="79"/>
  <c r="I31" i="79"/>
  <c r="L31" i="79"/>
  <c r="O31" i="79"/>
  <c r="P31" i="79"/>
  <c r="Q31" i="79"/>
  <c r="V29" i="79"/>
  <c r="V31" i="79" s="1"/>
  <c r="V28" i="79"/>
  <c r="V30" i="79" s="1"/>
  <c r="V25" i="79"/>
  <c r="V24" i="79"/>
  <c r="V26" i="79" s="1"/>
  <c r="AH11" i="82"/>
  <c r="AV16" i="82"/>
  <c r="AT16" i="82"/>
  <c r="AS16" i="82"/>
  <c r="AR16" i="82"/>
  <c r="AQ16" i="82"/>
  <c r="AP16" i="82"/>
  <c r="AO16" i="82"/>
  <c r="AN16" i="82"/>
  <c r="AM16" i="82"/>
  <c r="AL16" i="82"/>
  <c r="AK16" i="82"/>
  <c r="AJ16" i="82"/>
  <c r="AI16" i="82"/>
  <c r="AG16" i="82"/>
  <c r="AF16" i="82"/>
  <c r="AT15" i="82"/>
  <c r="AR15" i="82"/>
  <c r="AQ15" i="82"/>
  <c r="AP15" i="82"/>
  <c r="AO15" i="82"/>
  <c r="AN15" i="82"/>
  <c r="AM15" i="82"/>
  <c r="AL15" i="82"/>
  <c r="AK15" i="82"/>
  <c r="AJ15" i="82"/>
  <c r="AI15" i="82"/>
  <c r="AG15" i="82"/>
  <c r="AF15" i="82"/>
  <c r="AV14" i="82"/>
  <c r="AT14" i="82"/>
  <c r="AS14" i="82"/>
  <c r="AR14" i="82"/>
  <c r="AQ14" i="82"/>
  <c r="AP14" i="82"/>
  <c r="AO14" i="82"/>
  <c r="AN14" i="82"/>
  <c r="AM14" i="82"/>
  <c r="AL14" i="82"/>
  <c r="AK14" i="82"/>
  <c r="AJ14" i="82"/>
  <c r="AI14" i="82"/>
  <c r="AG14" i="82"/>
  <c r="AF14" i="82"/>
  <c r="AT13" i="82"/>
  <c r="AR13" i="82"/>
  <c r="AQ13" i="82"/>
  <c r="AP13" i="82"/>
  <c r="AO13" i="82"/>
  <c r="AN13" i="82"/>
  <c r="AM13" i="82"/>
  <c r="AL13" i="82"/>
  <c r="AK13" i="82"/>
  <c r="AJ13" i="82"/>
  <c r="AI13" i="82"/>
  <c r="AG13" i="82"/>
  <c r="AF13" i="82"/>
  <c r="AT12" i="82"/>
  <c r="AR12" i="82"/>
  <c r="AQ12" i="82"/>
  <c r="AP12" i="82"/>
  <c r="AO12" i="82"/>
  <c r="AN12" i="82"/>
  <c r="AM12" i="82"/>
  <c r="AL12" i="82"/>
  <c r="AK12" i="82"/>
  <c r="AJ12" i="82"/>
  <c r="AI12" i="82"/>
  <c r="AG12" i="82"/>
  <c r="AF12" i="82"/>
  <c r="AP10" i="82"/>
  <c r="AO10" i="82"/>
  <c r="AN10" i="82"/>
  <c r="AM10" i="82"/>
  <c r="AL10" i="82"/>
  <c r="AK10" i="82"/>
  <c r="AJ10" i="82"/>
  <c r="AI10" i="82"/>
  <c r="AG10" i="82"/>
  <c r="AF10" i="82"/>
  <c r="AT9" i="82"/>
  <c r="AR9" i="82"/>
  <c r="AQ9" i="82"/>
  <c r="AP9" i="82"/>
  <c r="AO9" i="82"/>
  <c r="AN9" i="82"/>
  <c r="AM9" i="82"/>
  <c r="AL9" i="82"/>
  <c r="AK9" i="82"/>
  <c r="AJ9" i="82"/>
  <c r="AI9" i="82"/>
  <c r="AG9" i="82"/>
  <c r="AF9" i="82"/>
  <c r="AV8" i="82"/>
  <c r="AT8" i="82"/>
  <c r="AS8" i="82"/>
  <c r="AR8" i="82"/>
  <c r="AQ8" i="82"/>
  <c r="AP8" i="82"/>
  <c r="AO8" i="82"/>
  <c r="AN8" i="82"/>
  <c r="AM8" i="82"/>
  <c r="AL8" i="82"/>
  <c r="AK8" i="82"/>
  <c r="AJ8" i="82"/>
  <c r="AI8" i="82"/>
  <c r="AG8" i="82"/>
  <c r="AF8" i="82"/>
  <c r="AL7" i="82"/>
  <c r="AH7" i="82"/>
  <c r="AH17" i="82" s="1"/>
  <c r="AH19" i="82" s="1"/>
  <c r="AG7" i="82"/>
  <c r="AF7" i="82"/>
  <c r="C17" i="82"/>
  <c r="C19" i="82" s="1"/>
  <c r="D19" i="82"/>
  <c r="E17" i="82"/>
  <c r="I19" i="82"/>
  <c r="N17" i="82"/>
  <c r="C11" i="82"/>
  <c r="AF11" i="82" s="1"/>
  <c r="AG11" i="82"/>
  <c r="E11" i="82"/>
  <c r="F11" i="82"/>
  <c r="G11" i="82"/>
  <c r="H11" i="82"/>
  <c r="I11" i="82"/>
  <c r="J11" i="82"/>
  <c r="K11" i="82"/>
  <c r="L11" i="82"/>
  <c r="M11" i="82"/>
  <c r="N11" i="82"/>
  <c r="O11" i="82"/>
  <c r="P11" i="82"/>
  <c r="Q11" i="82"/>
  <c r="S11" i="82"/>
  <c r="AP11" i="82" s="1"/>
  <c r="T11" i="82"/>
  <c r="U11" i="82"/>
  <c r="W11" i="82"/>
  <c r="Y11" i="82"/>
  <c r="AU11" i="82" s="1"/>
  <c r="Z11" i="82"/>
  <c r="C30" i="75"/>
  <c r="D30" i="75"/>
  <c r="E30" i="75"/>
  <c r="F30" i="75"/>
  <c r="G30" i="75"/>
  <c r="H30" i="75"/>
  <c r="I30" i="75"/>
  <c r="J30" i="75"/>
  <c r="K30" i="75"/>
  <c r="L30" i="75"/>
  <c r="M30" i="75"/>
  <c r="N30" i="75"/>
  <c r="O30" i="75"/>
  <c r="P30" i="75"/>
  <c r="Q30" i="75"/>
  <c r="R30" i="75"/>
  <c r="S30" i="75"/>
  <c r="T30" i="75"/>
  <c r="U30" i="75"/>
  <c r="Y30" i="75"/>
  <c r="Z30" i="75"/>
  <c r="C24" i="75"/>
  <c r="C25" i="75" s="1"/>
  <c r="D24" i="75"/>
  <c r="E24" i="75"/>
  <c r="F24" i="75"/>
  <c r="F25" i="75" s="1"/>
  <c r="G24" i="75"/>
  <c r="G25" i="75" s="1"/>
  <c r="I24" i="75"/>
  <c r="J24" i="75"/>
  <c r="J25" i="75" s="1"/>
  <c r="K24" i="75"/>
  <c r="K25" i="75" s="1"/>
  <c r="L24" i="75"/>
  <c r="M24" i="75"/>
  <c r="N24" i="75"/>
  <c r="O24" i="75"/>
  <c r="O25" i="75" s="1"/>
  <c r="P24" i="75"/>
  <c r="Q24" i="75"/>
  <c r="R24" i="75"/>
  <c r="R25" i="75" s="1"/>
  <c r="S24" i="75"/>
  <c r="S25" i="75" s="1"/>
  <c r="T24" i="75"/>
  <c r="U24" i="75"/>
  <c r="Y24" i="75"/>
  <c r="D25" i="75"/>
  <c r="E25" i="75"/>
  <c r="I25" i="75"/>
  <c r="L25" i="75"/>
  <c r="M25" i="75"/>
  <c r="N25" i="75"/>
  <c r="P25" i="75"/>
  <c r="Q25" i="75"/>
  <c r="T25" i="75"/>
  <c r="U25" i="75"/>
  <c r="Y25" i="75"/>
  <c r="C27" i="75"/>
  <c r="D27" i="75"/>
  <c r="D28" i="75" s="1"/>
  <c r="E27" i="75"/>
  <c r="E28" i="75" s="1"/>
  <c r="F27" i="75"/>
  <c r="G27" i="75"/>
  <c r="I27" i="75"/>
  <c r="I28" i="75" s="1"/>
  <c r="J27" i="75"/>
  <c r="K27" i="75"/>
  <c r="L27" i="75"/>
  <c r="L28" i="75" s="1"/>
  <c r="M27" i="75"/>
  <c r="M28" i="75" s="1"/>
  <c r="N27" i="75"/>
  <c r="O27" i="75"/>
  <c r="P27" i="75"/>
  <c r="Q27" i="75"/>
  <c r="Q28" i="75" s="1"/>
  <c r="R27" i="75"/>
  <c r="S27" i="75"/>
  <c r="T27" i="75"/>
  <c r="T28" i="75" s="1"/>
  <c r="U27" i="75"/>
  <c r="U28" i="75" s="1"/>
  <c r="Y27" i="75"/>
  <c r="Y28" i="75" s="1"/>
  <c r="C28" i="75"/>
  <c r="F28" i="75"/>
  <c r="G28" i="75"/>
  <c r="J28" i="75"/>
  <c r="K28" i="75"/>
  <c r="N28" i="75"/>
  <c r="O28" i="75"/>
  <c r="P28" i="75"/>
  <c r="R28" i="75"/>
  <c r="S28" i="75"/>
  <c r="Z27" i="75"/>
  <c r="Z28" i="75" s="1"/>
  <c r="Z24" i="75"/>
  <c r="Z25" i="75" s="1"/>
  <c r="C19" i="75"/>
  <c r="D19" i="75"/>
  <c r="E19" i="75"/>
  <c r="F20" i="75"/>
  <c r="G19" i="75"/>
  <c r="H19" i="75"/>
  <c r="I19" i="75"/>
  <c r="J19" i="75"/>
  <c r="J20" i="75" s="1"/>
  <c r="K19" i="75"/>
  <c r="L19" i="75"/>
  <c r="M19" i="75"/>
  <c r="N19" i="75"/>
  <c r="O19" i="75"/>
  <c r="P19" i="75"/>
  <c r="Q19" i="75"/>
  <c r="R19" i="75"/>
  <c r="R20" i="75" s="1"/>
  <c r="S19" i="75"/>
  <c r="T19" i="75"/>
  <c r="U19" i="75"/>
  <c r="Y19" i="75"/>
  <c r="C20" i="75"/>
  <c r="D20" i="75"/>
  <c r="E20" i="75"/>
  <c r="G20" i="75"/>
  <c r="H20" i="75"/>
  <c r="H24" i="75" s="1"/>
  <c r="H25" i="75" s="1"/>
  <c r="I20" i="75"/>
  <c r="K20" i="75"/>
  <c r="L20" i="75"/>
  <c r="M20" i="75"/>
  <c r="N20" i="75"/>
  <c r="O20" i="75"/>
  <c r="P20" i="75"/>
  <c r="Q20" i="75"/>
  <c r="S20" i="75"/>
  <c r="T20" i="75"/>
  <c r="U20" i="75"/>
  <c r="Y20" i="75"/>
  <c r="Z19" i="75"/>
  <c r="Z20" i="75" s="1"/>
  <c r="U14" i="75"/>
  <c r="U15" i="75" s="1"/>
  <c r="T14" i="75"/>
  <c r="S14" i="75"/>
  <c r="S15" i="75" s="1"/>
  <c r="R14" i="75"/>
  <c r="R15" i="75" s="1"/>
  <c r="Q14" i="75"/>
  <c r="P14" i="75"/>
  <c r="P15" i="75" s="1"/>
  <c r="N14" i="75"/>
  <c r="N15" i="75" s="1"/>
  <c r="O14" i="75"/>
  <c r="O15" i="75" s="1"/>
  <c r="M14" i="75"/>
  <c r="M15" i="75"/>
  <c r="L14" i="75"/>
  <c r="L15" i="75" s="1"/>
  <c r="K14" i="75"/>
  <c r="K15" i="75" s="1"/>
  <c r="J14" i="75"/>
  <c r="I14" i="75"/>
  <c r="H15" i="75"/>
  <c r="H27" i="75" s="1"/>
  <c r="H28" i="75" s="1"/>
  <c r="G14" i="75"/>
  <c r="G15" i="75" s="1"/>
  <c r="F14" i="75"/>
  <c r="F15" i="75" s="1"/>
  <c r="E14" i="75"/>
  <c r="E15" i="75" s="1"/>
  <c r="D14" i="75"/>
  <c r="D15" i="75" s="1"/>
  <c r="C14" i="75"/>
  <c r="Z14" i="75"/>
  <c r="Z15" i="75" s="1"/>
  <c r="Y14" i="75"/>
  <c r="Y15" i="75" s="1"/>
  <c r="J15" i="75"/>
  <c r="C15" i="75"/>
  <c r="I15" i="75"/>
  <c r="Q15" i="75"/>
  <c r="T15" i="75"/>
  <c r="C9" i="75"/>
  <c r="D9" i="75"/>
  <c r="E9" i="75"/>
  <c r="F9" i="75"/>
  <c r="G9" i="75"/>
  <c r="H9" i="75"/>
  <c r="I9" i="75"/>
  <c r="J9" i="75"/>
  <c r="K9" i="75"/>
  <c r="L9" i="75"/>
  <c r="M9" i="75"/>
  <c r="N9" i="75"/>
  <c r="O9" i="75"/>
  <c r="P9" i="75"/>
  <c r="Q9" i="75"/>
  <c r="R9" i="75"/>
  <c r="S9" i="75"/>
  <c r="T9" i="75"/>
  <c r="U9" i="75"/>
  <c r="Y9" i="75"/>
  <c r="Z9" i="75"/>
  <c r="C64" i="74"/>
  <c r="D64" i="74"/>
  <c r="E64" i="74"/>
  <c r="F64" i="74"/>
  <c r="G64" i="74"/>
  <c r="H64" i="74"/>
  <c r="I64" i="74"/>
  <c r="J64" i="74"/>
  <c r="K64" i="74"/>
  <c r="L64" i="74"/>
  <c r="M64" i="74"/>
  <c r="N64" i="74"/>
  <c r="O64" i="74"/>
  <c r="P64" i="74"/>
  <c r="Q64" i="74"/>
  <c r="R64" i="74"/>
  <c r="S64" i="74"/>
  <c r="T64" i="74"/>
  <c r="U64" i="74"/>
  <c r="V64" i="74"/>
  <c r="C56" i="74"/>
  <c r="D56" i="74"/>
  <c r="E56" i="74"/>
  <c r="F56" i="74"/>
  <c r="G56" i="74"/>
  <c r="H56" i="74"/>
  <c r="I56" i="74"/>
  <c r="J56" i="74"/>
  <c r="K56" i="74"/>
  <c r="L56" i="74"/>
  <c r="M56" i="74"/>
  <c r="N56" i="74"/>
  <c r="O56" i="74"/>
  <c r="P56" i="74"/>
  <c r="Q56" i="74"/>
  <c r="R56" i="74"/>
  <c r="S56" i="74"/>
  <c r="T56" i="74"/>
  <c r="U56" i="74"/>
  <c r="V56" i="74"/>
  <c r="C47" i="74"/>
  <c r="D47" i="74"/>
  <c r="E47" i="74"/>
  <c r="F47" i="74"/>
  <c r="G47" i="74"/>
  <c r="H47" i="74"/>
  <c r="I47" i="74"/>
  <c r="I65" i="74" s="1"/>
  <c r="J47" i="74"/>
  <c r="K47" i="74"/>
  <c r="L47" i="74"/>
  <c r="M47" i="74"/>
  <c r="N47" i="74"/>
  <c r="O47" i="74"/>
  <c r="P47" i="74"/>
  <c r="Q47" i="74"/>
  <c r="R47" i="74"/>
  <c r="S47" i="74"/>
  <c r="T47" i="74"/>
  <c r="U47" i="74"/>
  <c r="V47" i="74"/>
  <c r="C31" i="74"/>
  <c r="C35" i="74" s="1"/>
  <c r="D31" i="74"/>
  <c r="D35" i="74" s="1"/>
  <c r="E31" i="74"/>
  <c r="E35" i="74" s="1"/>
  <c r="F31" i="74"/>
  <c r="F35" i="74" s="1"/>
  <c r="G31" i="74"/>
  <c r="G35" i="74" s="1"/>
  <c r="H31" i="74"/>
  <c r="H35" i="74" s="1"/>
  <c r="I31" i="74"/>
  <c r="I35" i="74" s="1"/>
  <c r="J31" i="74"/>
  <c r="J35" i="74" s="1"/>
  <c r="K31" i="74"/>
  <c r="K35" i="74" s="1"/>
  <c r="L31" i="74"/>
  <c r="L35" i="74" s="1"/>
  <c r="M31" i="74"/>
  <c r="M35" i="74" s="1"/>
  <c r="N31" i="74"/>
  <c r="N35" i="74" s="1"/>
  <c r="O31" i="74"/>
  <c r="O35" i="74" s="1"/>
  <c r="P31" i="74"/>
  <c r="P35" i="74" s="1"/>
  <c r="Q31" i="74"/>
  <c r="Q35" i="74" s="1"/>
  <c r="R31" i="74"/>
  <c r="R35" i="74" s="1"/>
  <c r="S31" i="74"/>
  <c r="S35" i="74" s="1"/>
  <c r="T31" i="74"/>
  <c r="T35" i="74" s="1"/>
  <c r="U31" i="74"/>
  <c r="U35" i="74" s="1"/>
  <c r="V31" i="74"/>
  <c r="V35" i="74" s="1"/>
  <c r="C20" i="74"/>
  <c r="D20" i="74"/>
  <c r="E20" i="74"/>
  <c r="F20" i="74"/>
  <c r="G20" i="74"/>
  <c r="H20" i="74"/>
  <c r="I20" i="74"/>
  <c r="J20" i="74"/>
  <c r="K20" i="74"/>
  <c r="L20" i="74"/>
  <c r="M20" i="74"/>
  <c r="N20" i="74"/>
  <c r="O20" i="74"/>
  <c r="P20" i="74"/>
  <c r="Q20" i="74"/>
  <c r="R20" i="74"/>
  <c r="S20" i="74"/>
  <c r="T20" i="74"/>
  <c r="U20" i="74"/>
  <c r="V20" i="74"/>
  <c r="N65" i="74" l="1"/>
  <c r="H65" i="74"/>
  <c r="S36" i="74"/>
  <c r="K36" i="74"/>
  <c r="C36" i="74"/>
  <c r="I36" i="74"/>
  <c r="L36" i="74"/>
  <c r="Q36" i="74"/>
  <c r="D36" i="74"/>
  <c r="P36" i="74"/>
  <c r="H36" i="74"/>
  <c r="M36" i="74"/>
  <c r="S16" i="85"/>
  <c r="C119" i="85"/>
  <c r="J34" i="85"/>
  <c r="R34" i="85"/>
  <c r="R44" i="85" s="1"/>
  <c r="D143" i="85"/>
  <c r="C26" i="85"/>
  <c r="C47" i="85" s="1"/>
  <c r="C51" i="85" s="1"/>
  <c r="C135" i="85" s="1"/>
  <c r="C137" i="85" s="1"/>
  <c r="F34" i="85"/>
  <c r="N34" i="85"/>
  <c r="V34" i="85"/>
  <c r="J128" i="85"/>
  <c r="R128" i="85"/>
  <c r="R147" i="85"/>
  <c r="R146" i="85" s="1"/>
  <c r="G34" i="85"/>
  <c r="G44" i="85" s="1"/>
  <c r="O34" i="85"/>
  <c r="O44" i="85" s="1"/>
  <c r="W34" i="85"/>
  <c r="E98" i="85"/>
  <c r="H34" i="85"/>
  <c r="H44" i="85" s="1"/>
  <c r="P34" i="85"/>
  <c r="P44" i="85" s="1"/>
  <c r="X34" i="85"/>
  <c r="H98" i="85"/>
  <c r="D131" i="85"/>
  <c r="F152" i="85"/>
  <c r="R152" i="85"/>
  <c r="I34" i="85"/>
  <c r="I44" i="85" s="1"/>
  <c r="Q34" i="85"/>
  <c r="Q44" i="85" s="1"/>
  <c r="Y34" i="85"/>
  <c r="I98" i="85"/>
  <c r="P152" i="85"/>
  <c r="K34" i="85"/>
  <c r="S34" i="85"/>
  <c r="S44" i="85" s="1"/>
  <c r="C91" i="85"/>
  <c r="C92" i="85" s="1"/>
  <c r="S95" i="85"/>
  <c r="S147" i="85" s="1"/>
  <c r="S146" i="85" s="1"/>
  <c r="M98" i="85"/>
  <c r="X112" i="85"/>
  <c r="X133" i="85" s="1"/>
  <c r="X152" i="85"/>
  <c r="I12" i="85"/>
  <c r="I136" i="85" s="1"/>
  <c r="J144" i="85"/>
  <c r="J142" i="85" s="1"/>
  <c r="J145" i="85" s="1"/>
  <c r="R144" i="85"/>
  <c r="D34" i="85"/>
  <c r="L34" i="85"/>
  <c r="L44" i="85" s="1"/>
  <c r="T34" i="85"/>
  <c r="P98" i="85"/>
  <c r="E34" i="85"/>
  <c r="M34" i="85"/>
  <c r="U34" i="85"/>
  <c r="Q98" i="85"/>
  <c r="AG17" i="82"/>
  <c r="AG19" i="82" s="1"/>
  <c r="AL11" i="82"/>
  <c r="C65" i="74"/>
  <c r="T36" i="74"/>
  <c r="R65" i="74"/>
  <c r="O36" i="74"/>
  <c r="G36" i="74"/>
  <c r="Q65" i="74"/>
  <c r="K65" i="74"/>
  <c r="J65" i="74"/>
  <c r="V36" i="74"/>
  <c r="N36" i="74"/>
  <c r="F36" i="74"/>
  <c r="G65" i="74"/>
  <c r="P65" i="74"/>
  <c r="U36" i="74"/>
  <c r="F65" i="74"/>
  <c r="O65" i="74"/>
  <c r="S65" i="74"/>
  <c r="E36" i="74"/>
  <c r="AF17" i="82"/>
  <c r="AM11" i="82"/>
  <c r="AN11" i="82"/>
  <c r="AO11" i="82"/>
  <c r="J36" i="74"/>
  <c r="U65" i="74"/>
  <c r="M65" i="74"/>
  <c r="E65" i="74"/>
  <c r="R36" i="74"/>
  <c r="V65" i="74"/>
  <c r="T65" i="74"/>
  <c r="L65" i="74"/>
  <c r="D65" i="74"/>
  <c r="N19" i="82"/>
  <c r="J19" i="82"/>
  <c r="AK11" i="82"/>
  <c r="AJ11" i="82"/>
  <c r="AI11" i="82"/>
  <c r="E19" i="82"/>
  <c r="F7" i="82"/>
  <c r="E14" i="80"/>
  <c r="F7" i="80" s="1"/>
  <c r="F14" i="80"/>
  <c r="G7" i="80" s="1"/>
  <c r="G14" i="80"/>
  <c r="H7" i="80" s="1"/>
  <c r="H14" i="80"/>
  <c r="I14" i="80"/>
  <c r="J7" i="80" s="1"/>
  <c r="N7" i="80" s="1"/>
  <c r="N14" i="80" s="1"/>
  <c r="O7" i="80" s="1"/>
  <c r="J14" i="80"/>
  <c r="K7" i="80" s="1"/>
  <c r="K14" i="80" s="1"/>
  <c r="L7" i="80" s="1"/>
  <c r="L14" i="80" s="1"/>
  <c r="M7" i="80" s="1"/>
  <c r="M14" i="80" s="1"/>
  <c r="Q51" i="85"/>
  <c r="Q135" i="85" s="1"/>
  <c r="Q49" i="85"/>
  <c r="Y49" i="85"/>
  <c r="Y51" i="85"/>
  <c r="Y135" i="85" s="1"/>
  <c r="C49" i="85"/>
  <c r="J44" i="85"/>
  <c r="I51" i="85"/>
  <c r="I135" i="85" s="1"/>
  <c r="I137" i="85" s="1"/>
  <c r="I49" i="85"/>
  <c r="K44" i="85"/>
  <c r="D44" i="85"/>
  <c r="M44" i="85"/>
  <c r="Z146" i="85"/>
  <c r="H49" i="85"/>
  <c r="H51" i="85"/>
  <c r="H135" i="85" s="1"/>
  <c r="H137" i="85" s="1"/>
  <c r="P49" i="85"/>
  <c r="P51" i="85"/>
  <c r="P135" i="85" s="1"/>
  <c r="P137" i="85" s="1"/>
  <c r="X49" i="85"/>
  <c r="X51" i="85"/>
  <c r="X135" i="85" s="1"/>
  <c r="K150" i="85"/>
  <c r="K144" i="85"/>
  <c r="G49" i="85"/>
  <c r="R15" i="85"/>
  <c r="D150" i="85"/>
  <c r="D144" i="85"/>
  <c r="L150" i="85"/>
  <c r="L144" i="85"/>
  <c r="T150" i="85"/>
  <c r="T144" i="85"/>
  <c r="X44" i="85"/>
  <c r="D112" i="85"/>
  <c r="G152" i="85"/>
  <c r="Q152" i="85"/>
  <c r="Y152" i="85"/>
  <c r="J150" i="85"/>
  <c r="C15" i="85"/>
  <c r="S15" i="85"/>
  <c r="I143" i="85"/>
  <c r="I112" i="85"/>
  <c r="Q143" i="85"/>
  <c r="Q112" i="85"/>
  <c r="Y143" i="85"/>
  <c r="Y112" i="85"/>
  <c r="E150" i="85"/>
  <c r="E144" i="85"/>
  <c r="M150" i="85"/>
  <c r="M144" i="85"/>
  <c r="U150" i="85"/>
  <c r="U144" i="85"/>
  <c r="Y44" i="85"/>
  <c r="G112" i="85"/>
  <c r="H152" i="85"/>
  <c r="R143" i="85"/>
  <c r="R150" i="85"/>
  <c r="S150" i="85"/>
  <c r="S144" i="85"/>
  <c r="W51" i="85"/>
  <c r="W135" i="85" s="1"/>
  <c r="W49" i="85"/>
  <c r="X111" i="85"/>
  <c r="J112" i="85"/>
  <c r="Z23" i="85"/>
  <c r="F150" i="85"/>
  <c r="F144" i="85"/>
  <c r="N150" i="85"/>
  <c r="N144" i="85"/>
  <c r="V150" i="85"/>
  <c r="V144" i="85"/>
  <c r="N37" i="85"/>
  <c r="N40" i="85" s="1"/>
  <c r="J47" i="85"/>
  <c r="R47" i="85"/>
  <c r="E146" i="85"/>
  <c r="N98" i="85"/>
  <c r="N147" i="85"/>
  <c r="N146" i="85" s="1"/>
  <c r="V98" i="85"/>
  <c r="V147" i="85"/>
  <c r="H112" i="85"/>
  <c r="N152" i="85"/>
  <c r="S152" i="85"/>
  <c r="J130" i="85"/>
  <c r="G137" i="85"/>
  <c r="W137" i="85"/>
  <c r="K112" i="85"/>
  <c r="K143" i="85"/>
  <c r="K142" i="85" s="1"/>
  <c r="K145" i="85" s="1"/>
  <c r="S143" i="85"/>
  <c r="S142" i="85" s="1"/>
  <c r="S145" i="85" s="1"/>
  <c r="G150" i="85"/>
  <c r="G144" i="85"/>
  <c r="G142" i="85" s="1"/>
  <c r="G145" i="85" s="1"/>
  <c r="O150" i="85"/>
  <c r="O144" i="85"/>
  <c r="O142" i="85" s="1"/>
  <c r="O145" i="85" s="1"/>
  <c r="W150" i="85"/>
  <c r="W144" i="85"/>
  <c r="W142" i="85" s="1"/>
  <c r="W145" i="85" s="1"/>
  <c r="K47" i="85"/>
  <c r="S47" i="85"/>
  <c r="F98" i="85"/>
  <c r="F147" i="85"/>
  <c r="F146" i="85" s="1"/>
  <c r="O98" i="85"/>
  <c r="O147" i="85"/>
  <c r="W98" i="85"/>
  <c r="W147" i="85"/>
  <c r="L112" i="85"/>
  <c r="Z128" i="85"/>
  <c r="K152" i="85"/>
  <c r="T152" i="85"/>
  <c r="X137" i="85"/>
  <c r="X138" i="85" s="1"/>
  <c r="W44" i="85"/>
  <c r="D142" i="85"/>
  <c r="D145" i="85" s="1"/>
  <c r="L142" i="85"/>
  <c r="L145" i="85" s="1"/>
  <c r="T112" i="85"/>
  <c r="T143" i="85"/>
  <c r="H150" i="85"/>
  <c r="H144" i="85"/>
  <c r="H142" i="85" s="1"/>
  <c r="H145" i="85" s="1"/>
  <c r="P150" i="85"/>
  <c r="P144" i="85"/>
  <c r="P142" i="85" s="1"/>
  <c r="P145" i="85" s="1"/>
  <c r="X150" i="85"/>
  <c r="X144" i="85"/>
  <c r="X142" i="85" s="1"/>
  <c r="X145" i="85" s="1"/>
  <c r="T44" i="85"/>
  <c r="D47" i="85"/>
  <c r="L47" i="85"/>
  <c r="T47" i="85"/>
  <c r="P146" i="85"/>
  <c r="P151" i="85" s="1"/>
  <c r="P153" i="85" s="1"/>
  <c r="O112" i="85"/>
  <c r="N130" i="85"/>
  <c r="C152" i="85"/>
  <c r="L152" i="85"/>
  <c r="U152" i="85"/>
  <c r="R133" i="85"/>
  <c r="Q137" i="85"/>
  <c r="Y137" i="85"/>
  <c r="J147" i="85"/>
  <c r="J146" i="85" s="1"/>
  <c r="J151" i="85" s="1"/>
  <c r="E112" i="85"/>
  <c r="E143" i="85"/>
  <c r="E142" i="85" s="1"/>
  <c r="E145" i="85" s="1"/>
  <c r="M112" i="85"/>
  <c r="M143" i="85"/>
  <c r="M142" i="85" s="1"/>
  <c r="M145" i="85" s="1"/>
  <c r="U112" i="85"/>
  <c r="U143" i="85"/>
  <c r="U142" i="85" s="1"/>
  <c r="U145" i="85" s="1"/>
  <c r="I150" i="85"/>
  <c r="I144" i="85"/>
  <c r="Q150" i="85"/>
  <c r="Q144" i="85"/>
  <c r="Y150" i="85"/>
  <c r="Y144" i="85"/>
  <c r="Z31" i="85"/>
  <c r="U146" i="85"/>
  <c r="U151" i="85" s="1"/>
  <c r="U153" i="85" s="1"/>
  <c r="E44" i="85"/>
  <c r="U44" i="85"/>
  <c r="E47" i="85"/>
  <c r="M47" i="85"/>
  <c r="U47" i="85"/>
  <c r="H146" i="85"/>
  <c r="H151" i="85" s="1"/>
  <c r="Q146" i="85"/>
  <c r="P112" i="85"/>
  <c r="D152" i="85"/>
  <c r="M152" i="85"/>
  <c r="V152" i="85"/>
  <c r="C150" i="85"/>
  <c r="M146" i="85"/>
  <c r="O51" i="85"/>
  <c r="O135" i="85" s="1"/>
  <c r="O137" i="85" s="1"/>
  <c r="O49" i="85"/>
  <c r="F112" i="85"/>
  <c r="F143" i="85"/>
  <c r="F142" i="85" s="1"/>
  <c r="F145" i="85" s="1"/>
  <c r="N112" i="85"/>
  <c r="N143" i="85"/>
  <c r="N142" i="85" s="1"/>
  <c r="N145" i="85" s="1"/>
  <c r="V112" i="85"/>
  <c r="V143" i="85"/>
  <c r="V142" i="85" s="1"/>
  <c r="V145" i="85" s="1"/>
  <c r="Z26" i="85"/>
  <c r="L146" i="85"/>
  <c r="L151" i="85" s="1"/>
  <c r="F44" i="85"/>
  <c r="N44" i="85"/>
  <c r="V44" i="85"/>
  <c r="F47" i="85"/>
  <c r="N47" i="85"/>
  <c r="V47" i="85"/>
  <c r="I146" i="85"/>
  <c r="C95" i="85"/>
  <c r="C131" i="85" s="1"/>
  <c r="W112" i="85"/>
  <c r="I152" i="85"/>
  <c r="O152" i="85"/>
  <c r="W152" i="85"/>
  <c r="J152" i="85"/>
  <c r="K128" i="85"/>
  <c r="K147" i="85"/>
  <c r="Z98" i="85"/>
  <c r="D128" i="85"/>
  <c r="L128" i="85"/>
  <c r="T128" i="85"/>
  <c r="D147" i="85"/>
  <c r="D146" i="85" s="1"/>
  <c r="D151" i="85" s="1"/>
  <c r="D153" i="85" s="1"/>
  <c r="T147" i="85"/>
  <c r="T146" i="85" s="1"/>
  <c r="T151" i="85" s="1"/>
  <c r="T153" i="85" s="1"/>
  <c r="E128" i="85"/>
  <c r="M128" i="85"/>
  <c r="U128" i="85"/>
  <c r="E152" i="85"/>
  <c r="F128" i="85"/>
  <c r="N128" i="85"/>
  <c r="V128" i="85"/>
  <c r="G128" i="85"/>
  <c r="O128" i="85"/>
  <c r="W128" i="85"/>
  <c r="G147" i="85"/>
  <c r="G146" i="85" s="1"/>
  <c r="G151" i="85" s="1"/>
  <c r="G153" i="85" s="1"/>
  <c r="H128" i="85"/>
  <c r="P128" i="85"/>
  <c r="X128" i="85"/>
  <c r="X147" i="85"/>
  <c r="X146" i="85" s="1"/>
  <c r="I128" i="85"/>
  <c r="Q128" i="85"/>
  <c r="Y128" i="85"/>
  <c r="Y147" i="85"/>
  <c r="Y146" i="85" s="1"/>
  <c r="Y151" i="85" s="1"/>
  <c r="Y153" i="85" s="1"/>
  <c r="AF19" i="82"/>
  <c r="AL17" i="82"/>
  <c r="AL19" i="82" s="1"/>
  <c r="S112" i="85" l="1"/>
  <c r="R142" i="85"/>
  <c r="R145" i="85" s="1"/>
  <c r="C34" i="85"/>
  <c r="C44" i="85" s="1"/>
  <c r="P154" i="85"/>
  <c r="S98" i="85"/>
  <c r="L153" i="85"/>
  <c r="C54" i="85"/>
  <c r="C66" i="85" s="1"/>
  <c r="C67" i="85" s="1"/>
  <c r="H154" i="85"/>
  <c r="M151" i="85"/>
  <c r="H153" i="85"/>
  <c r="F151" i="85"/>
  <c r="F153" i="85" s="1"/>
  <c r="S128" i="85"/>
  <c r="C144" i="85"/>
  <c r="S151" i="85"/>
  <c r="S153" i="85" s="1"/>
  <c r="D154" i="85"/>
  <c r="R151" i="85"/>
  <c r="R153" i="85" s="1"/>
  <c r="C143" i="85"/>
  <c r="Q151" i="85"/>
  <c r="Q153" i="85" s="1"/>
  <c r="M153" i="85"/>
  <c r="N151" i="85"/>
  <c r="N153" i="85" s="1"/>
  <c r="AM7" i="82"/>
  <c r="AM17" i="82" s="1"/>
  <c r="AI7" i="82"/>
  <c r="F17" i="82"/>
  <c r="S7" i="80"/>
  <c r="S14" i="80" s="1"/>
  <c r="O14" i="80"/>
  <c r="P7" i="80" s="1"/>
  <c r="P14" i="80" s="1"/>
  <c r="Q7" i="80" s="1"/>
  <c r="Q14" i="80" s="1"/>
  <c r="R7" i="80" s="1"/>
  <c r="R14" i="80" s="1"/>
  <c r="T7" i="80" s="1"/>
  <c r="T14" i="80" s="1"/>
  <c r="O133" i="85"/>
  <c r="O138" i="85" s="1"/>
  <c r="O111" i="85"/>
  <c r="U154" i="85"/>
  <c r="E151" i="85"/>
  <c r="E153" i="85" s="1"/>
  <c r="Y133" i="85"/>
  <c r="Y138" i="85" s="1"/>
  <c r="Y111" i="85"/>
  <c r="G154" i="85"/>
  <c r="X139" i="85"/>
  <c r="C128" i="85"/>
  <c r="W133" i="85"/>
  <c r="W138" i="85" s="1"/>
  <c r="W139" i="85" s="1"/>
  <c r="W111" i="85"/>
  <c r="C147" i="85"/>
  <c r="C146" i="85" s="1"/>
  <c r="C151" i="85" s="1"/>
  <c r="C153" i="85" s="1"/>
  <c r="Z34" i="85"/>
  <c r="Z44" i="85" s="1"/>
  <c r="U111" i="85"/>
  <c r="U133" i="85"/>
  <c r="T51" i="85"/>
  <c r="T135" i="85" s="1"/>
  <c r="T137" i="85" s="1"/>
  <c r="T49" i="85"/>
  <c r="L133" i="85"/>
  <c r="L111" i="85"/>
  <c r="S51" i="85"/>
  <c r="S135" i="85" s="1"/>
  <c r="S137" i="85" s="1"/>
  <c r="S49" i="85"/>
  <c r="C112" i="85"/>
  <c r="R51" i="85"/>
  <c r="R135" i="85" s="1"/>
  <c r="R137" i="85" s="1"/>
  <c r="R138" i="85" s="1"/>
  <c r="R139" i="85" s="1"/>
  <c r="R49" i="85"/>
  <c r="Y142" i="85"/>
  <c r="Y145" i="85" s="1"/>
  <c r="Y154" i="85" s="1"/>
  <c r="D133" i="85"/>
  <c r="D111" i="85"/>
  <c r="F51" i="85"/>
  <c r="F135" i="85" s="1"/>
  <c r="F137" i="85" s="1"/>
  <c r="F49" i="85"/>
  <c r="X151" i="85"/>
  <c r="X153" i="85" s="1"/>
  <c r="C98" i="85"/>
  <c r="N111" i="85"/>
  <c r="N133" i="85"/>
  <c r="U49" i="85"/>
  <c r="U51" i="85"/>
  <c r="U135" i="85" s="1"/>
  <c r="U137" i="85" s="1"/>
  <c r="M154" i="85"/>
  <c r="L51" i="85"/>
  <c r="L135" i="85" s="1"/>
  <c r="L137" i="85" s="1"/>
  <c r="L49" i="85"/>
  <c r="W146" i="85"/>
  <c r="W151" i="85" s="1"/>
  <c r="W153" i="85" s="1"/>
  <c r="K51" i="85"/>
  <c r="K135" i="85" s="1"/>
  <c r="K137" i="85" s="1"/>
  <c r="K49" i="85"/>
  <c r="J51" i="85"/>
  <c r="J135" i="85" s="1"/>
  <c r="J137" i="85" s="1"/>
  <c r="J49" i="85"/>
  <c r="Q133" i="85"/>
  <c r="Q138" i="85" s="1"/>
  <c r="Q139" i="85" s="1"/>
  <c r="Q111" i="85"/>
  <c r="F154" i="85"/>
  <c r="M49" i="85"/>
  <c r="M51" i="85"/>
  <c r="M135" i="85" s="1"/>
  <c r="M137" i="85" s="1"/>
  <c r="M111" i="85"/>
  <c r="M133" i="85"/>
  <c r="D51" i="85"/>
  <c r="D135" i="85" s="1"/>
  <c r="D137" i="85" s="1"/>
  <c r="D49" i="85"/>
  <c r="H133" i="85"/>
  <c r="H138" i="85" s="1"/>
  <c r="H139" i="85" s="1"/>
  <c r="H111" i="85"/>
  <c r="Q142" i="85"/>
  <c r="Q145" i="85" s="1"/>
  <c r="I151" i="85"/>
  <c r="I153" i="85" s="1"/>
  <c r="F111" i="85"/>
  <c r="F133" i="85"/>
  <c r="F138" i="85" s="1"/>
  <c r="F139" i="85" s="1"/>
  <c r="E49" i="85"/>
  <c r="E51" i="85"/>
  <c r="E135" i="85" s="1"/>
  <c r="E137" i="85" s="1"/>
  <c r="T142" i="85"/>
  <c r="T145" i="85" s="1"/>
  <c r="T154" i="85" s="1"/>
  <c r="S111" i="85"/>
  <c r="S133" i="85"/>
  <c r="V146" i="85"/>
  <c r="V151" i="85" s="1"/>
  <c r="V153" i="85" s="1"/>
  <c r="G133" i="85"/>
  <c r="G138" i="85" s="1"/>
  <c r="G139" i="85" s="1"/>
  <c r="G111" i="85"/>
  <c r="I133" i="85"/>
  <c r="I138" i="85" s="1"/>
  <c r="I139" i="85" s="1"/>
  <c r="I111" i="85"/>
  <c r="Y139" i="85"/>
  <c r="V51" i="85"/>
  <c r="V135" i="85" s="1"/>
  <c r="V137" i="85" s="1"/>
  <c r="V49" i="85"/>
  <c r="E111" i="85"/>
  <c r="E133" i="85"/>
  <c r="T133" i="85"/>
  <c r="T138" i="85" s="1"/>
  <c r="T139" i="85" s="1"/>
  <c r="T111" i="85"/>
  <c r="O146" i="85"/>
  <c r="O151" i="85" s="1"/>
  <c r="O153" i="85" s="1"/>
  <c r="Z112" i="85"/>
  <c r="Z143" i="85"/>
  <c r="I142" i="85"/>
  <c r="I145" i="85" s="1"/>
  <c r="I154" i="85" s="1"/>
  <c r="J154" i="85"/>
  <c r="V154" i="85"/>
  <c r="V111" i="85"/>
  <c r="V133" i="85"/>
  <c r="O139" i="85"/>
  <c r="K146" i="85"/>
  <c r="K151" i="85" s="1"/>
  <c r="K153" i="85" s="1"/>
  <c r="N51" i="85"/>
  <c r="N135" i="85" s="1"/>
  <c r="N137" i="85" s="1"/>
  <c r="N49" i="85"/>
  <c r="Z144" i="85"/>
  <c r="Z150" i="85"/>
  <c r="Z151" i="85" s="1"/>
  <c r="Z153" i="85" s="1"/>
  <c r="Z47" i="85"/>
  <c r="P133" i="85"/>
  <c r="P138" i="85" s="1"/>
  <c r="P139" i="85" s="1"/>
  <c r="P111" i="85"/>
  <c r="J153" i="85"/>
  <c r="L154" i="85"/>
  <c r="K111" i="85"/>
  <c r="K133" i="85"/>
  <c r="J111" i="85"/>
  <c r="J133" i="85"/>
  <c r="J138" i="85" s="1"/>
  <c r="J139" i="85" s="1"/>
  <c r="R154" i="85"/>
  <c r="S154" i="85" l="1"/>
  <c r="S138" i="85"/>
  <c r="S139" i="85" s="1"/>
  <c r="C142" i="85"/>
  <c r="C145" i="85" s="1"/>
  <c r="C154" i="85" s="1"/>
  <c r="E154" i="85"/>
  <c r="D138" i="85"/>
  <c r="D139" i="85" s="1"/>
  <c r="K138" i="85"/>
  <c r="K139" i="85" s="1"/>
  <c r="Z142" i="85"/>
  <c r="Z145" i="85" s="1"/>
  <c r="Z154" i="85" s="1"/>
  <c r="Q154" i="85"/>
  <c r="N154" i="85"/>
  <c r="K19" i="82"/>
  <c r="L7" i="82"/>
  <c r="F19" i="82"/>
  <c r="G7" i="82"/>
  <c r="AI17" i="82"/>
  <c r="AI19" i="82" s="1"/>
  <c r="L138" i="85"/>
  <c r="L139" i="85" s="1"/>
  <c r="U138" i="85"/>
  <c r="U139" i="85" s="1"/>
  <c r="V138" i="85"/>
  <c r="V139" i="85" s="1"/>
  <c r="K154" i="85"/>
  <c r="N138" i="85"/>
  <c r="N139" i="85" s="1"/>
  <c r="C111" i="85"/>
  <c r="C133" i="85"/>
  <c r="C138" i="85" s="1"/>
  <c r="C139" i="85" s="1"/>
  <c r="X154" i="85"/>
  <c r="Z51" i="85"/>
  <c r="Z135" i="85" s="1"/>
  <c r="Z137" i="85" s="1"/>
  <c r="Z49" i="85"/>
  <c r="O154" i="85"/>
  <c r="E138" i="85"/>
  <c r="E139" i="85" s="1"/>
  <c r="Z111" i="85"/>
  <c r="Z133" i="85"/>
  <c r="M138" i="85"/>
  <c r="M139" i="85" s="1"/>
  <c r="W154" i="85"/>
  <c r="AM19" i="82"/>
  <c r="Z138" i="85" l="1"/>
  <c r="Z139" i="85" s="1"/>
  <c r="AN7" i="82"/>
  <c r="L17" i="82"/>
  <c r="G17" i="82"/>
  <c r="G19" i="82" s="1"/>
  <c r="AJ7" i="82"/>
  <c r="AJ17" i="82" s="1"/>
  <c r="AJ19" i="82" s="1"/>
  <c r="L19" i="82" l="1"/>
  <c r="M7" i="82"/>
  <c r="AN17" i="82"/>
  <c r="AN19" i="82" s="1"/>
  <c r="H7" i="82"/>
  <c r="AM5" i="76"/>
  <c r="AO7" i="82" l="1"/>
  <c r="M17" i="82"/>
  <c r="H17" i="82"/>
  <c r="AK7" i="82"/>
  <c r="AI5" i="76"/>
  <c r="M19" i="82" l="1"/>
  <c r="O7" i="82"/>
  <c r="AO17" i="82"/>
  <c r="AO19" i="82" s="1"/>
  <c r="H19" i="82"/>
  <c r="AK17" i="82"/>
  <c r="AK19" i="82" s="1"/>
  <c r="S7" i="82" l="1"/>
  <c r="O17" i="82"/>
  <c r="S17" i="82" l="1"/>
  <c r="AP7" i="82"/>
  <c r="AP17" i="82" s="1"/>
  <c r="AP19" i="82" s="1"/>
  <c r="O19" i="82"/>
  <c r="P7" i="82"/>
  <c r="AQ7" i="82" l="1"/>
  <c r="P17" i="82"/>
  <c r="T7" i="82"/>
  <c r="S19" i="82"/>
  <c r="AT7" i="82" l="1"/>
  <c r="T17" i="82"/>
  <c r="X7" i="82"/>
  <c r="P19" i="82"/>
  <c r="Q7" i="82"/>
  <c r="U7" i="82" l="1"/>
  <c r="T19" i="82"/>
  <c r="AR7" i="82"/>
  <c r="Q17" i="82"/>
  <c r="Q19" i="82" l="1"/>
  <c r="R7" i="82"/>
  <c r="AU7" i="82"/>
  <c r="U17" i="82"/>
  <c r="AS7" i="82" l="1"/>
  <c r="U19" i="82"/>
  <c r="V7" i="82"/>
  <c r="AV7" i="82" l="1"/>
  <c r="AA30" i="75" l="1"/>
  <c r="AA25" i="75"/>
  <c r="AA28" i="75"/>
  <c r="AR10" i="82" l="1"/>
  <c r="AQ10" i="82"/>
  <c r="R11" i="82"/>
  <c r="R17" i="82"/>
  <c r="R19" i="82" s="1"/>
  <c r="AU10" i="82"/>
  <c r="AV10" i="82"/>
  <c r="AS10" i="82"/>
  <c r="AQ11" i="82" l="1"/>
  <c r="AQ17" i="82"/>
  <c r="AQ19" i="82" s="1"/>
  <c r="AR11" i="82"/>
  <c r="AR17" i="82"/>
  <c r="AR19" i="82" s="1"/>
  <c r="AT10" i="82" l="1"/>
  <c r="AT17" i="82" s="1"/>
  <c r="AT19" i="82" s="1"/>
  <c r="X17" i="82"/>
  <c r="X11" i="82"/>
  <c r="AT11" i="82" s="1"/>
  <c r="AU13" i="82" l="1"/>
  <c r="AV13" i="82"/>
  <c r="AS13" i="82"/>
  <c r="X19" i="82"/>
  <c r="Y7" i="82"/>
  <c r="Y17" i="82" s="1"/>
  <c r="Y19" i="82" l="1"/>
  <c r="Z7" i="82"/>
  <c r="Z17" i="82" s="1"/>
  <c r="Z19" i="82" s="1"/>
  <c r="AU12" i="82"/>
  <c r="AV12" i="82"/>
  <c r="AS12" i="82"/>
  <c r="AU9" i="82"/>
  <c r="AV9" i="82"/>
  <c r="AS9" i="82"/>
  <c r="V11" i="82"/>
  <c r="AS11" i="82" l="1"/>
  <c r="AV11" i="82"/>
  <c r="AU15" i="82" l="1"/>
  <c r="AU17" i="82" s="1"/>
  <c r="AU19" i="82" s="1"/>
  <c r="AV15" i="82"/>
  <c r="AV17" i="82" s="1"/>
  <c r="AV19" i="82" s="1"/>
  <c r="AS15" i="82"/>
  <c r="AS17" i="82" s="1"/>
  <c r="AS19" i="82" s="1"/>
  <c r="V17" i="82"/>
  <c r="W7" i="82" l="1"/>
  <c r="W17" i="82" s="1"/>
  <c r="W19" i="82" s="1"/>
  <c r="V19" i="82"/>
</calcChain>
</file>

<file path=xl/sharedStrings.xml><?xml version="1.0" encoding="utf-8"?>
<sst xmlns="http://schemas.openxmlformats.org/spreadsheetml/2006/main" count="590" uniqueCount="391">
  <si>
    <t>6M20</t>
  </si>
  <si>
    <t>6M21</t>
  </si>
  <si>
    <t>EBITDA (LTM)</t>
  </si>
  <si>
    <t>EBITDA</t>
  </si>
  <si>
    <t>12M20</t>
  </si>
  <si>
    <t>9M20</t>
  </si>
  <si>
    <t>EBIT</t>
  </si>
  <si>
    <t>Total DDGs (tons)</t>
  </si>
  <si>
    <t>Capex</t>
  </si>
  <si>
    <t>12M19</t>
  </si>
  <si>
    <t>9M21</t>
  </si>
  <si>
    <t>CFO</t>
  </si>
  <si>
    <t>FY20</t>
  </si>
  <si>
    <t>FY21</t>
  </si>
  <si>
    <t>FY19</t>
  </si>
  <si>
    <t>12M21¹</t>
  </si>
  <si>
    <t>FY21
vs FY20</t>
  </si>
  <si>
    <t>FY20
vs FY19</t>
  </si>
  <si>
    <t>FY18</t>
  </si>
  <si>
    <t>12M18</t>
  </si>
  <si>
    <t xml:space="preserve"> </t>
  </si>
  <si>
    <t>Balanço Patrimonial</t>
  </si>
  <si>
    <t>(em milhares de R$)</t>
  </si>
  <si>
    <t>1T20</t>
  </si>
  <si>
    <t>2T20</t>
  </si>
  <si>
    <t>3T20</t>
  </si>
  <si>
    <t>1T21</t>
  </si>
  <si>
    <t>2T21</t>
  </si>
  <si>
    <t>3T21</t>
  </si>
  <si>
    <t>1T22</t>
  </si>
  <si>
    <t>Caixa e equivalentes de caixa</t>
  </si>
  <si>
    <t>Aplicações financeiras</t>
  </si>
  <si>
    <t>Clientes e outros recebíveis</t>
  </si>
  <si>
    <t>Estoques</t>
  </si>
  <si>
    <t xml:space="preserve">Adiantamentos a fornecedores </t>
  </si>
  <si>
    <t>Imposto de renda e contribuição social</t>
  </si>
  <si>
    <t>Despesas antecipadas</t>
  </si>
  <si>
    <t>Ativo biológico</t>
  </si>
  <si>
    <t>Outros créditos</t>
  </si>
  <si>
    <t>Ativo circulante</t>
  </si>
  <si>
    <t>Ativo fiscal diferido</t>
  </si>
  <si>
    <t>Depósitos judiciais</t>
  </si>
  <si>
    <t>Total do realizável ao longo prazo</t>
  </si>
  <si>
    <t>Investimentos</t>
  </si>
  <si>
    <t>Imobilizado</t>
  </si>
  <si>
    <t>Intangível</t>
  </si>
  <si>
    <t>Ativo não circulante</t>
  </si>
  <si>
    <t>Ativo</t>
  </si>
  <si>
    <t>Fornecedores</t>
  </si>
  <si>
    <t>Empréstimos</t>
  </si>
  <si>
    <t>Adiantamentos de clientes</t>
  </si>
  <si>
    <t>Obrigações com arrendamento</t>
  </si>
  <si>
    <t>Impostos e contribuições a recolher</t>
  </si>
  <si>
    <t>Ordenados e salários a pagar</t>
  </si>
  <si>
    <t>Passivo circulante</t>
  </si>
  <si>
    <t>Empréstimo de partes relacionadas</t>
  </si>
  <si>
    <t>Passivo fiscal diferido</t>
  </si>
  <si>
    <t>Passivo não circulante</t>
  </si>
  <si>
    <t>Capital social</t>
  </si>
  <si>
    <t>Reserva de capital</t>
  </si>
  <si>
    <t>Reserva de incentivo fiscal</t>
  </si>
  <si>
    <t>Lucro ou perda e outro rendimento abrangente</t>
  </si>
  <si>
    <t>Patrimônio líquido</t>
  </si>
  <si>
    <t>Passivo + Patrimônio líquido</t>
  </si>
  <si>
    <t>Demonstração dos Resultados</t>
  </si>
  <si>
    <t>Receita operacional líquida</t>
  </si>
  <si>
    <t>Custo do produto vendido</t>
  </si>
  <si>
    <t>Lucro bruto</t>
  </si>
  <si>
    <t>margem bruta</t>
  </si>
  <si>
    <t xml:space="preserve"> Despesas com vendas</t>
  </si>
  <si>
    <t xml:space="preserve"> Despesas administrativas e gerais </t>
  </si>
  <si>
    <t>Outras receitas (despesas) liquidas</t>
  </si>
  <si>
    <t>Despesas operacionais</t>
  </si>
  <si>
    <t>Resultado antes das receitas (despesas) financeiras líquidas e impostos</t>
  </si>
  <si>
    <t>Receitas financeiras</t>
  </si>
  <si>
    <t>Despesas financeiras</t>
  </si>
  <si>
    <t>Variação cambial líquida</t>
  </si>
  <si>
    <t>Receitas (despesas) financeiras liquidas</t>
  </si>
  <si>
    <t>Resultado do exercício antes do impostos</t>
  </si>
  <si>
    <t>Imposto de renda e contribuição social corrente</t>
  </si>
  <si>
    <t>Imposto de renda e contribuição social diferidos</t>
  </si>
  <si>
    <t>Incentivos fiscais de Imposto de renda</t>
  </si>
  <si>
    <t>Resultado do exercício</t>
  </si>
  <si>
    <t>margem líquida</t>
  </si>
  <si>
    <t>margem ebit</t>
  </si>
  <si>
    <t>margem ebitda</t>
  </si>
  <si>
    <t>4T20</t>
  </si>
  <si>
    <t>4T21</t>
  </si>
  <si>
    <t>Demonstração do Fluxo de Caixa</t>
  </si>
  <si>
    <t>Ajuste para:</t>
  </si>
  <si>
    <t>Variações em capital de giro:</t>
  </si>
  <si>
    <t>Juros e encargos pagos sobre empréstimos capitalizados</t>
  </si>
  <si>
    <t>Fluxo da Dívida Líquida</t>
  </si>
  <si>
    <t>Dívida Líquida Inicial</t>
  </si>
  <si>
    <t>Imposto de Renda pago</t>
  </si>
  <si>
    <t>Capex pago</t>
  </si>
  <si>
    <t>Dívida Líquida Final</t>
  </si>
  <si>
    <t>Variação da dívida líquida</t>
  </si>
  <si>
    <t>1T21 LTM¹</t>
  </si>
  <si>
    <t>2T21 LTM¹</t>
  </si>
  <si>
    <t>3T21 LTM¹</t>
  </si>
  <si>
    <t>Endividamento</t>
  </si>
  <si>
    <t>Dívida líquida</t>
  </si>
  <si>
    <t>Dívida líquida / EBITDA (LTM)</t>
  </si>
  <si>
    <t>Perfil do endividamento</t>
  </si>
  <si>
    <t xml:space="preserve"> Dívida de curto prazo</t>
  </si>
  <si>
    <t xml:space="preserve"> Dívida de longo prazo</t>
  </si>
  <si>
    <t>Curto prazo (%)</t>
  </si>
  <si>
    <t>Longo prazo (%)</t>
  </si>
  <si>
    <t>Projeto de financiamento</t>
  </si>
  <si>
    <t>Dívida de capital de giro</t>
  </si>
  <si>
    <t>Projeto de financiamento (%)</t>
  </si>
  <si>
    <t>Dívida de capital de giro (%)</t>
  </si>
  <si>
    <t>Moeda estrangeira</t>
  </si>
  <si>
    <t>Moeda nacional</t>
  </si>
  <si>
    <t>Moeda estrangeira (%)</t>
  </si>
  <si>
    <t>Moeda nacional (%)</t>
  </si>
  <si>
    <t>3T21 ¹</t>
  </si>
  <si>
    <t>Dados Operacionais</t>
  </si>
  <si>
    <t>Produção</t>
  </si>
  <si>
    <t>Rendimento (Ltr/ton)</t>
  </si>
  <si>
    <t>Milho moído (tons)</t>
  </si>
  <si>
    <t>Biomassa processada (m3)</t>
  </si>
  <si>
    <t>% volume anidro produzido</t>
  </si>
  <si>
    <t>DDGs produzidos (tons)</t>
  </si>
  <si>
    <t>DDG Alta proteina (tons)</t>
  </si>
  <si>
    <t>DDG Alta fibra (tons)</t>
  </si>
  <si>
    <t>Úmido (tons)</t>
  </si>
  <si>
    <t>Óleo de milho produzido (tons)</t>
  </si>
  <si>
    <t>Segmento - Etanol</t>
  </si>
  <si>
    <t>Etanol anidro</t>
  </si>
  <si>
    <t>Etanol hidratado</t>
  </si>
  <si>
    <t>DDG Alta proteína</t>
  </si>
  <si>
    <t>DDG Alta fibra</t>
  </si>
  <si>
    <t>Úmido</t>
  </si>
  <si>
    <t>Óleo de milho</t>
  </si>
  <si>
    <t>Segmento - Cogeração de energia</t>
  </si>
  <si>
    <t>Vapor</t>
  </si>
  <si>
    <t>Volumes vendidos</t>
  </si>
  <si>
    <t>Etanol Vendido (m3)</t>
  </si>
  <si>
    <t>Etanol Vendido anidro (m3)</t>
  </si>
  <si>
    <t>Etanol Vendido hidratado (m3)</t>
  </si>
  <si>
    <t>% volume de anidro vendido</t>
  </si>
  <si>
    <t>Nutrição animal</t>
  </si>
  <si>
    <t>DDG Alta proteína (tons)</t>
  </si>
  <si>
    <t>Óleo de milho (tons)</t>
  </si>
  <si>
    <t>Cogeração de energia (MWh)</t>
  </si>
  <si>
    <t>Preços praticados</t>
  </si>
  <si>
    <t>ESALQ Hidratado SP (R$/ltr)</t>
  </si>
  <si>
    <t>Basis (R$/ltr)</t>
  </si>
  <si>
    <t>Etanol Vendido (R$/ltr)</t>
  </si>
  <si>
    <t>Etanol Vendido anidro (R$/ltr)</t>
  </si>
  <si>
    <t>Etanol Vendido hidratado (R$/ltr)</t>
  </si>
  <si>
    <t>DDG Alta proteína (R$/tons)</t>
  </si>
  <si>
    <t>DDG Alta fibra (R$/tons)</t>
  </si>
  <si>
    <t>Úmido (R$/tons)</t>
  </si>
  <si>
    <t>Óleo de milho (R$/tons)</t>
  </si>
  <si>
    <t>Cogeração de energia (R$/MWh)</t>
  </si>
  <si>
    <t>Segmento outros - Comercialização de milho (R$/sac)</t>
  </si>
  <si>
    <t xml:space="preserve"> Custo de consumo do milho (R$ por saca)</t>
  </si>
  <si>
    <t xml:space="preserve"> Custo do consumo da biomassa (R$ por m³)</t>
  </si>
  <si>
    <t>Custo de comercialização do milho (R$/sac)</t>
  </si>
  <si>
    <t>Destaques Financeiros</t>
  </si>
  <si>
    <t>EBITDA (R$/ltr)</t>
  </si>
  <si>
    <t>Capex de manutenção</t>
  </si>
  <si>
    <t>EBITDA menos capex de manutenção</t>
  </si>
  <si>
    <t>EBITDA menos capex de manutenção (R$/ltr)</t>
  </si>
  <si>
    <t>Etanol vendido(R$/ltr) (a)</t>
  </si>
  <si>
    <t>Taxa de cobertura de nutrição animal (%)</t>
  </si>
  <si>
    <t xml:space="preserve"> Custo do milho (R$/sac)</t>
  </si>
  <si>
    <t>Spread de esmagamento (R$/ltr) (c) = (a-b)</t>
  </si>
  <si>
    <t>1T21 ¹</t>
  </si>
  <si>
    <t>2T21 ¹</t>
  </si>
  <si>
    <t>4T21 ¹</t>
  </si>
  <si>
    <t>Capex para crescimento ² (b)</t>
  </si>
  <si>
    <t>Capex de manutenção ³ (c)</t>
  </si>
  <si>
    <t>¹ Inclui aquisições, transferências e baixas</t>
  </si>
  <si>
    <t>² Capex de crescimento é calculado como a soma das adições, aquisições, alienações e transferências das seguintes rubricas na nota às demonstrações financeiras intitulada “Imobilizado”: Terreno, Obras em andamento, Adiantamento a fornecedores, Direito de uso, Planta de suporte, construção, máquinas e equipamentos e instalações.</t>
  </si>
  <si>
    <t>³ O Capex de Manutenção é calculado como a soma das adições, aquisições, alienações e transferências das seguintes rubricas na nota às demonstrações financeiras intitulada “Imobilizado”: Edifícios, Máquinas e equipamentos, Móveis e computadores, Veículos, e Instalações.</t>
  </si>
  <si>
    <t>Dividendos pagos / Distribuição tributária</t>
  </si>
  <si>
    <t>1T22 LTM</t>
  </si>
  <si>
    <t>Fluxo de caixa das atividades de financiamentos</t>
  </si>
  <si>
    <t>2T22</t>
  </si>
  <si>
    <t>6M22</t>
  </si>
  <si>
    <t>2T22 LTM</t>
  </si>
  <si>
    <t>3T22</t>
  </si>
  <si>
    <t>9M22</t>
  </si>
  <si>
    <t>3T22 LTM</t>
  </si>
  <si>
    <t>Caixa restrito - longo prazo</t>
  </si>
  <si>
    <t>Dividendos a pagar</t>
  </si>
  <si>
    <t>Ganhos acumulados / (perdas)</t>
  </si>
  <si>
    <t>Outros resultados abrangentes</t>
  </si>
  <si>
    <t>Empréstimos partes relacionadas</t>
  </si>
  <si>
    <t>Capital de Giro</t>
  </si>
  <si>
    <t>Provisão de juros</t>
  </si>
  <si>
    <t>Variação Cambial da dívida, derivativos e outros</t>
  </si>
  <si>
    <t>¹ No 1T21, 2T21, 3T21 e 4T21 houve alteração do critério de alocação entre a linha “Capital de Giro” e a linha “Variação Cambial da dívida e derivativos”.</t>
  </si>
  <si>
    <t xml:space="preserve">FY18 </t>
  </si>
  <si>
    <t xml:space="preserve">FY19 </t>
  </si>
  <si>
    <t xml:space="preserve">1T20 </t>
  </si>
  <si>
    <t>FY22</t>
  </si>
  <si>
    <t>4T22</t>
  </si>
  <si>
    <t>FY22
vs FY21</t>
  </si>
  <si>
    <t>12M22</t>
  </si>
  <si>
    <t>1T23</t>
  </si>
  <si>
    <t>A FS Indústria de Biocombustíveis Ltda. ("FS Ltda") e and FS I Indústria de Etanol S.A. 
(“FS S.A.”) (combinadas como ”Empresa”, ou “FS”) anunciam seus resultados consolidados</t>
  </si>
  <si>
    <t>1T23 LTM</t>
  </si>
  <si>
    <t>2T23</t>
  </si>
  <si>
    <t>6M23</t>
  </si>
  <si>
    <t>2T23 LTM</t>
  </si>
  <si>
    <t>Capex ativo biológico (d)</t>
  </si>
  <si>
    <t>Resultado na venda de ativos</t>
  </si>
  <si>
    <t>Anidro Total produzido (m³)</t>
  </si>
  <si>
    <t>Etanol produzido (m³)</t>
  </si>
  <si>
    <t>Anidro Produzido (m³)</t>
  </si>
  <si>
    <t>Hidratado Produzido (m³)</t>
  </si>
  <si>
    <t>Resultado com revenda de milho (b)</t>
  </si>
  <si>
    <t xml:space="preserve">Custo de produção - milho (d) </t>
  </si>
  <si>
    <t>Custo de Produção de Etanol de Milho</t>
  </si>
  <si>
    <t>Custo total líquido (a)</t>
  </si>
  <si>
    <t>Investimento em ativo fixo para manutenção (d)</t>
  </si>
  <si>
    <t>Custo de produção de etanol de milho (e) = (c + d)</t>
  </si>
  <si>
    <t xml:space="preserve">EBITDA menos investimento em ativo fixo para manutenção </t>
  </si>
  <si>
    <t>Receita líquida³</t>
  </si>
  <si>
    <t>Etanol³</t>
  </si>
  <si>
    <t>Nutrição Animal e outros segmentos ³,6</t>
  </si>
  <si>
    <t>Receita líquida ex-nutrição animal e outros segmentos 6</t>
  </si>
  <si>
    <t>Custo de produção vendida ³</t>
  </si>
  <si>
    <t>Despesas comerciais, administrativas e gerais 4</t>
  </si>
  <si>
    <t>Depreciação e amortização 5</t>
  </si>
  <si>
    <t>Rec. Líq. nutri. animal e outros segmentos (b) 6</t>
  </si>
  <si>
    <t>Custos e despesas líq. de nutri. animal e outros (c) = (a + b) 6</t>
  </si>
  <si>
    <t>Caixa total 3,5,6</t>
  </si>
  <si>
    <t>Dívida bruta</t>
  </si>
  <si>
    <t>Senior Secured Green Notes (Bond) e CPRF 1,2,3</t>
  </si>
  <si>
    <t>Certificado de recebíveis do agronegócio (CRA) e imobiliários (CRI)</t>
  </si>
  <si>
    <r>
      <t>6</t>
    </r>
    <r>
      <rPr>
        <sz val="7"/>
        <color rgb="FF5C6062"/>
        <rFont val="Montserrat"/>
      </rPr>
      <t xml:space="preserve"> Inclui caixa e equivalentes de caixa, aplicações financeiras e caixa restrito (curto e longo prazo).</t>
    </r>
  </si>
  <si>
    <r>
      <t>4</t>
    </r>
    <r>
      <rPr>
        <sz val="7"/>
        <color rgb="FF5C6062"/>
        <rFont val="Montserrat"/>
      </rPr>
      <t xml:space="preserve"> Emissão de R$ 1,5 bilhão de CPRF (Cédula de Produtor Rural Financeira) pela FS, referente operação de back-to-back para transferência de ativos da FS LTDA para FS S.A.</t>
    </r>
  </si>
  <si>
    <t>3T23</t>
  </si>
  <si>
    <t>3T23 LTM</t>
  </si>
  <si>
    <t>9M23</t>
  </si>
  <si>
    <t>Investimento líquido do controlador</t>
  </si>
  <si>
    <t xml:space="preserve">Depreciação (f) </t>
  </si>
  <si>
    <t>4T23</t>
  </si>
  <si>
    <t>FY23</t>
  </si>
  <si>
    <t>FY23
vs FY22</t>
  </si>
  <si>
    <t>12M23</t>
  </si>
  <si>
    <t>Contas a receber com partes relacionadas</t>
  </si>
  <si>
    <t>Recebimentos pela alienação de ativos</t>
  </si>
  <si>
    <t>Variações em capital de giro</t>
  </si>
  <si>
    <t>1T24</t>
  </si>
  <si>
    <t>1T24 LTM</t>
  </si>
  <si>
    <t xml:space="preserve">Depreciação e amortização </t>
  </si>
  <si>
    <t>Rendimento de aplicações financeiras e caixa restrito</t>
  </si>
  <si>
    <t>Ajuste a valor presente</t>
  </si>
  <si>
    <t>Ajuste a valor justo de ativo biológico</t>
  </si>
  <si>
    <t xml:space="preserve">Clientes e outros recebíveis </t>
  </si>
  <si>
    <t xml:space="preserve">Impostos a recuperar </t>
  </si>
  <si>
    <t xml:space="preserve">Adiantamento de clientes </t>
  </si>
  <si>
    <t xml:space="preserve">Ordenados e salários a pagar </t>
  </si>
  <si>
    <t xml:space="preserve">Impostos e contribuições a recolher </t>
  </si>
  <si>
    <t xml:space="preserve">Outras contas a pagar </t>
  </si>
  <si>
    <t xml:space="preserve">Imposto de renda e contribuição social pagos </t>
  </si>
  <si>
    <t>Empréstimos com partes relacionadas</t>
  </si>
  <si>
    <t xml:space="preserve">Estoques </t>
  </si>
  <si>
    <t>Aquisições de ativo imobilizado e intangível</t>
  </si>
  <si>
    <t xml:space="preserve">Ativos biológicos </t>
  </si>
  <si>
    <t xml:space="preserve">Investimentos em controladas </t>
  </si>
  <si>
    <t>Custo de empréstimos (custos de transação e prêmios)</t>
  </si>
  <si>
    <t>Diferenças cambiais sobre conversão de empréstimos estrangeiros</t>
  </si>
  <si>
    <t>Aumento do capital</t>
  </si>
  <si>
    <t xml:space="preserve">Fluxo de caixa proveniente das atividades de financiamentos (c) </t>
  </si>
  <si>
    <t>Efeito de variação cambial sobre caixa e equivalentes de caixa</t>
  </si>
  <si>
    <t xml:space="preserve">Aumento em caixa e equivalentes de caixa (d) = (a) + (b) + (c) </t>
  </si>
  <si>
    <t xml:space="preserve">Caixa e equivalentes de caixa no início do período </t>
  </si>
  <si>
    <t xml:space="preserve">Caixa e equivalentes de caixa no final do período </t>
  </si>
  <si>
    <t>Total de receita por segmento industrial</t>
  </si>
  <si>
    <t>Total de receita por segmento de comercialização</t>
  </si>
  <si>
    <t>Receita por segmento industrial</t>
  </si>
  <si>
    <t>Receita por segmento de comercialização</t>
  </si>
  <si>
    <t>Revenda de milho</t>
  </si>
  <si>
    <t>Revenda de energia</t>
  </si>
  <si>
    <t xml:space="preserve">Total de receita por segmento¹ </t>
  </si>
  <si>
    <t xml:space="preserve">Receita líquida </t>
  </si>
  <si>
    <t>Segmento - Nutrição animal</t>
  </si>
  <si>
    <t xml:space="preserve">Segmento nutrição animal (a) </t>
  </si>
  <si>
    <t>Nutrição animal + Revenda de milho (c = a + b)</t>
  </si>
  <si>
    <t>Nutrição animal + Revenda de milho taxa de cobertura vs custo de produção</t>
  </si>
  <si>
    <t>Custo do produto industrial vendido</t>
  </si>
  <si>
    <t>Receita líquida do segmento industrial (a)</t>
  </si>
  <si>
    <t xml:space="preserve">Custos variáveis (b) </t>
  </si>
  <si>
    <t xml:space="preserve"> Milho moído</t>
  </si>
  <si>
    <t xml:space="preserve"> Biomassa </t>
  </si>
  <si>
    <t xml:space="preserve"> Químicos e enzimas </t>
  </si>
  <si>
    <t xml:space="preserve">Custos fixos (c) </t>
  </si>
  <si>
    <t xml:space="preserve"> Manutenção </t>
  </si>
  <si>
    <t xml:space="preserve"> Pessoal </t>
  </si>
  <si>
    <t xml:space="preserve"> Depreciação </t>
  </si>
  <si>
    <t xml:space="preserve"> Outros custos operacionais </t>
  </si>
  <si>
    <t xml:space="preserve">Custo do produto industrial vendido (d) = (b) + (c) </t>
  </si>
  <si>
    <t>Lucro bruto do segmento industrial (e) = (a) + (d)</t>
  </si>
  <si>
    <t>Margem bruta do segmento industrial (f) = (e) / (a)</t>
  </si>
  <si>
    <t xml:space="preserve">Custo do milho consumo – em R$ por saca </t>
  </si>
  <si>
    <t xml:space="preserve">Custo da biomassa – em R$ por m³ </t>
  </si>
  <si>
    <t xml:space="preserve">Custo do produto comercializado </t>
  </si>
  <si>
    <t>Receita líquida do segmento de comercialização (g)</t>
  </si>
  <si>
    <t>Custo do produto comercializado (h)</t>
  </si>
  <si>
    <t>Lucro bruto do segmento de comercialização (i) = (g) + (h)</t>
  </si>
  <si>
    <t>Margem bruta segmento de comercialização (j) = (i) / (g)</t>
  </si>
  <si>
    <t>Resultados MTM do volume de milho contratado (k)</t>
  </si>
  <si>
    <t>Lucro bruto do segmento de comercialização com MTM (l) = (i) + (k)</t>
  </si>
  <si>
    <t>Reclassificação – Frete sobre vendas total (m)</t>
  </si>
  <si>
    <t>Receita líquida (n) = (a) + (g) + (m)</t>
  </si>
  <si>
    <t>Custo do produto industrial vendido (d)</t>
  </si>
  <si>
    <t>Resultado MTM do volume de milho contratado (k)</t>
  </si>
  <si>
    <t>Custo total  (o) = (d) + (h) + (k)</t>
  </si>
  <si>
    <t>Lucro bruto (p) = (n) + (o)</t>
  </si>
  <si>
    <t>Margem bruta (q) = (p) / (n)</t>
  </si>
  <si>
    <t xml:space="preserve">Custo total   </t>
  </si>
  <si>
    <t>Delta: EBITDA vs spread de esmagamento (R$/ltr)</t>
  </si>
  <si>
    <r>
      <t>5</t>
    </r>
    <r>
      <rPr>
        <sz val="7"/>
        <color rgb="FF5C6062"/>
        <rFont val="Montserrat"/>
      </rPr>
      <t xml:space="preserve"> Inclui aplicação financeira de R$ 1,5 bilhão entre FS LTDA e instituições finaceiras que reflete prazos e fluxos de caixa da CPRF emitida pela FS para suportar a transação back-to-back pela transferência de ativos para FS S.A. </t>
    </r>
  </si>
  <si>
    <t>Ativo imobilizado - início do período (a)</t>
  </si>
  <si>
    <t>Capex¹ do período: (e) = (b) + (c) + (d)</t>
  </si>
  <si>
    <t xml:space="preserve"> Venda e baixa de ativos (g)</t>
  </si>
  <si>
    <t>Ativo imobilizado - final do período (h) = (a) + (e) + (f) + (g)</t>
  </si>
  <si>
    <t>2T24</t>
  </si>
  <si>
    <t>6M24</t>
  </si>
  <si>
    <t>2T24 LTM</t>
  </si>
  <si>
    <t>Comercialização de etanol</t>
  </si>
  <si>
    <t xml:space="preserve">Caixa restrito </t>
  </si>
  <si>
    <t>Impostos a recuperar</t>
  </si>
  <si>
    <t xml:space="preserve">Instrumentos financeiros derivativos </t>
  </si>
  <si>
    <t>Instrumentos financeiros derivativos</t>
  </si>
  <si>
    <t>Emprésimo com partes relacionadas</t>
  </si>
  <si>
    <t>Imposto de renda e contribuição social a recolher</t>
  </si>
  <si>
    <t>Provisão para contingências</t>
  </si>
  <si>
    <t>Variação cambial</t>
  </si>
  <si>
    <t>Provisão de juros e amortização do custo de transação</t>
  </si>
  <si>
    <t>Empréstimos captados, líquido dos custos de transação</t>
  </si>
  <si>
    <t>Pagamento de obrigações com arrendamento (principal)</t>
  </si>
  <si>
    <t>Estoque de alta liquidez - RMI</t>
  </si>
  <si>
    <t xml:space="preserve">Dívida líquida ajustada pelos estoques </t>
  </si>
  <si>
    <t>Dívida líquida ajustada / EBITDA (LTM)</t>
  </si>
  <si>
    <t>EBITDA ajustado por Planta PDL (LTM)7</t>
  </si>
  <si>
    <t>Dívida líquida ajustada / EBITDA ajustado (LTM)</t>
  </si>
  <si>
    <t>Energia</t>
  </si>
  <si>
    <t xml:space="preserve">Reclassificação – Frete sobre vendas </t>
  </si>
  <si>
    <t>Taxa de cobertura (e) = (c / d) ¹</t>
  </si>
  <si>
    <t>Custo do produto comercializado (Milho)</t>
  </si>
  <si>
    <t>Custo do produto comercializado (Etanol)</t>
  </si>
  <si>
    <t>Custo do produto comercializado (Energia)</t>
  </si>
  <si>
    <t>Comercialização de milho (tons)</t>
  </si>
  <si>
    <t>Comercialização de energia (MWh)</t>
  </si>
  <si>
    <t>Custo de milho ajustado pela nutrição animal (R$/ltr) (b) ²</t>
  </si>
  <si>
    <t>Outras linhas de capital de giro 4</t>
  </si>
  <si>
    <r>
      <t>¹ Emissão de US$ 680,0 milhões em</t>
    </r>
    <r>
      <rPr>
        <i/>
        <sz val="7"/>
        <color rgb="FF5C6062"/>
        <rFont val="Montserrat"/>
      </rPr>
      <t xml:space="preserve"> Senior Secured Green Notes - Bond </t>
    </r>
    <r>
      <rPr>
        <sz val="7"/>
        <color rgb="FF5C6062"/>
        <rFont val="Montserrat"/>
      </rPr>
      <t>- pela subsidiária FS Luxembourg s.à.r.l., ("FS Lux"). Saldo corrente de USD 482,8 milhões.</t>
    </r>
  </si>
  <si>
    <t>² Emissão de US$ 594,2 milhões de CPRF (Cédula de Produtor Rural Financeira) pela FS, referente ao Bond emitido. Saldo corrente de USD 240,8 milhões.</t>
  </si>
  <si>
    <t>³ Aquisição de direitos sobre TRS (Total Return Swap) de US$ 594,2 milhões - O TRS é um instrumento financeiro contratado entre a FS Lux e uma instituição financeira que reflete os prazos e fluxos de caixa da CPRF emitida pela FS. O valor do TRS é deduzido integralmente da Dívida Bruta com o objetivo de eliminar a duplicidade da dívida ocasionada pela emissão local da CPRF. Saldo corrente de USD 240,8 milhões.</t>
  </si>
  <si>
    <t>¹ A partir do 1T22, passamos a considerar o segmento de negócio de comercialização de milho e alteramos a fórmula do índice de cobertura de nutrição animal.</t>
  </si>
  <si>
    <t>² 16,67 conversão saca para tonelada</t>
  </si>
  <si>
    <t>³ Os itens (3) e (5) são divididos pelo etanol vendido, e os itens (4), (b) e (d) são divididos pelo etanol produzido. (6) Outros segmentos incluem: cogeração de energia, comercialização de milho e outros.</t>
  </si>
  <si>
    <t>3T24</t>
  </si>
  <si>
    <t>9M24</t>
  </si>
  <si>
    <t>3T24 LTM</t>
  </si>
  <si>
    <t>Recebimentos pela venda de ativo biológico</t>
  </si>
  <si>
    <t>Caixa restrito</t>
  </si>
  <si>
    <t>Pagamento de empréstimos (principal)</t>
  </si>
  <si>
    <t>Lucros distribuídos</t>
  </si>
  <si>
    <t xml:space="preserve">Instrumentos financeiros derivativos pagos </t>
  </si>
  <si>
    <t>FY24</t>
  </si>
  <si>
    <t>4T24</t>
  </si>
  <si>
    <t>FY24
vs FY23</t>
  </si>
  <si>
    <t>12M24</t>
  </si>
  <si>
    <t>Ajuste de inventário</t>
  </si>
  <si>
    <t>1T25</t>
  </si>
  <si>
    <t>1T25 LTM</t>
  </si>
  <si>
    <t>Imposto de renda e contribuições sociais correntes e diferidos</t>
  </si>
  <si>
    <t>Ajuste a valor justo de derivativos</t>
  </si>
  <si>
    <t xml:space="preserve">Provisão de juros sobre empréstimos de partes relacionadas </t>
  </si>
  <si>
    <t>Ajuste a valor justo de CBIOs</t>
  </si>
  <si>
    <t>Provisão para perdas de crédito esperadas</t>
  </si>
  <si>
    <t>Pagamento de juros sobre empréstimos e financiamentos</t>
  </si>
  <si>
    <t>Pagamento de juros sobre fornecedores e demais obrigações financeiras</t>
  </si>
  <si>
    <t>Juros resgatados de investimentos aplicação financeira</t>
  </si>
  <si>
    <t>Juros resgatados de investimentos de caixa restrito</t>
  </si>
  <si>
    <t xml:space="preserve">Caixa (utilizado) gerado nas atividades operacionais (a) </t>
  </si>
  <si>
    <t xml:space="preserve">Fluxo de caixa das atividades de investimentos </t>
  </si>
  <si>
    <t>Aquisição de intangível</t>
  </si>
  <si>
    <t>Aplicações financeiros e caixa restrito</t>
  </si>
  <si>
    <t>Resgate financeiros e caixa restrito</t>
  </si>
  <si>
    <t xml:space="preserve">Fluxo de caixa gerado nas atividades de investimentos (b)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</si>
</sst>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0.0%_);\(0.0%\)"/>
    <numFmt numFmtId="168" formatCode="_-* #,##0_-;\-* #,##0_-;_-* &quot;-&quot;??_-;_-@_-"/>
    <numFmt numFmtId="169" formatCode="_-&quot;$&quot;* #,##0.00_-;\-&quot;$&quot;* #,##0.00_-;_-&quot;$&quot;* &quot;-&quot;??_-;_-@_-"/>
    <numFmt numFmtId="170" formatCode="0.0%"/>
    <numFmt numFmtId="171" formatCode="_(* #,##0.000_);_(* \(#,##0.000\);_(* &quot;-&quot;??_);_(@_)"/>
    <numFmt numFmtId="172" formatCode="_(* #,##0.0_);_(* \(#,##0.0\);_(* &quot;-&quot;??_);_(@_)"/>
    <numFmt numFmtId="173" formatCode="_-* #,##0.0_-;\-* #,##0.0_-;_-* &quot;-&quot;??_-;_-@_-"/>
    <numFmt numFmtId="174" formatCode="_(* #,##0.00&quot; x&quot;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FFFFFF"/>
      <name val="Montserrat"/>
    </font>
    <font>
      <sz val="7"/>
      <color rgb="FF5C6062"/>
      <name val="Montserrat"/>
    </font>
    <font>
      <b/>
      <sz val="7"/>
      <color rgb="FF5C6062"/>
      <name val="Montserrat"/>
    </font>
    <font>
      <sz val="11"/>
      <color theme="1"/>
      <name val="Montserrat"/>
    </font>
    <font>
      <sz val="8"/>
      <color theme="1"/>
      <name val="Montserrat"/>
    </font>
    <font>
      <b/>
      <sz val="8"/>
      <color theme="0"/>
      <name val="Montserrat"/>
    </font>
    <font>
      <i/>
      <sz val="8"/>
      <color rgb="FFFFFFFF"/>
      <name val="Montserrat"/>
    </font>
    <font>
      <sz val="7"/>
      <color theme="1"/>
      <name val="Montserrat"/>
    </font>
    <font>
      <i/>
      <sz val="7"/>
      <color rgb="FF5C6062"/>
      <name val="Montserrat"/>
    </font>
    <font>
      <sz val="9"/>
      <color theme="1"/>
      <name val="Montserrat"/>
    </font>
    <font>
      <b/>
      <sz val="11"/>
      <color theme="1"/>
      <name val="Montserrat"/>
    </font>
    <font>
      <sz val="8"/>
      <color rgb="FF5C6062"/>
      <name val="Montserrat"/>
    </font>
    <font>
      <sz val="8"/>
      <color rgb="FFFF0000"/>
      <name val="Montserrat"/>
    </font>
    <font>
      <vertAlign val="superscript"/>
      <sz val="7"/>
      <color rgb="FF5C6062"/>
      <name val="Montserrat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7754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A8D08D"/>
      </bottom>
      <diagonal/>
    </border>
    <border>
      <left/>
      <right/>
      <top style="medium">
        <color rgb="FFA8D08D"/>
      </top>
      <bottom style="medium">
        <color rgb="FFA8D08D"/>
      </bottom>
      <diagonal/>
    </border>
  </borders>
  <cellStyleXfs count="18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0" fontId="3" fillId="0" borderId="0"/>
  </cellStyleXfs>
  <cellXfs count="112">
    <xf numFmtId="0" fontId="0" fillId="0" borderId="0" xfId="0"/>
    <xf numFmtId="0" fontId="5" fillId="0" borderId="0" xfId="0" applyFont="1" applyAlignment="1">
      <alignment horizontal="justify" vertical="center"/>
    </xf>
    <xf numFmtId="0" fontId="7" fillId="0" borderId="0" xfId="0" applyFont="1"/>
    <xf numFmtId="0" fontId="8" fillId="0" borderId="0" xfId="0" applyFont="1"/>
    <xf numFmtId="166" fontId="6" fillId="0" borderId="0" xfId="1" applyNumberFormat="1" applyFont="1" applyFill="1" applyAlignment="1">
      <alignment vertical="center"/>
    </xf>
    <xf numFmtId="166" fontId="6" fillId="0" borderId="0" xfId="0" quotePrefix="1" applyNumberFormat="1" applyFont="1" applyAlignment="1">
      <alignment horizontal="left" vertical="center"/>
    </xf>
    <xf numFmtId="166" fontId="5" fillId="0" borderId="0" xfId="0" quotePrefix="1" applyNumberFormat="1" applyFont="1" applyAlignment="1">
      <alignment horizontal="left" vertical="center"/>
    </xf>
    <xf numFmtId="166" fontId="5" fillId="0" borderId="0" xfId="0" quotePrefix="1" applyNumberFormat="1" applyFont="1" applyAlignment="1">
      <alignment horizontal="left" vertical="center" indent="2"/>
    </xf>
    <xf numFmtId="166" fontId="6" fillId="0" borderId="1" xfId="0" quotePrefix="1" applyNumberFormat="1" applyFont="1" applyBorder="1" applyAlignment="1">
      <alignment horizontal="left" vertical="center"/>
    </xf>
    <xf numFmtId="166" fontId="6" fillId="0" borderId="2" xfId="0" quotePrefix="1" applyNumberFormat="1" applyFont="1" applyBorder="1" applyAlignment="1">
      <alignment horizontal="left" vertical="center"/>
    </xf>
    <xf numFmtId="166" fontId="6" fillId="0" borderId="2" xfId="1" applyNumberFormat="1" applyFont="1" applyFill="1" applyBorder="1" applyAlignment="1">
      <alignment vertical="center"/>
    </xf>
    <xf numFmtId="0" fontId="13" fillId="0" borderId="0" xfId="0" applyFont="1"/>
    <xf numFmtId="0" fontId="14" fillId="0" borderId="0" xfId="0" applyFont="1"/>
    <xf numFmtId="166" fontId="15" fillId="0" borderId="0" xfId="1" applyNumberFormat="1" applyFont="1" applyFill="1" applyAlignment="1">
      <alignment horizontal="left"/>
    </xf>
    <xf numFmtId="0" fontId="16" fillId="0" borderId="0" xfId="0" applyFont="1"/>
    <xf numFmtId="166" fontId="15" fillId="2" borderId="0" xfId="1" applyNumberFormat="1" applyFont="1" applyFill="1" applyAlignment="1"/>
    <xf numFmtId="166" fontId="6" fillId="0" borderId="0" xfId="1" applyNumberFormat="1" applyFont="1" applyFill="1" applyAlignment="1"/>
    <xf numFmtId="166" fontId="5" fillId="0" borderId="0" xfId="0" quotePrefix="1" applyNumberFormat="1" applyFont="1" applyAlignment="1">
      <alignment horizontal="left"/>
    </xf>
    <xf numFmtId="166" fontId="12" fillId="0" borderId="0" xfId="0" quotePrefix="1" applyNumberFormat="1" applyFont="1" applyAlignment="1">
      <alignment horizontal="right" vertical="center"/>
    </xf>
    <xf numFmtId="167" fontId="12" fillId="0" borderId="0" xfId="2" applyNumberFormat="1" applyFont="1" applyFill="1" applyBorder="1" applyAlignment="1">
      <alignment horizontal="right"/>
    </xf>
    <xf numFmtId="166" fontId="5" fillId="2" borderId="0" xfId="1" applyNumberFormat="1" applyFont="1" applyFill="1" applyAlignment="1"/>
    <xf numFmtId="0" fontId="11" fillId="0" borderId="0" xfId="0" applyFont="1"/>
    <xf numFmtId="165" fontId="7" fillId="0" borderId="0" xfId="1" applyFont="1" applyAlignment="1">
      <alignment horizontal="center"/>
    </xf>
    <xf numFmtId="165" fontId="7" fillId="0" borderId="0" xfId="1" applyFont="1"/>
    <xf numFmtId="0" fontId="5" fillId="0" borderId="0" xfId="0" applyFont="1" applyAlignment="1">
      <alignment vertical="center"/>
    </xf>
    <xf numFmtId="172" fontId="6" fillId="0" borderId="0" xfId="1" applyNumberFormat="1" applyFont="1" applyFill="1" applyAlignment="1">
      <alignment vertical="center"/>
    </xf>
    <xf numFmtId="171" fontId="6" fillId="0" borderId="0" xfId="1" applyNumberFormat="1" applyFont="1" applyFill="1" applyAlignment="1">
      <alignment vertical="center"/>
    </xf>
    <xf numFmtId="166" fontId="5" fillId="0" borderId="0" xfId="0" quotePrefix="1" applyNumberFormat="1" applyFont="1" applyAlignment="1">
      <alignment horizontal="left" indent="2"/>
    </xf>
    <xf numFmtId="168" fontId="11" fillId="0" borderId="0" xfId="0" applyNumberFormat="1" applyFont="1"/>
    <xf numFmtId="168" fontId="11" fillId="0" borderId="0" xfId="1" applyNumberFormat="1" applyFont="1" applyFill="1" applyBorder="1"/>
    <xf numFmtId="168" fontId="11" fillId="0" borderId="0" xfId="1" applyNumberFormat="1" applyFont="1"/>
    <xf numFmtId="166" fontId="6" fillId="0" borderId="2" xfId="1" applyNumberFormat="1" applyFont="1" applyFill="1" applyBorder="1" applyAlignment="1">
      <alignment horizontal="right" vertical="center"/>
    </xf>
    <xf numFmtId="166" fontId="5" fillId="0" borderId="0" xfId="1" applyNumberFormat="1" applyFont="1" applyFill="1" applyAlignment="1">
      <alignment horizontal="right" vertical="center"/>
    </xf>
    <xf numFmtId="166" fontId="6" fillId="0" borderId="0" xfId="1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166" fontId="5" fillId="0" borderId="0" xfId="1" applyNumberFormat="1" applyFont="1" applyFill="1" applyBorder="1" applyAlignment="1">
      <alignment vertical="center"/>
    </xf>
    <xf numFmtId="166" fontId="5" fillId="2" borderId="0" xfId="1" applyNumberFormat="1" applyFont="1" applyFill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73" fontId="5" fillId="0" borderId="0" xfId="1" quotePrefix="1" applyNumberFormat="1" applyFont="1" applyFill="1" applyBorder="1" applyAlignment="1">
      <alignment horizontal="left" vertical="center"/>
    </xf>
    <xf numFmtId="166" fontId="5" fillId="2" borderId="0" xfId="1" applyNumberFormat="1" applyFont="1" applyFill="1" applyBorder="1" applyAlignment="1">
      <alignment vertical="center"/>
    </xf>
    <xf numFmtId="167" fontId="12" fillId="2" borderId="0" xfId="2" applyNumberFormat="1" applyFont="1" applyFill="1" applyBorder="1" applyAlignment="1">
      <alignment horizontal="center" vertical="center"/>
    </xf>
    <xf numFmtId="168" fontId="5" fillId="0" borderId="0" xfId="1" quotePrefix="1" applyNumberFormat="1" applyFont="1" applyFill="1" applyBorder="1" applyAlignment="1">
      <alignment horizontal="left" vertical="center"/>
    </xf>
    <xf numFmtId="166" fontId="5" fillId="0" borderId="0" xfId="1" applyNumberFormat="1" applyFont="1" applyFill="1" applyAlignment="1">
      <alignment vertical="center"/>
    </xf>
    <xf numFmtId="167" fontId="12" fillId="0" borderId="0" xfId="2" applyNumberFormat="1" applyFont="1" applyFill="1" applyBorder="1" applyAlignment="1">
      <alignment horizontal="right" vertical="center"/>
    </xf>
    <xf numFmtId="170" fontId="5" fillId="0" borderId="0" xfId="2" quotePrefix="1" applyNumberFormat="1" applyFont="1" applyFill="1" applyAlignment="1">
      <alignment horizontal="right" vertical="center"/>
    </xf>
    <xf numFmtId="170" fontId="12" fillId="2" borderId="0" xfId="2" quotePrefix="1" applyNumberFormat="1" applyFont="1" applyFill="1" applyAlignment="1">
      <alignment vertical="center"/>
    </xf>
    <xf numFmtId="171" fontId="5" fillId="0" borderId="0" xfId="0" quotePrefix="1" applyNumberFormat="1" applyFont="1" applyAlignment="1">
      <alignment horizontal="left" vertical="center"/>
    </xf>
    <xf numFmtId="172" fontId="5" fillId="0" borderId="0" xfId="0" quotePrefix="1" applyNumberFormat="1" applyFont="1" applyAlignment="1">
      <alignment horizontal="left" vertical="center"/>
    </xf>
    <xf numFmtId="166" fontId="5" fillId="0" borderId="0" xfId="0" quotePrefix="1" applyNumberFormat="1" applyFont="1" applyAlignment="1">
      <alignment horizontal="left" vertical="center" indent="1"/>
    </xf>
    <xf numFmtId="168" fontId="5" fillId="0" borderId="0" xfId="1" quotePrefix="1" applyNumberFormat="1" applyFont="1" applyAlignment="1">
      <alignment horizontal="left" vertical="center"/>
    </xf>
    <xf numFmtId="166" fontId="6" fillId="0" borderId="0" xfId="0" quotePrefix="1" applyNumberFormat="1" applyFont="1" applyAlignment="1">
      <alignment horizontal="left" vertical="center" indent="1"/>
    </xf>
    <xf numFmtId="166" fontId="0" fillId="0" borderId="0" xfId="0" applyNumberFormat="1"/>
    <xf numFmtId="166" fontId="7" fillId="0" borderId="0" xfId="1" applyNumberFormat="1" applyFont="1"/>
    <xf numFmtId="166" fontId="16" fillId="2" borderId="0" xfId="1" applyNumberFormat="1" applyFont="1" applyFill="1" applyAlignment="1"/>
    <xf numFmtId="166" fontId="15" fillId="0" borderId="0" xfId="0" quotePrefix="1" applyNumberFormat="1" applyFont="1" applyAlignment="1">
      <alignment vertical="center" wrapText="1"/>
    </xf>
    <xf numFmtId="166" fontId="16" fillId="0" borderId="0" xfId="0" applyNumberFormat="1" applyFont="1"/>
    <xf numFmtId="171" fontId="5" fillId="0" borderId="0" xfId="1" applyNumberFormat="1" applyFont="1" applyFill="1" applyAlignment="1">
      <alignment vertical="center"/>
    </xf>
    <xf numFmtId="172" fontId="5" fillId="0" borderId="0" xfId="1" applyNumberFormat="1" applyFont="1" applyFill="1" applyAlignment="1">
      <alignment vertical="center"/>
    </xf>
    <xf numFmtId="166" fontId="6" fillId="0" borderId="0" xfId="1" applyNumberFormat="1" applyFont="1" applyFill="1" applyBorder="1" applyAlignment="1">
      <alignment vertical="center"/>
    </xf>
    <xf numFmtId="170" fontId="6" fillId="0" borderId="0" xfId="2" quotePrefix="1" applyNumberFormat="1" applyFont="1" applyFill="1" applyAlignment="1">
      <alignment horizontal="right" vertical="center"/>
    </xf>
    <xf numFmtId="171" fontId="6" fillId="0" borderId="0" xfId="0" applyNumberFormat="1" applyFont="1" applyAlignment="1">
      <alignment horizontal="right" vertical="center"/>
    </xf>
    <xf numFmtId="171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66" fontId="6" fillId="0" borderId="0" xfId="0" applyNumberFormat="1" applyFont="1" applyAlignment="1">
      <alignment horizontal="right" vertical="center"/>
    </xf>
    <xf numFmtId="166" fontId="11" fillId="0" borderId="0" xfId="0" applyNumberFormat="1" applyFont="1"/>
    <xf numFmtId="167" fontId="12" fillId="0" borderId="0" xfId="2" applyNumberFormat="1" applyFont="1" applyFill="1" applyBorder="1" applyAlignment="1">
      <alignment horizontal="center" vertical="center"/>
    </xf>
    <xf numFmtId="166" fontId="7" fillId="0" borderId="0" xfId="0" applyNumberFormat="1" applyFont="1"/>
    <xf numFmtId="166" fontId="5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73" fontId="5" fillId="0" borderId="0" xfId="1" quotePrefix="1" applyNumberFormat="1" applyFont="1" applyFill="1" applyAlignment="1">
      <alignment horizontal="left" vertical="center"/>
    </xf>
    <xf numFmtId="170" fontId="12" fillId="0" borderId="0" xfId="2" quotePrefix="1" applyNumberFormat="1" applyFont="1" applyFill="1" applyAlignment="1">
      <alignment vertical="center"/>
    </xf>
    <xf numFmtId="0" fontId="6" fillId="0" borderId="0" xfId="0" applyFont="1" applyAlignment="1">
      <alignment horizontal="left" vertical="center"/>
    </xf>
    <xf numFmtId="166" fontId="5" fillId="2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170" fontId="1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165" fontId="6" fillId="0" borderId="0" xfId="1" applyFont="1" applyFill="1" applyAlignment="1">
      <alignment horizontal="right" vertical="center"/>
    </xf>
    <xf numFmtId="165" fontId="6" fillId="0" borderId="0" xfId="1" applyFont="1" applyAlignment="1">
      <alignment horizontal="right" vertical="center"/>
    </xf>
    <xf numFmtId="165" fontId="6" fillId="0" borderId="0" xfId="1" applyFont="1" applyFill="1" applyBorder="1" applyAlignment="1">
      <alignment horizontal="right" vertical="center"/>
    </xf>
    <xf numFmtId="165" fontId="6" fillId="0" borderId="0" xfId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72" fontId="6" fillId="0" borderId="2" xfId="1" applyNumberFormat="1" applyFont="1" applyFill="1" applyBorder="1" applyAlignment="1">
      <alignment vertical="center"/>
    </xf>
    <xf numFmtId="165" fontId="7" fillId="0" borderId="0" xfId="1" applyFont="1" applyFill="1" applyAlignment="1">
      <alignment horizontal="center"/>
    </xf>
    <xf numFmtId="165" fontId="7" fillId="0" borderId="0" xfId="1" applyFont="1" applyFill="1"/>
    <xf numFmtId="171" fontId="5" fillId="0" borderId="0" xfId="1" applyNumberFormat="1" applyFont="1" applyFill="1" applyBorder="1" applyAlignment="1">
      <alignment vertical="center"/>
    </xf>
    <xf numFmtId="171" fontId="6" fillId="0" borderId="0" xfId="1" applyNumberFormat="1" applyFont="1" applyFill="1" applyBorder="1" applyAlignment="1">
      <alignment vertical="center"/>
    </xf>
    <xf numFmtId="166" fontId="6" fillId="0" borderId="1" xfId="1" applyNumberFormat="1" applyFont="1" applyFill="1" applyBorder="1" applyAlignment="1">
      <alignment vertical="center"/>
    </xf>
    <xf numFmtId="174" fontId="6" fillId="0" borderId="0" xfId="1" applyNumberFormat="1" applyFont="1" applyFill="1" applyBorder="1" applyAlignment="1">
      <alignment vertical="center"/>
    </xf>
    <xf numFmtId="166" fontId="6" fillId="4" borderId="0" xfId="1" applyNumberFormat="1" applyFont="1" applyFill="1" applyAlignment="1">
      <alignment vertical="center"/>
    </xf>
    <xf numFmtId="0" fontId="11" fillId="4" borderId="0" xfId="0" applyFont="1" applyFill="1" applyAlignment="1">
      <alignment vertical="center"/>
    </xf>
    <xf numFmtId="166" fontId="6" fillId="4" borderId="2" xfId="1" applyNumberFormat="1" applyFont="1" applyFill="1" applyBorder="1" applyAlignment="1">
      <alignment vertical="center"/>
    </xf>
    <xf numFmtId="171" fontId="6" fillId="4" borderId="0" xfId="1" applyNumberFormat="1" applyFont="1" applyFill="1" applyAlignment="1">
      <alignment vertical="center"/>
    </xf>
    <xf numFmtId="171" fontId="5" fillId="4" borderId="0" xfId="0" quotePrefix="1" applyNumberFormat="1" applyFont="1" applyFill="1" applyAlignment="1">
      <alignment horizontal="left" vertical="center"/>
    </xf>
    <xf numFmtId="172" fontId="5" fillId="4" borderId="0" xfId="0" quotePrefix="1" applyNumberFormat="1" applyFont="1" applyFill="1" applyAlignment="1">
      <alignment horizontal="left" vertical="center"/>
    </xf>
    <xf numFmtId="172" fontId="6" fillId="4" borderId="0" xfId="1" applyNumberFormat="1" applyFont="1" applyFill="1" applyAlignment="1">
      <alignment vertical="center"/>
    </xf>
    <xf numFmtId="165" fontId="0" fillId="0" borderId="0" xfId="0" applyNumberFormat="1"/>
    <xf numFmtId="166" fontId="5" fillId="2" borderId="0" xfId="0" quotePrefix="1" applyNumberFormat="1" applyFont="1" applyFill="1" applyAlignment="1">
      <alignment horizontal="left" vertical="center"/>
    </xf>
    <xf numFmtId="174" fontId="6" fillId="2" borderId="0" xfId="1" applyNumberFormat="1" applyFont="1" applyFill="1" applyBorder="1" applyAlignment="1">
      <alignment vertical="center"/>
    </xf>
    <xf numFmtId="172" fontId="6" fillId="0" borderId="0" xfId="1" applyNumberFormat="1" applyFont="1" applyFill="1" applyAlignment="1">
      <alignment horizontal="center" vertical="center"/>
    </xf>
    <xf numFmtId="166" fontId="15" fillId="0" borderId="0" xfId="0" quotePrefix="1" applyNumberFormat="1" applyFont="1" applyAlignment="1">
      <alignment horizontal="right" vertical="center" wrapText="1"/>
    </xf>
    <xf numFmtId="14" fontId="9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18">
    <cellStyle name="Moeda 2" xfId="6" xr:uid="{00000000-0005-0000-0000-00002F000000}"/>
    <cellStyle name="Moeda 3" xfId="4" xr:uid="{00000000-0005-0000-0000-00002F000000}"/>
    <cellStyle name="Moeda 4" xfId="13" xr:uid="{2E2CC08E-8C7E-40A1-9091-3F7E5A705155}"/>
    <cellStyle name="Normal" xfId="0" builtinId="0"/>
    <cellStyle name="Normal 2" xfId="9" xr:uid="{4CD97EC4-EE02-4E3D-A640-6F42C2F3963A}"/>
    <cellStyle name="Normal 2 2" xfId="14" xr:uid="{404DF742-2B8C-404E-AD06-5A79D3610C41}"/>
    <cellStyle name="Normal 3" xfId="11" xr:uid="{6EBCF564-6A3C-470F-8E39-C7E39B2DDD0A}"/>
    <cellStyle name="Normal 3 2" xfId="8" xr:uid="{9380CED3-0D03-4038-9CB8-F31975F9EAEF}"/>
    <cellStyle name="Normal 3 3" xfId="15" xr:uid="{C3B1025A-5CE6-4C3B-8AD2-5243456B66CF}"/>
    <cellStyle name="Normale 2 2 3" xfId="17" xr:uid="{1E3495E4-0650-4C7C-95AA-059F276AF073}"/>
    <cellStyle name="Porcentagem" xfId="2" builtinId="5"/>
    <cellStyle name="Vírgula" xfId="1" builtinId="3"/>
    <cellStyle name="Vírgula 2" xfId="7" xr:uid="{74B67C2B-0575-477A-932D-5E3B697076AD}"/>
    <cellStyle name="Vírgula 3" xfId="5" xr:uid="{00000000-0005-0000-0000-000030000000}"/>
    <cellStyle name="Vírgula 4" xfId="3" xr:uid="{00000000-0005-0000-0000-000031000000}"/>
    <cellStyle name="Vírgula 5" xfId="12" xr:uid="{37A355FB-F3DA-412B-99B6-7E6D6BBDA006}"/>
    <cellStyle name="Vírgula 6" xfId="16" xr:uid="{17F9D104-65CB-461D-939E-1B6FF6B39A2A}"/>
    <cellStyle name="Vírgula 7" xfId="10" xr:uid="{602586CC-8EA8-487A-ACA7-22213B4C6D9B}"/>
  </cellStyles>
  <dxfs count="0"/>
  <tableStyles count="0" defaultTableStyle="TableStyleMedium2" defaultPivotStyle="PivotStyleLight16"/>
  <colors>
    <mruColors>
      <color rgb="FF1B7754"/>
      <color rgb="FFA8D08D"/>
      <color rgb="FFFFFFFF"/>
      <color rgb="FFA8D18E"/>
      <color rgb="FF5C6062"/>
      <color rgb="FF3F762B"/>
      <color rgb="FF004A45"/>
      <color rgb="FFFA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hyperlink" Target="#'Demonstra&#231;&#227;o do Fluxo de Caixa'!A1"/><Relationship Id="rId7" Type="http://schemas.openxmlformats.org/officeDocument/2006/relationships/hyperlink" Target="#'Fluxo da D&#237;vida L&#237;quida'!A1"/><Relationship Id="rId2" Type="http://schemas.openxmlformats.org/officeDocument/2006/relationships/hyperlink" Target="#'Demonstra&#231;&#227;o dos Resultados'!A1"/><Relationship Id="rId1" Type="http://schemas.openxmlformats.org/officeDocument/2006/relationships/hyperlink" Target="#'Balan&#231;o Patrimonial'!A1"/><Relationship Id="rId6" Type="http://schemas.openxmlformats.org/officeDocument/2006/relationships/hyperlink" Target="#Capex!A1"/><Relationship Id="rId5" Type="http://schemas.openxmlformats.org/officeDocument/2006/relationships/hyperlink" Target="#Endividamento!A1"/><Relationship Id="rId4" Type="http://schemas.openxmlformats.org/officeDocument/2006/relationships/hyperlink" Target="#'Dados Operacionai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Planilha de resultados'!A1"/><Relationship Id="rId1" Type="http://schemas.openxmlformats.org/officeDocument/2006/relationships/image" Target="../media/image2.jpeg"/><Relationship Id="rId4" Type="http://schemas.openxmlformats.org/officeDocument/2006/relationships/image" Target="../media/image4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hyperlink" Target="#'Planilha de resultados'!A1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Planilha de resultados'!A1"/><Relationship Id="rId1" Type="http://schemas.openxmlformats.org/officeDocument/2006/relationships/image" Target="../media/image2.jpeg"/><Relationship Id="rId4" Type="http://schemas.openxmlformats.org/officeDocument/2006/relationships/image" Target="../media/image4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Planilha de resultados'!A1"/><Relationship Id="rId1" Type="http://schemas.openxmlformats.org/officeDocument/2006/relationships/image" Target="../media/image6.jpeg"/><Relationship Id="rId4" Type="http://schemas.openxmlformats.org/officeDocument/2006/relationships/image" Target="../media/image4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hyperlink" Target="#'Planilha de resultados'!A1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hyperlink" Target="#'Planilha de resultados'!A1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hyperlink" Target="#'Planilha de resultados'!A1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294049</xdr:colOff>
      <xdr:row>1</xdr:row>
      <xdr:rowOff>134042</xdr:rowOff>
    </xdr:from>
    <xdr:to>
      <xdr:col>13</xdr:col>
      <xdr:colOff>330200</xdr:colOff>
      <xdr:row>3</xdr:row>
      <xdr:rowOff>69271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AE6998-383E-4DDE-9A7B-045A8E98B411}"/>
            </a:ext>
          </a:extLst>
        </xdr:cNvPr>
        <xdr:cNvSpPr/>
      </xdr:nvSpPr>
      <xdr:spPr>
        <a:xfrm>
          <a:off x="6678974" y="315017"/>
          <a:ext cx="1950676" cy="294004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ea typeface="+mn-ea"/>
              <a:cs typeface="Times New Roman" panose="02020603050405020304" pitchFamily="18" charset="0"/>
            </a:rPr>
            <a:t>Balanço patrimonial</a:t>
          </a:r>
        </a:p>
      </xdr:txBody>
    </xdr:sp>
    <xdr:clientData/>
  </xdr:twoCellAnchor>
  <xdr:twoCellAnchor>
    <xdr:from>
      <xdr:col>10</xdr:col>
      <xdr:colOff>297224</xdr:colOff>
      <xdr:row>3</xdr:row>
      <xdr:rowOff>160949</xdr:rowOff>
    </xdr:from>
    <xdr:to>
      <xdr:col>13</xdr:col>
      <xdr:colOff>330371</xdr:colOff>
      <xdr:row>5</xdr:row>
      <xdr:rowOff>97576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5BEA9B-B572-4A35-AC3C-685A9B933215}"/>
            </a:ext>
          </a:extLst>
        </xdr:cNvPr>
        <xdr:cNvSpPr/>
      </xdr:nvSpPr>
      <xdr:spPr>
        <a:xfrm>
          <a:off x="6675799" y="707049"/>
          <a:ext cx="1954022" cy="295402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rgbClr val="1B7754"/>
              </a:solidFill>
              <a:latin typeface="Montserrat" panose="00000500000000000000" pitchFamily="2" charset="0"/>
              <a:ea typeface="+mn-ea"/>
              <a:cs typeface="Times New Roman" panose="02020603050405020304" pitchFamily="18" charset="0"/>
            </a:rPr>
            <a:t>Demonstração dos resultados</a:t>
          </a:r>
        </a:p>
      </xdr:txBody>
    </xdr:sp>
    <xdr:clientData/>
  </xdr:twoCellAnchor>
  <xdr:twoCellAnchor>
    <xdr:from>
      <xdr:col>10</xdr:col>
      <xdr:colOff>297224</xdr:colOff>
      <xdr:row>6</xdr:row>
      <xdr:rowOff>18168</xdr:rowOff>
    </xdr:from>
    <xdr:to>
      <xdr:col>13</xdr:col>
      <xdr:colOff>330371</xdr:colOff>
      <xdr:row>7</xdr:row>
      <xdr:rowOff>132595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CE61069-BFB4-45B6-BA07-737B9BA34801}"/>
            </a:ext>
          </a:extLst>
        </xdr:cNvPr>
        <xdr:cNvSpPr/>
      </xdr:nvSpPr>
      <xdr:spPr>
        <a:xfrm>
          <a:off x="6675799" y="1104018"/>
          <a:ext cx="1954022" cy="295402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Demonstração do fluxo de caixa</a:t>
          </a:r>
        </a:p>
      </xdr:txBody>
    </xdr:sp>
    <xdr:clientData/>
  </xdr:twoCellAnchor>
  <xdr:twoCellAnchor>
    <xdr:from>
      <xdr:col>10</xdr:col>
      <xdr:colOff>304551</xdr:colOff>
      <xdr:row>12</xdr:row>
      <xdr:rowOff>124269</xdr:rowOff>
    </xdr:from>
    <xdr:to>
      <xdr:col>13</xdr:col>
      <xdr:colOff>334523</xdr:colOff>
      <xdr:row>14</xdr:row>
      <xdr:rowOff>64071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64D91C7-45F3-4D57-B2C0-7F1CD03DEC59}"/>
            </a:ext>
          </a:extLst>
        </xdr:cNvPr>
        <xdr:cNvSpPr/>
      </xdr:nvSpPr>
      <xdr:spPr>
        <a:xfrm>
          <a:off x="6686301" y="2292794"/>
          <a:ext cx="1941322" cy="308102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Dados operacionais</a:t>
          </a:r>
        </a:p>
      </xdr:txBody>
    </xdr:sp>
    <xdr:clientData/>
  </xdr:twoCellAnchor>
  <xdr:twoCellAnchor>
    <xdr:from>
      <xdr:col>10</xdr:col>
      <xdr:colOff>304551</xdr:colOff>
      <xdr:row>10</xdr:row>
      <xdr:rowOff>64638</xdr:rowOff>
    </xdr:from>
    <xdr:to>
      <xdr:col>13</xdr:col>
      <xdr:colOff>334523</xdr:colOff>
      <xdr:row>12</xdr:row>
      <xdr:rowOff>7615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DC5B0B8-3B5E-4F5D-A9DC-A05E1153F800}"/>
            </a:ext>
          </a:extLst>
        </xdr:cNvPr>
        <xdr:cNvSpPr/>
      </xdr:nvSpPr>
      <xdr:spPr>
        <a:xfrm>
          <a:off x="6686301" y="1877563"/>
          <a:ext cx="1941322" cy="304927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Endividamento</a:t>
          </a:r>
        </a:p>
      </xdr:txBody>
    </xdr:sp>
    <xdr:clientData/>
  </xdr:twoCellAnchor>
  <xdr:twoCellAnchor>
    <xdr:from>
      <xdr:col>10</xdr:col>
      <xdr:colOff>297224</xdr:colOff>
      <xdr:row>14</xdr:row>
      <xdr:rowOff>155166</xdr:rowOff>
    </xdr:from>
    <xdr:to>
      <xdr:col>13</xdr:col>
      <xdr:colOff>330371</xdr:colOff>
      <xdr:row>16</xdr:row>
      <xdr:rowOff>94968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F4A75B0-7EAC-42A0-BA31-BA951CBCEEAB}"/>
            </a:ext>
          </a:extLst>
        </xdr:cNvPr>
        <xdr:cNvSpPr/>
      </xdr:nvSpPr>
      <xdr:spPr>
        <a:xfrm>
          <a:off x="6675799" y="2688816"/>
          <a:ext cx="1954022" cy="301752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Capex</a:t>
          </a:r>
        </a:p>
      </xdr:txBody>
    </xdr:sp>
    <xdr:clientData/>
  </xdr:twoCellAnchor>
  <xdr:twoCellAnchor>
    <xdr:from>
      <xdr:col>0</xdr:col>
      <xdr:colOff>178374</xdr:colOff>
      <xdr:row>11</xdr:row>
      <xdr:rowOff>169100</xdr:rowOff>
    </xdr:from>
    <xdr:to>
      <xdr:col>3</xdr:col>
      <xdr:colOff>620877</xdr:colOff>
      <xdr:row>16</xdr:row>
      <xdr:rowOff>26200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2CE2F74D-2BAE-41ED-8A41-8347D241F46F}"/>
            </a:ext>
          </a:extLst>
        </xdr:cNvPr>
        <xdr:cNvSpPr/>
      </xdr:nvSpPr>
      <xdr:spPr>
        <a:xfrm>
          <a:off x="181549" y="2159825"/>
          <a:ext cx="2350678" cy="765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700">
              <a:solidFill>
                <a:schemeClr val="bg1">
                  <a:lumMod val="50000"/>
                </a:schemeClr>
              </a:solidFill>
              <a:latin typeface="Montserrat" panose="00000500000000000000" pitchFamily="2" charset="0"/>
            </a:rPr>
            <a:t>A FS Indústria de Biocombustíveis Ltda. ("FS Ltda") e and FS I Indústria de Etanol S.A. </a:t>
          </a:r>
        </a:p>
        <a:p>
          <a:pPr algn="l"/>
          <a:r>
            <a:rPr lang="pt-BR" sz="700">
              <a:solidFill>
                <a:schemeClr val="bg1">
                  <a:lumMod val="50000"/>
                </a:schemeClr>
              </a:solidFill>
              <a:latin typeface="Montserrat" panose="00000500000000000000" pitchFamily="2" charset="0"/>
            </a:rPr>
            <a:t>(“FS S.A.”) (combinadas como ”Empresa”, ou “FS”) anunciam seus resultados consolidados</a:t>
          </a:r>
        </a:p>
      </xdr:txBody>
    </xdr:sp>
    <xdr:clientData/>
  </xdr:twoCellAnchor>
  <xdr:twoCellAnchor>
    <xdr:from>
      <xdr:col>10</xdr:col>
      <xdr:colOff>296247</xdr:colOff>
      <xdr:row>8</xdr:row>
      <xdr:rowOff>37888</xdr:rowOff>
    </xdr:from>
    <xdr:to>
      <xdr:col>13</xdr:col>
      <xdr:colOff>326219</xdr:colOff>
      <xdr:row>9</xdr:row>
      <xdr:rowOff>161840</xdr:rowOff>
    </xdr:to>
    <xdr:sp macro="" textlink="">
      <xdr:nvSpPr>
        <xdr:cNvPr id="9" name="Retângulo: Cantos Arredondados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641DBD6-EFD3-4782-9662-5CA7E0375390}"/>
            </a:ext>
          </a:extLst>
        </xdr:cNvPr>
        <xdr:cNvSpPr/>
      </xdr:nvSpPr>
      <xdr:spPr>
        <a:xfrm>
          <a:off x="6674822" y="1485688"/>
          <a:ext cx="1947672" cy="308102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Fluxo da dívida líquida</a:t>
          </a:r>
        </a:p>
      </xdr:txBody>
    </xdr:sp>
    <xdr:clientData/>
  </xdr:twoCellAnchor>
  <xdr:twoCellAnchor editAs="oneCell">
    <xdr:from>
      <xdr:col>0</xdr:col>
      <xdr:colOff>178374</xdr:colOff>
      <xdr:row>2</xdr:row>
      <xdr:rowOff>183249</xdr:rowOff>
    </xdr:from>
    <xdr:to>
      <xdr:col>3</xdr:col>
      <xdr:colOff>173978</xdr:colOff>
      <xdr:row>12</xdr:row>
      <xdr:rowOff>1296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1134D74C-13D1-4FBE-881A-F135924A4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49" y="542024"/>
          <a:ext cx="1906954" cy="162779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140628</xdr:rowOff>
    </xdr:from>
    <xdr:to>
      <xdr:col>14</xdr:col>
      <xdr:colOff>488</xdr:colOff>
      <xdr:row>17</xdr:row>
      <xdr:rowOff>179997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BA9C3A09-A917-41A6-BD61-EA6F8328452D}"/>
            </a:ext>
          </a:extLst>
        </xdr:cNvPr>
        <xdr:cNvGrpSpPr/>
      </xdr:nvGrpSpPr>
      <xdr:grpSpPr>
        <a:xfrm>
          <a:off x="0" y="3258478"/>
          <a:ext cx="8953500" cy="39369"/>
          <a:chOff x="0" y="3119766"/>
          <a:chExt cx="7625953" cy="99976"/>
        </a:xfrm>
      </xdr:grpSpPr>
      <xdr:sp macro="" textlink="">
        <xdr:nvSpPr>
          <xdr:cNvPr id="12" name="Paralelogramo 11">
            <a:extLst>
              <a:ext uri="{FF2B5EF4-FFF2-40B4-BE49-F238E27FC236}">
                <a16:creationId xmlns:a16="http://schemas.microsoft.com/office/drawing/2014/main" id="{0556E2E4-AE04-4F93-ABA3-D8E94A873EA1}"/>
              </a:ext>
            </a:extLst>
          </xdr:cNvPr>
          <xdr:cNvSpPr/>
        </xdr:nvSpPr>
        <xdr:spPr>
          <a:xfrm>
            <a:off x="0" y="3121801"/>
            <a:ext cx="3488928" cy="97941"/>
          </a:xfrm>
          <a:prstGeom prst="parallelogram">
            <a:avLst>
              <a:gd name="adj" fmla="val 120429"/>
            </a:avLst>
          </a:prstGeom>
          <a:solidFill>
            <a:srgbClr val="1A7754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13" name="Paralelogramo 12">
            <a:extLst>
              <a:ext uri="{FF2B5EF4-FFF2-40B4-BE49-F238E27FC236}">
                <a16:creationId xmlns:a16="http://schemas.microsoft.com/office/drawing/2014/main" id="{66729337-4D6C-47D6-8FE3-09AD9E9DF0EA}"/>
              </a:ext>
            </a:extLst>
          </xdr:cNvPr>
          <xdr:cNvSpPr/>
        </xdr:nvSpPr>
        <xdr:spPr>
          <a:xfrm>
            <a:off x="3345518" y="3121801"/>
            <a:ext cx="1503800" cy="97941"/>
          </a:xfrm>
          <a:prstGeom prst="parallelogram">
            <a:avLst>
              <a:gd name="adj" fmla="val 120429"/>
            </a:avLst>
          </a:prstGeom>
          <a:solidFill>
            <a:srgbClr val="79AC2B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14" name="Paralelogramo 13">
            <a:extLst>
              <a:ext uri="{FF2B5EF4-FFF2-40B4-BE49-F238E27FC236}">
                <a16:creationId xmlns:a16="http://schemas.microsoft.com/office/drawing/2014/main" id="{D60B3648-442E-40CB-983A-2C4E5E1CC3E9}"/>
              </a:ext>
            </a:extLst>
          </xdr:cNvPr>
          <xdr:cNvSpPr/>
        </xdr:nvSpPr>
        <xdr:spPr>
          <a:xfrm>
            <a:off x="4707925" y="3121801"/>
            <a:ext cx="1453196" cy="97941"/>
          </a:xfrm>
          <a:prstGeom prst="parallelogram">
            <a:avLst>
              <a:gd name="adj" fmla="val 120429"/>
            </a:avLst>
          </a:prstGeom>
          <a:solidFill>
            <a:srgbClr val="F7D21E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15" name="Paralelogramo 14">
            <a:extLst>
              <a:ext uri="{FF2B5EF4-FFF2-40B4-BE49-F238E27FC236}">
                <a16:creationId xmlns:a16="http://schemas.microsoft.com/office/drawing/2014/main" id="{EEBDFE6A-F6E3-4A9B-A46F-0DE172652DF1}"/>
              </a:ext>
            </a:extLst>
          </xdr:cNvPr>
          <xdr:cNvSpPr/>
        </xdr:nvSpPr>
        <xdr:spPr>
          <a:xfrm>
            <a:off x="5802208" y="3121801"/>
            <a:ext cx="1823745" cy="97941"/>
          </a:xfrm>
          <a:prstGeom prst="parallelogram">
            <a:avLst>
              <a:gd name="adj" fmla="val 120429"/>
            </a:avLst>
          </a:prstGeom>
          <a:solidFill>
            <a:srgbClr val="FBE216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16" name="Retângulo 15">
            <a:extLst>
              <a:ext uri="{FF2B5EF4-FFF2-40B4-BE49-F238E27FC236}">
                <a16:creationId xmlns:a16="http://schemas.microsoft.com/office/drawing/2014/main" id="{0857A052-C594-4A19-8360-518B93CA6CF3}"/>
              </a:ext>
            </a:extLst>
          </xdr:cNvPr>
          <xdr:cNvSpPr/>
        </xdr:nvSpPr>
        <xdr:spPr>
          <a:xfrm>
            <a:off x="0" y="3119766"/>
            <a:ext cx="914713" cy="94922"/>
          </a:xfrm>
          <a:prstGeom prst="rect">
            <a:avLst/>
          </a:prstGeom>
          <a:solidFill>
            <a:srgbClr val="1A775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7" name="Retângulo 16">
            <a:extLst>
              <a:ext uri="{FF2B5EF4-FFF2-40B4-BE49-F238E27FC236}">
                <a16:creationId xmlns:a16="http://schemas.microsoft.com/office/drawing/2014/main" id="{78AB507F-E311-4775-B35C-597DEBDFD853}"/>
              </a:ext>
            </a:extLst>
          </xdr:cNvPr>
          <xdr:cNvSpPr/>
        </xdr:nvSpPr>
        <xdr:spPr>
          <a:xfrm>
            <a:off x="6713253" y="3122941"/>
            <a:ext cx="912700" cy="91747"/>
          </a:xfrm>
          <a:prstGeom prst="rect">
            <a:avLst/>
          </a:prstGeom>
          <a:solidFill>
            <a:srgbClr val="FBE21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4</xdr:col>
      <xdr:colOff>430274</xdr:colOff>
      <xdr:row>1</xdr:row>
      <xdr:rowOff>35876</xdr:rowOff>
    </xdr:from>
    <xdr:to>
      <xdr:col>10</xdr:col>
      <xdr:colOff>425450</xdr:colOff>
      <xdr:row>14</xdr:row>
      <xdr:rowOff>178019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3C815440-C625-4904-BF80-C92CBBC1C6A3}"/>
            </a:ext>
          </a:extLst>
        </xdr:cNvPr>
        <xdr:cNvGrpSpPr/>
      </xdr:nvGrpSpPr>
      <xdr:grpSpPr>
        <a:xfrm>
          <a:off x="2995674" y="220026"/>
          <a:ext cx="3843276" cy="2536093"/>
          <a:chOff x="3343969" y="325204"/>
          <a:chExt cx="3841960" cy="2536338"/>
        </a:xfrm>
      </xdr:grpSpPr>
      <xdr:sp macro="" textlink="">
        <xdr:nvSpPr>
          <xdr:cNvPr id="19" name="Retângulo: Cantos Arredondados 18">
            <a:extLst>
              <a:ext uri="{FF2B5EF4-FFF2-40B4-BE49-F238E27FC236}">
                <a16:creationId xmlns:a16="http://schemas.microsoft.com/office/drawing/2014/main" id="{8A297E99-206B-43C8-A13E-B88F81DACA88}"/>
              </a:ext>
            </a:extLst>
          </xdr:cNvPr>
          <xdr:cNvSpPr/>
        </xdr:nvSpPr>
        <xdr:spPr>
          <a:xfrm>
            <a:off x="3343969" y="325204"/>
            <a:ext cx="3483519" cy="1392710"/>
          </a:xfrm>
          <a:prstGeom prst="roundRect">
            <a:avLst>
              <a:gd name="adj" fmla="val 4715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800" b="1" u="sng">
                <a:solidFill>
                  <a:srgbClr val="1A7754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Definição dos períodos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endParaRPr lang="en-US" sz="7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FY18: abril de 2017 a março de 2018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FY19: abril de 2018 a março de 2019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1T20: abril a junho de 2019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2T20: julho a setembro de 2019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3T20: outubro a dezembro 2019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4T20: janeiro a março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FY20: abril de 2019 a março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1T21: abril a junho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2T21: julho a setembro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3T21: outubro a dezembro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4T21: janeiro a março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FY21: abril de 2020 a março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6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1T22: abril a junho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6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2T22: julho a setembro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endParaRPr lang="en-US" sz="6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0" name="Retângulo: Cantos Arredondados 19">
            <a:extLst>
              <a:ext uri="{FF2B5EF4-FFF2-40B4-BE49-F238E27FC236}">
                <a16:creationId xmlns:a16="http://schemas.microsoft.com/office/drawing/2014/main" id="{8A1E7C2E-8197-472F-B3A2-74BFB851C695}"/>
              </a:ext>
            </a:extLst>
          </xdr:cNvPr>
          <xdr:cNvSpPr/>
        </xdr:nvSpPr>
        <xdr:spPr>
          <a:xfrm>
            <a:off x="5132589" y="713182"/>
            <a:ext cx="2053340" cy="2148360"/>
          </a:xfrm>
          <a:prstGeom prst="roundRect">
            <a:avLst>
              <a:gd name="adj" fmla="val 4715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3T22: outubro a dezembro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4T22: janeiro a março de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FY22: abril de 2021 a março de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1T23: abril a junho de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2T23: julho a setmbro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3T23: outubro a dezembro de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4T23: janeiro a março de 2023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FY23: abril de 2022 a março de 2023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1T24: abril de 2023 a junho de 2023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2T24: julho a setembro 2023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3T24: outubro</a:t>
            </a: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 a dezembro 2023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4T24: janeiro a março de 2024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FY24: abril de 2023 a março de 2024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1T25: abril de 2024 a junho de 2024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pt-BR" sz="7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pt-BR" sz="7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endParaRPr lang="en-US" sz="6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4</xdr:col>
      <xdr:colOff>171493</xdr:colOff>
      <xdr:row>3</xdr:row>
      <xdr:rowOff>154695</xdr:rowOff>
    </xdr:from>
    <xdr:to>
      <xdr:col>4</xdr:col>
      <xdr:colOff>207687</xdr:colOff>
      <xdr:row>15</xdr:row>
      <xdr:rowOff>19398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C38CDAA4-95E7-4CCA-83B8-3A8E1815FB8A}"/>
            </a:ext>
          </a:extLst>
        </xdr:cNvPr>
        <xdr:cNvGrpSpPr/>
      </xdr:nvGrpSpPr>
      <xdr:grpSpPr>
        <a:xfrm rot="5400000">
          <a:off x="1717738" y="1726300"/>
          <a:ext cx="2074503" cy="36194"/>
          <a:chOff x="0" y="3119766"/>
          <a:chExt cx="7625953" cy="99979"/>
        </a:xfrm>
      </xdr:grpSpPr>
      <xdr:sp macro="" textlink="">
        <xdr:nvSpPr>
          <xdr:cNvPr id="22" name="Paralelogramo 21">
            <a:extLst>
              <a:ext uri="{FF2B5EF4-FFF2-40B4-BE49-F238E27FC236}">
                <a16:creationId xmlns:a16="http://schemas.microsoft.com/office/drawing/2014/main" id="{8E781600-56AE-4E3B-B8CD-F071221704D7}"/>
              </a:ext>
            </a:extLst>
          </xdr:cNvPr>
          <xdr:cNvSpPr/>
        </xdr:nvSpPr>
        <xdr:spPr>
          <a:xfrm>
            <a:off x="28221" y="3121802"/>
            <a:ext cx="3488930" cy="97941"/>
          </a:xfrm>
          <a:prstGeom prst="parallelogram">
            <a:avLst>
              <a:gd name="adj" fmla="val 120429"/>
            </a:avLst>
          </a:prstGeom>
          <a:solidFill>
            <a:srgbClr val="1A7754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23" name="Paralelogramo 22">
            <a:extLst>
              <a:ext uri="{FF2B5EF4-FFF2-40B4-BE49-F238E27FC236}">
                <a16:creationId xmlns:a16="http://schemas.microsoft.com/office/drawing/2014/main" id="{A7A65662-6B7A-489E-82A6-15E3FF100CA7}"/>
              </a:ext>
            </a:extLst>
          </xdr:cNvPr>
          <xdr:cNvSpPr/>
        </xdr:nvSpPr>
        <xdr:spPr>
          <a:xfrm>
            <a:off x="3315419" y="3121802"/>
            <a:ext cx="1503799" cy="97943"/>
          </a:xfrm>
          <a:prstGeom prst="parallelogram">
            <a:avLst>
              <a:gd name="adj" fmla="val 120429"/>
            </a:avLst>
          </a:prstGeom>
          <a:solidFill>
            <a:srgbClr val="79AC2B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24" name="Paralelogramo 23">
            <a:extLst>
              <a:ext uri="{FF2B5EF4-FFF2-40B4-BE49-F238E27FC236}">
                <a16:creationId xmlns:a16="http://schemas.microsoft.com/office/drawing/2014/main" id="{E8E8B2D5-20F9-4576-B408-44EB43FC5E65}"/>
              </a:ext>
            </a:extLst>
          </xdr:cNvPr>
          <xdr:cNvSpPr/>
        </xdr:nvSpPr>
        <xdr:spPr>
          <a:xfrm>
            <a:off x="4677823" y="3121802"/>
            <a:ext cx="1453195" cy="97942"/>
          </a:xfrm>
          <a:prstGeom prst="parallelogram">
            <a:avLst>
              <a:gd name="adj" fmla="val 120429"/>
            </a:avLst>
          </a:prstGeom>
          <a:solidFill>
            <a:srgbClr val="F7D21E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25" name="Paralelogramo 24">
            <a:extLst>
              <a:ext uri="{FF2B5EF4-FFF2-40B4-BE49-F238E27FC236}">
                <a16:creationId xmlns:a16="http://schemas.microsoft.com/office/drawing/2014/main" id="{93FA8474-8D9D-4A19-9E21-57E167ABA6EE}"/>
              </a:ext>
            </a:extLst>
          </xdr:cNvPr>
          <xdr:cNvSpPr/>
        </xdr:nvSpPr>
        <xdr:spPr>
          <a:xfrm>
            <a:off x="5802208" y="3121801"/>
            <a:ext cx="1823745" cy="97941"/>
          </a:xfrm>
          <a:prstGeom prst="parallelogram">
            <a:avLst>
              <a:gd name="adj" fmla="val 120429"/>
            </a:avLst>
          </a:prstGeom>
          <a:solidFill>
            <a:srgbClr val="FBE216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26" name="Retângulo 25">
            <a:extLst>
              <a:ext uri="{FF2B5EF4-FFF2-40B4-BE49-F238E27FC236}">
                <a16:creationId xmlns:a16="http://schemas.microsoft.com/office/drawing/2014/main" id="{44633AB0-E0B5-4CF2-A5AA-51DAF719ED73}"/>
              </a:ext>
            </a:extLst>
          </xdr:cNvPr>
          <xdr:cNvSpPr/>
        </xdr:nvSpPr>
        <xdr:spPr>
          <a:xfrm>
            <a:off x="0" y="3119766"/>
            <a:ext cx="914713" cy="94922"/>
          </a:xfrm>
          <a:prstGeom prst="rect">
            <a:avLst/>
          </a:prstGeom>
          <a:solidFill>
            <a:srgbClr val="1A775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7" name="Retângulo 26">
            <a:extLst>
              <a:ext uri="{FF2B5EF4-FFF2-40B4-BE49-F238E27FC236}">
                <a16:creationId xmlns:a16="http://schemas.microsoft.com/office/drawing/2014/main" id="{6AD85F54-7F98-4182-B665-19850860AADB}"/>
              </a:ext>
            </a:extLst>
          </xdr:cNvPr>
          <xdr:cNvSpPr/>
        </xdr:nvSpPr>
        <xdr:spPr>
          <a:xfrm>
            <a:off x="6713253" y="3122941"/>
            <a:ext cx="912700" cy="91747"/>
          </a:xfrm>
          <a:prstGeom prst="rect">
            <a:avLst/>
          </a:prstGeom>
          <a:solidFill>
            <a:srgbClr val="FBE21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8281</xdr:colOff>
      <xdr:row>0</xdr:row>
      <xdr:rowOff>0</xdr:rowOff>
    </xdr:from>
    <xdr:to>
      <xdr:col>1</xdr:col>
      <xdr:colOff>1559408</xdr:colOff>
      <xdr:row>3</xdr:row>
      <xdr:rowOff>92351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3D1E6BF-12E0-4723-A027-04977FC13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38" y="0"/>
          <a:ext cx="1544777" cy="629478"/>
        </a:xfrm>
        <a:prstGeom prst="rect">
          <a:avLst/>
        </a:prstGeom>
      </xdr:spPr>
    </xdr:pic>
    <xdr:clientData/>
  </xdr:twoCellAnchor>
  <xdr:twoCellAnchor editAs="oneCell">
    <xdr:from>
      <xdr:col>1</xdr:col>
      <xdr:colOff>3168650</xdr:colOff>
      <xdr:row>0</xdr:row>
      <xdr:rowOff>1</xdr:rowOff>
    </xdr:from>
    <xdr:to>
      <xdr:col>2</xdr:col>
      <xdr:colOff>323850</xdr:colOff>
      <xdr:row>3</xdr:row>
      <xdr:rowOff>124588</xdr:rowOff>
    </xdr:to>
    <xdr:pic>
      <xdr:nvPicPr>
        <xdr:cNvPr id="5" name="Gráfico 4" descr="Seta de linha: girar para a esqu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F66331-F477-4014-A727-4630847EC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292475" y="1"/>
          <a:ext cx="688975" cy="6643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3200399</xdr:colOff>
      <xdr:row>0</xdr:row>
      <xdr:rowOff>0</xdr:rowOff>
    </xdr:from>
    <xdr:to>
      <xdr:col>2</xdr:col>
      <xdr:colOff>12699</xdr:colOff>
      <xdr:row>3</xdr:row>
      <xdr:rowOff>130175</xdr:rowOff>
    </xdr:to>
    <xdr:pic>
      <xdr:nvPicPr>
        <xdr:cNvPr id="5" name="Gráfico 4" descr="Seta de linha: girar para a esqu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EE14D0-F49F-4724-B2C6-5DA16B3BB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24224" y="0"/>
          <a:ext cx="695325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1542422</xdr:colOff>
      <xdr:row>3</xdr:row>
      <xdr:rowOff>85017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44A282-94BA-447E-B12F-61708ACD8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825" y="0"/>
          <a:ext cx="1542422" cy="627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16564</xdr:colOff>
      <xdr:row>0</xdr:row>
      <xdr:rowOff>0</xdr:rowOff>
    </xdr:from>
    <xdr:to>
      <xdr:col>1</xdr:col>
      <xdr:colOff>1561341</xdr:colOff>
      <xdr:row>3</xdr:row>
      <xdr:rowOff>92351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49227CB-414E-4D4D-875C-E3F18ED53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1" y="0"/>
          <a:ext cx="1544777" cy="629478"/>
        </a:xfrm>
        <a:prstGeom prst="rect">
          <a:avLst/>
        </a:prstGeom>
      </xdr:spPr>
    </xdr:pic>
    <xdr:clientData/>
  </xdr:twoCellAnchor>
  <xdr:twoCellAnchor editAs="oneCell">
    <xdr:from>
      <xdr:col>1</xdr:col>
      <xdr:colOff>3200400</xdr:colOff>
      <xdr:row>0</xdr:row>
      <xdr:rowOff>0</xdr:rowOff>
    </xdr:from>
    <xdr:to>
      <xdr:col>2</xdr:col>
      <xdr:colOff>0</xdr:colOff>
      <xdr:row>3</xdr:row>
      <xdr:rowOff>130175</xdr:rowOff>
    </xdr:to>
    <xdr:pic>
      <xdr:nvPicPr>
        <xdr:cNvPr id="7" name="Gráfico 6" descr="Seta de linha: girar para a esqu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CE15FAA-5E66-475F-9CE6-EF5B430E1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324225" y="0"/>
          <a:ext cx="676275" cy="666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16564</xdr:colOff>
      <xdr:row>0</xdr:row>
      <xdr:rowOff>0</xdr:rowOff>
    </xdr:from>
    <xdr:to>
      <xdr:col>1</xdr:col>
      <xdr:colOff>1561341</xdr:colOff>
      <xdr:row>3</xdr:row>
      <xdr:rowOff>73301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4F2038-2420-4FE0-8648-A7B9F91E9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64" y="0"/>
          <a:ext cx="1544777" cy="62575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3238500</xdr:colOff>
      <xdr:row>0</xdr:row>
      <xdr:rowOff>0</xdr:rowOff>
    </xdr:from>
    <xdr:to>
      <xdr:col>2</xdr:col>
      <xdr:colOff>57150</xdr:colOff>
      <xdr:row>3</xdr:row>
      <xdr:rowOff>130175</xdr:rowOff>
    </xdr:to>
    <xdr:pic>
      <xdr:nvPicPr>
        <xdr:cNvPr id="4" name="Gráfico 3" descr="Seta de linha: girar para a esqu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AD2B71-9252-4837-B04D-5F9DEA553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362325" y="0"/>
          <a:ext cx="704850" cy="663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2943225</xdr:colOff>
      <xdr:row>0</xdr:row>
      <xdr:rowOff>19050</xdr:rowOff>
    </xdr:from>
    <xdr:to>
      <xdr:col>2</xdr:col>
      <xdr:colOff>690</xdr:colOff>
      <xdr:row>3</xdr:row>
      <xdr:rowOff>149225</xdr:rowOff>
    </xdr:to>
    <xdr:pic>
      <xdr:nvPicPr>
        <xdr:cNvPr id="3" name="Gráfico 2" descr="Seta de linha: girar para a esqu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6CF87-5BD7-4252-9011-035803E25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67050" y="19050"/>
          <a:ext cx="683315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24847</xdr:colOff>
      <xdr:row>0</xdr:row>
      <xdr:rowOff>0</xdr:rowOff>
    </xdr:from>
    <xdr:to>
      <xdr:col>1</xdr:col>
      <xdr:colOff>1579149</xdr:colOff>
      <xdr:row>3</xdr:row>
      <xdr:rowOff>92351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F7BF6CB-D8E6-48BA-9A0F-5F59B09D7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04" y="0"/>
          <a:ext cx="1544777" cy="6294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3116058</xdr:colOff>
      <xdr:row>0</xdr:row>
      <xdr:rowOff>0</xdr:rowOff>
    </xdr:from>
    <xdr:to>
      <xdr:col>2</xdr:col>
      <xdr:colOff>6350</xdr:colOff>
      <xdr:row>3</xdr:row>
      <xdr:rowOff>120650</xdr:rowOff>
    </xdr:to>
    <xdr:pic>
      <xdr:nvPicPr>
        <xdr:cNvPr id="2" name="Gráfico 1" descr="Seta de linha: girar para a esqu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C09131-2290-4647-A0D1-92F7AA94D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236708" y="0"/>
          <a:ext cx="744742" cy="660400"/>
        </a:xfrm>
        <a:prstGeom prst="rect">
          <a:avLst/>
        </a:prstGeom>
      </xdr:spPr>
    </xdr:pic>
    <xdr:clientData/>
  </xdr:twoCellAnchor>
  <xdr:twoCellAnchor editAs="oneCell">
    <xdr:from>
      <xdr:col>1</xdr:col>
      <xdr:colOff>24847</xdr:colOff>
      <xdr:row>0</xdr:row>
      <xdr:rowOff>0</xdr:rowOff>
    </xdr:from>
    <xdr:to>
      <xdr:col>1</xdr:col>
      <xdr:colOff>1572799</xdr:colOff>
      <xdr:row>3</xdr:row>
      <xdr:rowOff>86001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7E3F117-706E-4C84-9817-CF24A9811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47" y="0"/>
          <a:ext cx="1544777" cy="6257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3093141</xdr:colOff>
      <xdr:row>0</xdr:row>
      <xdr:rowOff>0</xdr:rowOff>
    </xdr:from>
    <xdr:to>
      <xdr:col>1</xdr:col>
      <xdr:colOff>3816351</xdr:colOff>
      <xdr:row>3</xdr:row>
      <xdr:rowOff>139700</xdr:rowOff>
    </xdr:to>
    <xdr:pic>
      <xdr:nvPicPr>
        <xdr:cNvPr id="3" name="Gráfico 2" descr="Seta de linha: girar para a esqu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975E11-7920-4C7F-AF96-7AA060716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213791" y="0"/>
          <a:ext cx="729560" cy="679450"/>
        </a:xfrm>
        <a:prstGeom prst="rect">
          <a:avLst/>
        </a:prstGeom>
      </xdr:spPr>
    </xdr:pic>
    <xdr:clientData/>
  </xdr:twoCellAnchor>
  <xdr:twoCellAnchor editAs="oneCell">
    <xdr:from>
      <xdr:col>1</xdr:col>
      <xdr:colOff>33130</xdr:colOff>
      <xdr:row>0</xdr:row>
      <xdr:rowOff>0</xdr:rowOff>
    </xdr:from>
    <xdr:to>
      <xdr:col>1</xdr:col>
      <xdr:colOff>1574732</xdr:colOff>
      <xdr:row>3</xdr:row>
      <xdr:rowOff>86001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447AD0F-DC61-4E4C-A206-416D2C60A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0"/>
          <a:ext cx="1544777" cy="629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de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E99B-B50C-45CB-9318-B21CA793CFBA}">
  <sheetPr>
    <tabColor rgb="FF1B7754"/>
  </sheetPr>
  <dimension ref="A1:N18"/>
  <sheetViews>
    <sheetView showGridLines="0" zoomScaleNormal="100" workbookViewId="0"/>
  </sheetViews>
  <sheetFormatPr defaultColWidth="0" defaultRowHeight="14.5" customHeight="1" zeroHeight="1" x14ac:dyDescent="0.35"/>
  <cols>
    <col min="1" max="13" width="9.1796875" customWidth="1"/>
    <col min="14" max="14" width="8.81640625" customWidth="1"/>
    <col min="15" max="16" width="9.1796875" hidden="1" customWidth="1"/>
    <col min="17" max="16384" width="9.1796875" hidden="1"/>
  </cols>
  <sheetData>
    <row r="1" spans="1:1" x14ac:dyDescent="0.35">
      <c r="A1" t="s">
        <v>20</v>
      </c>
    </row>
    <row r="2" spans="1:1" x14ac:dyDescent="0.35"/>
    <row r="3" spans="1:1" x14ac:dyDescent="0.35"/>
    <row r="4" spans="1:1" x14ac:dyDescent="0.35"/>
    <row r="5" spans="1:1" x14ac:dyDescent="0.35"/>
    <row r="6" spans="1:1" x14ac:dyDescent="0.35"/>
    <row r="7" spans="1:1" x14ac:dyDescent="0.35"/>
    <row r="8" spans="1:1" x14ac:dyDescent="0.35"/>
    <row r="9" spans="1:1" x14ac:dyDescent="0.35"/>
    <row r="10" spans="1:1" x14ac:dyDescent="0.35"/>
    <row r="11" spans="1:1" x14ac:dyDescent="0.35"/>
    <row r="12" spans="1:1" x14ac:dyDescent="0.35"/>
    <row r="13" spans="1:1" x14ac:dyDescent="0.35"/>
    <row r="14" spans="1:1" x14ac:dyDescent="0.35"/>
    <row r="15" spans="1:1" x14ac:dyDescent="0.35"/>
    <row r="16" spans="1:1" ht="14.25" customHeight="1" x14ac:dyDescent="0.35"/>
    <row r="17" ht="14.25" customHeight="1" x14ac:dyDescent="0.35"/>
    <row r="18" x14ac:dyDescent="0.3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8F06F-BE0C-4A4D-8BC6-9FA711914143}">
  <sheetPr>
    <tabColor rgb="FF1B7754"/>
    <outlinePr summaryRight="0"/>
  </sheetPr>
  <dimension ref="B2:Y66"/>
  <sheetViews>
    <sheetView showGridLines="0" topLeftCell="K48" zoomScaleNormal="100" workbookViewId="0">
      <selection activeCell="Y54" sqref="Y54"/>
    </sheetView>
  </sheetViews>
  <sheetFormatPr defaultColWidth="9.1796875" defaultRowHeight="14.25" customHeight="1" x14ac:dyDescent="0.45"/>
  <cols>
    <col min="1" max="1" width="1.7265625" style="2" customWidth="1"/>
    <col min="2" max="2" width="50.54296875" style="2" customWidth="1" collapsed="1"/>
    <col min="3" max="4" width="10.54296875" style="2" customWidth="1"/>
    <col min="5" max="5" width="10.54296875" style="2" customWidth="1" collapsed="1"/>
    <col min="6" max="21" width="10.54296875" style="2" customWidth="1"/>
    <col min="22" max="22" width="9.08984375" style="2" bestFit="1" customWidth="1"/>
    <col min="23" max="24" width="9.453125" style="2" customWidth="1"/>
    <col min="25" max="25" width="10.7265625" style="2" customWidth="1"/>
    <col min="26" max="16384" width="9.1796875" style="2"/>
  </cols>
  <sheetData>
    <row r="2" spans="2:25" ht="14.25" customHeight="1" x14ac:dyDescent="0.45">
      <c r="S2" s="109" t="s">
        <v>205</v>
      </c>
      <c r="T2" s="109"/>
      <c r="U2" s="109"/>
      <c r="V2" s="109"/>
      <c r="W2" s="109"/>
      <c r="X2" s="109"/>
      <c r="Y2" s="109"/>
    </row>
    <row r="3" spans="2:25" ht="14.25" customHeight="1" x14ac:dyDescent="0.45">
      <c r="O3" s="61"/>
      <c r="S3" s="109"/>
      <c r="T3" s="109"/>
      <c r="U3" s="109"/>
      <c r="V3" s="109"/>
      <c r="W3" s="109"/>
      <c r="X3" s="109"/>
      <c r="Y3" s="109"/>
    </row>
    <row r="5" spans="2:25" s="11" customFormat="1" ht="14.25" customHeight="1" x14ac:dyDescent="0.4">
      <c r="B5" s="76" t="s">
        <v>21</v>
      </c>
      <c r="C5" s="110" t="s">
        <v>18</v>
      </c>
      <c r="D5" s="110" t="s">
        <v>14</v>
      </c>
      <c r="E5" s="110" t="s">
        <v>23</v>
      </c>
      <c r="F5" s="110" t="s">
        <v>24</v>
      </c>
      <c r="G5" s="110" t="s">
        <v>25</v>
      </c>
      <c r="H5" s="110" t="s">
        <v>12</v>
      </c>
      <c r="I5" s="110" t="s">
        <v>26</v>
      </c>
      <c r="J5" s="110" t="s">
        <v>27</v>
      </c>
      <c r="K5" s="110" t="s">
        <v>28</v>
      </c>
      <c r="L5" s="110" t="s">
        <v>13</v>
      </c>
      <c r="M5" s="110" t="s">
        <v>29</v>
      </c>
      <c r="N5" s="110" t="s">
        <v>182</v>
      </c>
      <c r="O5" s="110" t="s">
        <v>185</v>
      </c>
      <c r="P5" s="110" t="s">
        <v>200</v>
      </c>
      <c r="Q5" s="110" t="s">
        <v>204</v>
      </c>
      <c r="R5" s="110" t="s">
        <v>207</v>
      </c>
      <c r="S5" s="110" t="s">
        <v>238</v>
      </c>
      <c r="T5" s="110" t="s">
        <v>244</v>
      </c>
      <c r="U5" s="110" t="s">
        <v>250</v>
      </c>
      <c r="V5" s="110" t="s">
        <v>325</v>
      </c>
      <c r="W5" s="110" t="s">
        <v>361</v>
      </c>
      <c r="X5" s="110" t="s">
        <v>369</v>
      </c>
      <c r="Y5" s="110" t="s">
        <v>374</v>
      </c>
    </row>
    <row r="6" spans="2:25" ht="14.25" customHeight="1" x14ac:dyDescent="0.45">
      <c r="B6" s="77" t="s">
        <v>22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</row>
    <row r="7" spans="2:25" ht="14.25" customHeight="1" x14ac:dyDescent="0.45">
      <c r="B7" s="35" t="s">
        <v>30</v>
      </c>
      <c r="C7" s="35">
        <v>9521</v>
      </c>
      <c r="D7" s="32">
        <v>11283</v>
      </c>
      <c r="E7" s="32">
        <v>41291.904000000002</v>
      </c>
      <c r="F7" s="32">
        <v>31696.824000000001</v>
      </c>
      <c r="G7" s="32">
        <v>18772.257000000001</v>
      </c>
      <c r="H7" s="32">
        <v>310001</v>
      </c>
      <c r="I7" s="32">
        <v>230993</v>
      </c>
      <c r="J7" s="32">
        <v>499024</v>
      </c>
      <c r="K7" s="32">
        <v>593832</v>
      </c>
      <c r="L7" s="32">
        <v>948613</v>
      </c>
      <c r="M7" s="32">
        <v>859818</v>
      </c>
      <c r="N7" s="32">
        <v>689438</v>
      </c>
      <c r="O7" s="32">
        <v>1057322</v>
      </c>
      <c r="P7" s="32">
        <v>1719194</v>
      </c>
      <c r="Q7" s="32">
        <v>2891822.1</v>
      </c>
      <c r="R7" s="32">
        <v>1589854</v>
      </c>
      <c r="S7" s="32">
        <v>844178</v>
      </c>
      <c r="T7" s="32">
        <v>1374855</v>
      </c>
      <c r="U7" s="32">
        <v>2159077</v>
      </c>
      <c r="V7" s="32">
        <v>1814044</v>
      </c>
      <c r="W7" s="32">
        <v>1914600</v>
      </c>
      <c r="X7" s="32">
        <v>3328233</v>
      </c>
      <c r="Y7" s="32">
        <v>2955191</v>
      </c>
    </row>
    <row r="8" spans="2:25" ht="14.25" customHeight="1" x14ac:dyDescent="0.45">
      <c r="B8" s="6" t="s">
        <v>31</v>
      </c>
      <c r="C8" s="6">
        <v>209432</v>
      </c>
      <c r="D8" s="32">
        <v>16814</v>
      </c>
      <c r="E8" s="32">
        <v>27417.026999999998</v>
      </c>
      <c r="F8" s="32">
        <v>49306.574999999997</v>
      </c>
      <c r="G8" s="32">
        <v>129221.743</v>
      </c>
      <c r="H8" s="32">
        <v>79586</v>
      </c>
      <c r="I8" s="32">
        <v>41</v>
      </c>
      <c r="J8" s="32">
        <v>81</v>
      </c>
      <c r="K8" s="32">
        <v>13540</v>
      </c>
      <c r="L8" s="32">
        <v>97716</v>
      </c>
      <c r="M8" s="32">
        <v>15160</v>
      </c>
      <c r="N8" s="32">
        <v>97633</v>
      </c>
      <c r="O8" s="32">
        <v>16299</v>
      </c>
      <c r="P8" s="32">
        <v>216598</v>
      </c>
      <c r="Q8" s="32">
        <v>14880</v>
      </c>
      <c r="R8" s="32">
        <v>96958</v>
      </c>
      <c r="S8" s="32">
        <v>3115697</v>
      </c>
      <c r="T8" s="32">
        <v>3109084</v>
      </c>
      <c r="U8" s="32">
        <v>1652881</v>
      </c>
      <c r="V8" s="32">
        <v>1243808</v>
      </c>
      <c r="W8" s="32">
        <v>0</v>
      </c>
      <c r="X8" s="32">
        <v>0</v>
      </c>
      <c r="Y8" s="32">
        <v>0</v>
      </c>
    </row>
    <row r="9" spans="2:25" ht="14.25" customHeight="1" x14ac:dyDescent="0.45">
      <c r="B9" s="6" t="s">
        <v>329</v>
      </c>
      <c r="C9" s="6">
        <v>15514</v>
      </c>
      <c r="D9" s="32">
        <v>22462</v>
      </c>
      <c r="E9" s="32">
        <v>27163.43</v>
      </c>
      <c r="F9" s="32">
        <v>42853.536999999997</v>
      </c>
      <c r="G9" s="32">
        <v>60664</v>
      </c>
      <c r="H9" s="32">
        <v>75818</v>
      </c>
      <c r="I9" s="32">
        <v>665534</v>
      </c>
      <c r="J9" s="32">
        <v>251044</v>
      </c>
      <c r="K9" s="32">
        <v>70528</v>
      </c>
      <c r="L9" s="32">
        <v>28876</v>
      </c>
      <c r="M9" s="32">
        <v>171105</v>
      </c>
      <c r="N9" s="32">
        <v>115617</v>
      </c>
      <c r="O9" s="32">
        <v>76425</v>
      </c>
      <c r="P9" s="32">
        <v>383976</v>
      </c>
      <c r="Q9" s="32">
        <v>342392</v>
      </c>
      <c r="R9" s="32">
        <v>2051740</v>
      </c>
      <c r="S9" s="32">
        <v>2131340</v>
      </c>
      <c r="T9" s="32">
        <v>2256928</v>
      </c>
      <c r="U9" s="32">
        <v>2274857</v>
      </c>
      <c r="V9" s="32">
        <v>2438709</v>
      </c>
      <c r="W9" s="32">
        <v>2868163</v>
      </c>
      <c r="X9" s="32">
        <v>1246927</v>
      </c>
      <c r="Y9" s="32">
        <v>854184</v>
      </c>
    </row>
    <row r="10" spans="2:25" ht="14.25" customHeight="1" x14ac:dyDescent="0.45">
      <c r="B10" s="6" t="s">
        <v>32</v>
      </c>
      <c r="C10" s="6">
        <v>25325</v>
      </c>
      <c r="D10" s="32">
        <v>37721</v>
      </c>
      <c r="E10" s="32">
        <v>46921.228000000003</v>
      </c>
      <c r="F10" s="32">
        <v>37421.749000000003</v>
      </c>
      <c r="G10" s="32">
        <v>72329</v>
      </c>
      <c r="H10" s="32">
        <v>104197</v>
      </c>
      <c r="I10" s="32">
        <v>126236</v>
      </c>
      <c r="J10" s="32">
        <v>45051</v>
      </c>
      <c r="K10" s="32">
        <v>120590</v>
      </c>
      <c r="L10" s="32">
        <v>111610</v>
      </c>
      <c r="M10" s="32">
        <v>154986</v>
      </c>
      <c r="N10" s="32">
        <v>167976</v>
      </c>
      <c r="O10" s="32">
        <v>181596</v>
      </c>
      <c r="P10" s="32">
        <v>284931</v>
      </c>
      <c r="Q10" s="32">
        <v>271101</v>
      </c>
      <c r="R10" s="32">
        <v>310801</v>
      </c>
      <c r="S10" s="32">
        <v>491912</v>
      </c>
      <c r="T10" s="32">
        <v>271314</v>
      </c>
      <c r="U10" s="32">
        <v>50477</v>
      </c>
      <c r="V10" s="32">
        <v>25237</v>
      </c>
      <c r="W10" s="32">
        <v>278034</v>
      </c>
      <c r="X10" s="32">
        <v>380830</v>
      </c>
      <c r="Y10" s="32">
        <v>498152</v>
      </c>
    </row>
    <row r="11" spans="2:25" ht="14" customHeight="1" x14ac:dyDescent="0.45">
      <c r="B11" s="6" t="s">
        <v>247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32">
        <v>166435</v>
      </c>
      <c r="U11" s="32">
        <v>25409</v>
      </c>
      <c r="V11" s="32">
        <v>7889</v>
      </c>
      <c r="W11" s="6">
        <v>11781</v>
      </c>
      <c r="X11" s="6">
        <v>0</v>
      </c>
      <c r="Y11" s="6">
        <v>0</v>
      </c>
    </row>
    <row r="12" spans="2:25" ht="14.25" customHeight="1" x14ac:dyDescent="0.45">
      <c r="B12" s="6" t="s">
        <v>33</v>
      </c>
      <c r="C12" s="6">
        <v>36798</v>
      </c>
      <c r="D12" s="32">
        <v>122651</v>
      </c>
      <c r="E12" s="32">
        <v>182194.44</v>
      </c>
      <c r="F12" s="32">
        <v>440491.13400000002</v>
      </c>
      <c r="G12" s="32">
        <v>428359</v>
      </c>
      <c r="H12" s="32">
        <v>305176</v>
      </c>
      <c r="I12" s="32">
        <v>345076</v>
      </c>
      <c r="J12" s="32">
        <v>802138</v>
      </c>
      <c r="K12" s="32">
        <v>781916</v>
      </c>
      <c r="L12" s="32">
        <v>469883</v>
      </c>
      <c r="M12" s="32">
        <v>706838</v>
      </c>
      <c r="N12" s="32">
        <v>1977124</v>
      </c>
      <c r="O12" s="32">
        <v>1405513</v>
      </c>
      <c r="P12" s="32">
        <v>786727</v>
      </c>
      <c r="Q12" s="32">
        <v>1486067</v>
      </c>
      <c r="R12" s="32">
        <v>2377212</v>
      </c>
      <c r="S12" s="32">
        <v>1921435</v>
      </c>
      <c r="T12" s="32">
        <v>1067026</v>
      </c>
      <c r="U12" s="32">
        <v>1505010</v>
      </c>
      <c r="V12" s="32">
        <v>2870325</v>
      </c>
      <c r="W12" s="32">
        <v>2235564</v>
      </c>
      <c r="X12" s="32">
        <v>1092861</v>
      </c>
      <c r="Y12" s="32">
        <v>1671651</v>
      </c>
    </row>
    <row r="13" spans="2:25" ht="14.25" customHeight="1" x14ac:dyDescent="0.45">
      <c r="B13" s="6" t="s">
        <v>34</v>
      </c>
      <c r="C13" s="6">
        <v>5709</v>
      </c>
      <c r="D13" s="32">
        <v>6817</v>
      </c>
      <c r="E13" s="32">
        <v>14483.656999999999</v>
      </c>
      <c r="F13" s="32">
        <v>7135.482</v>
      </c>
      <c r="G13" s="32">
        <v>58464</v>
      </c>
      <c r="H13" s="32">
        <v>60652</v>
      </c>
      <c r="I13" s="32">
        <v>15654</v>
      </c>
      <c r="J13" s="32">
        <v>10462</v>
      </c>
      <c r="K13" s="32">
        <v>24904</v>
      </c>
      <c r="L13" s="32">
        <v>26967</v>
      </c>
      <c r="M13" s="32">
        <v>18878</v>
      </c>
      <c r="N13" s="32">
        <v>26889</v>
      </c>
      <c r="O13" s="32">
        <v>55516</v>
      </c>
      <c r="P13" s="32">
        <v>48997</v>
      </c>
      <c r="Q13" s="32">
        <v>11334</v>
      </c>
      <c r="R13" s="32">
        <v>56811</v>
      </c>
      <c r="S13" s="32">
        <v>41529</v>
      </c>
      <c r="T13" s="32">
        <v>53143</v>
      </c>
      <c r="U13" s="32">
        <v>0</v>
      </c>
      <c r="V13" s="32">
        <v>30065</v>
      </c>
      <c r="W13" s="32">
        <v>24832</v>
      </c>
      <c r="X13" s="32">
        <v>47721</v>
      </c>
      <c r="Y13" s="32">
        <v>39309</v>
      </c>
    </row>
    <row r="14" spans="2:25" ht="14.25" customHeight="1" x14ac:dyDescent="0.45">
      <c r="B14" s="6" t="s">
        <v>35</v>
      </c>
      <c r="C14" s="6">
        <v>0</v>
      </c>
      <c r="D14" s="32">
        <v>14906</v>
      </c>
      <c r="E14" s="32">
        <v>22586.064999999999</v>
      </c>
      <c r="F14" s="32">
        <v>15994.828</v>
      </c>
      <c r="G14" s="32">
        <v>2363</v>
      </c>
      <c r="H14" s="32">
        <v>3881</v>
      </c>
      <c r="I14" s="32">
        <v>2551</v>
      </c>
      <c r="J14" s="32">
        <v>2551</v>
      </c>
      <c r="K14" s="32">
        <v>2589</v>
      </c>
      <c r="L14" s="32">
        <v>169</v>
      </c>
      <c r="M14" s="32">
        <v>0</v>
      </c>
      <c r="N14" s="32">
        <v>17142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</row>
    <row r="15" spans="2:25" ht="14.25" customHeight="1" x14ac:dyDescent="0.45">
      <c r="B15" s="6" t="s">
        <v>330</v>
      </c>
      <c r="C15" s="6">
        <v>669</v>
      </c>
      <c r="D15" s="32">
        <v>8415</v>
      </c>
      <c r="E15" s="32">
        <v>14618.511</v>
      </c>
      <c r="F15" s="32">
        <v>32199.746999999999</v>
      </c>
      <c r="G15" s="32">
        <v>52797</v>
      </c>
      <c r="H15" s="32">
        <v>64412</v>
      </c>
      <c r="I15" s="32">
        <v>60575</v>
      </c>
      <c r="J15" s="32">
        <v>127207</v>
      </c>
      <c r="K15" s="32">
        <v>133168</v>
      </c>
      <c r="L15" s="32">
        <v>110345</v>
      </c>
      <c r="M15" s="32">
        <v>145628</v>
      </c>
      <c r="N15" s="32">
        <v>268086</v>
      </c>
      <c r="O15" s="32">
        <v>66903</v>
      </c>
      <c r="P15" s="32">
        <v>122332</v>
      </c>
      <c r="Q15" s="32">
        <v>165940.80489</v>
      </c>
      <c r="R15" s="32">
        <v>236883</v>
      </c>
      <c r="S15" s="32">
        <v>281818</v>
      </c>
      <c r="T15" s="32">
        <v>383452</v>
      </c>
      <c r="U15" s="32">
        <v>324036</v>
      </c>
      <c r="V15" s="32">
        <v>430318</v>
      </c>
      <c r="W15" s="32">
        <v>537822</v>
      </c>
      <c r="X15" s="32">
        <v>591627</v>
      </c>
      <c r="Y15" s="32">
        <v>667265</v>
      </c>
    </row>
    <row r="16" spans="2:25" ht="14.25" customHeight="1" x14ac:dyDescent="0.45">
      <c r="B16" s="6" t="s">
        <v>36</v>
      </c>
      <c r="C16" s="6">
        <v>740</v>
      </c>
      <c r="D16" s="32">
        <v>1075</v>
      </c>
      <c r="E16" s="32">
        <v>623.68700000000001</v>
      </c>
      <c r="F16" s="32">
        <v>4620.3100000000004</v>
      </c>
      <c r="G16" s="32">
        <v>3559</v>
      </c>
      <c r="H16" s="32">
        <v>2909</v>
      </c>
      <c r="I16" s="32">
        <v>9212</v>
      </c>
      <c r="J16" s="32">
        <v>12318</v>
      </c>
      <c r="K16" s="32">
        <v>7423</v>
      </c>
      <c r="L16" s="32">
        <v>17356</v>
      </c>
      <c r="M16" s="32">
        <v>28478</v>
      </c>
      <c r="N16" s="32">
        <v>42604</v>
      </c>
      <c r="O16" s="32">
        <v>29202</v>
      </c>
      <c r="P16" s="32">
        <v>24642</v>
      </c>
      <c r="Q16" s="32">
        <v>51915</v>
      </c>
      <c r="R16" s="32">
        <v>53448</v>
      </c>
      <c r="S16" s="32">
        <v>49553</v>
      </c>
      <c r="T16" s="32">
        <v>40915</v>
      </c>
      <c r="U16" s="32">
        <v>66894</v>
      </c>
      <c r="V16" s="32">
        <v>95035</v>
      </c>
      <c r="W16" s="32">
        <v>70673</v>
      </c>
      <c r="X16" s="32">
        <v>52566</v>
      </c>
      <c r="Y16" s="32">
        <v>65802</v>
      </c>
    </row>
    <row r="17" spans="2:25" ht="14.25" customHeight="1" x14ac:dyDescent="0.45">
      <c r="B17" s="6" t="s">
        <v>37</v>
      </c>
      <c r="C17" s="6">
        <v>0</v>
      </c>
      <c r="D17" s="32">
        <v>0</v>
      </c>
      <c r="E17" s="32">
        <v>0</v>
      </c>
      <c r="F17" s="32">
        <v>0</v>
      </c>
      <c r="G17" s="32">
        <v>0</v>
      </c>
      <c r="H17" s="32">
        <v>5564</v>
      </c>
      <c r="I17" s="32">
        <v>4665</v>
      </c>
      <c r="J17" s="32">
        <v>4665</v>
      </c>
      <c r="K17" s="32">
        <v>19462</v>
      </c>
      <c r="L17" s="32">
        <v>6093</v>
      </c>
      <c r="M17" s="32">
        <v>6093</v>
      </c>
      <c r="N17" s="32">
        <v>6093</v>
      </c>
      <c r="O17" s="32">
        <v>6093</v>
      </c>
      <c r="P17" s="32">
        <v>3760</v>
      </c>
      <c r="Q17" s="32">
        <v>3760</v>
      </c>
      <c r="R17" s="32">
        <v>5621</v>
      </c>
      <c r="S17" s="32">
        <v>3060</v>
      </c>
      <c r="T17" s="32">
        <v>984</v>
      </c>
      <c r="U17" s="32">
        <v>617</v>
      </c>
      <c r="V17" s="32">
        <v>0</v>
      </c>
      <c r="W17" s="32">
        <v>0</v>
      </c>
      <c r="X17" s="32">
        <v>0</v>
      </c>
      <c r="Y17" s="32">
        <v>0</v>
      </c>
    </row>
    <row r="18" spans="2:25" ht="14.25" customHeight="1" x14ac:dyDescent="0.45">
      <c r="B18" s="6" t="s">
        <v>331</v>
      </c>
      <c r="C18" s="6">
        <v>0</v>
      </c>
      <c r="D18" s="32">
        <v>0</v>
      </c>
      <c r="E18" s="32">
        <v>11539.162</v>
      </c>
      <c r="F18" s="32">
        <v>3303.348</v>
      </c>
      <c r="G18" s="32">
        <v>14863</v>
      </c>
      <c r="H18" s="32">
        <v>24049</v>
      </c>
      <c r="I18" s="32">
        <v>23397</v>
      </c>
      <c r="J18" s="32">
        <v>21381</v>
      </c>
      <c r="K18" s="32">
        <v>10723</v>
      </c>
      <c r="L18" s="32">
        <v>13351</v>
      </c>
      <c r="M18" s="32">
        <v>276</v>
      </c>
      <c r="N18" s="32">
        <v>13804</v>
      </c>
      <c r="O18" s="32">
        <v>43179</v>
      </c>
      <c r="P18" s="32">
        <v>75063</v>
      </c>
      <c r="Q18" s="32">
        <v>92771</v>
      </c>
      <c r="R18" s="32">
        <v>35357</v>
      </c>
      <c r="S18" s="32">
        <v>11689</v>
      </c>
      <c r="T18" s="32">
        <v>40478</v>
      </c>
      <c r="U18" s="32">
        <v>117314</v>
      </c>
      <c r="V18" s="32">
        <v>87954</v>
      </c>
      <c r="W18" s="32">
        <v>10518</v>
      </c>
      <c r="X18" s="32">
        <v>3666</v>
      </c>
      <c r="Y18" s="32">
        <v>57170</v>
      </c>
    </row>
    <row r="19" spans="2:25" ht="14.25" customHeight="1" x14ac:dyDescent="0.45">
      <c r="B19" s="6" t="s">
        <v>38</v>
      </c>
      <c r="C19" s="6">
        <v>0</v>
      </c>
      <c r="D19" s="32">
        <v>387</v>
      </c>
      <c r="E19" s="32">
        <v>670.14700000000005</v>
      </c>
      <c r="F19" s="32">
        <v>2777.1019999999999</v>
      </c>
      <c r="G19" s="32">
        <v>14313</v>
      </c>
      <c r="H19" s="32">
        <v>387</v>
      </c>
      <c r="I19" s="32">
        <v>516</v>
      </c>
      <c r="J19" s="32">
        <v>1118</v>
      </c>
      <c r="K19" s="32">
        <v>964</v>
      </c>
      <c r="L19" s="32">
        <v>1598</v>
      </c>
      <c r="M19" s="32">
        <v>1992</v>
      </c>
      <c r="N19" s="32">
        <v>1895</v>
      </c>
      <c r="O19" s="32">
        <v>1573</v>
      </c>
      <c r="P19" s="32">
        <v>9019</v>
      </c>
      <c r="Q19" s="32">
        <v>13412</v>
      </c>
      <c r="R19" s="32">
        <v>16702</v>
      </c>
      <c r="S19" s="32">
        <v>63085</v>
      </c>
      <c r="T19" s="32">
        <v>36466</v>
      </c>
      <c r="U19" s="32">
        <v>10794</v>
      </c>
      <c r="V19" s="32">
        <v>2616</v>
      </c>
      <c r="W19" s="32">
        <v>8288</v>
      </c>
      <c r="X19" s="32">
        <v>1804</v>
      </c>
      <c r="Y19" s="32">
        <v>39102</v>
      </c>
    </row>
    <row r="20" spans="2:25" s="12" customFormat="1" ht="14.25" customHeight="1" x14ac:dyDescent="0.45">
      <c r="B20" s="5" t="s">
        <v>39</v>
      </c>
      <c r="C20" s="33">
        <f t="shared" ref="C20:U20" si="0">SUM(C7:C19)</f>
        <v>303708</v>
      </c>
      <c r="D20" s="33">
        <f t="shared" si="0"/>
        <v>242531</v>
      </c>
      <c r="E20" s="33">
        <f t="shared" si="0"/>
        <v>389509.25799999997</v>
      </c>
      <c r="F20" s="33">
        <f t="shared" si="0"/>
        <v>667800.63599999994</v>
      </c>
      <c r="G20" s="33">
        <f t="shared" si="0"/>
        <v>855705</v>
      </c>
      <c r="H20" s="33">
        <f t="shared" si="0"/>
        <v>1036632</v>
      </c>
      <c r="I20" s="33">
        <f t="shared" si="0"/>
        <v>1484450</v>
      </c>
      <c r="J20" s="33">
        <f t="shared" si="0"/>
        <v>1777040</v>
      </c>
      <c r="K20" s="33">
        <f t="shared" si="0"/>
        <v>1779639</v>
      </c>
      <c r="L20" s="33">
        <f t="shared" si="0"/>
        <v>1832577</v>
      </c>
      <c r="M20" s="33">
        <f t="shared" si="0"/>
        <v>2109252</v>
      </c>
      <c r="N20" s="33">
        <f t="shared" si="0"/>
        <v>3424301</v>
      </c>
      <c r="O20" s="33">
        <f t="shared" si="0"/>
        <v>2939621</v>
      </c>
      <c r="P20" s="33">
        <f t="shared" si="0"/>
        <v>3675239</v>
      </c>
      <c r="Q20" s="33">
        <f t="shared" si="0"/>
        <v>5345394.9048899999</v>
      </c>
      <c r="R20" s="33">
        <f t="shared" si="0"/>
        <v>6831387</v>
      </c>
      <c r="S20" s="33">
        <f t="shared" si="0"/>
        <v>8955296</v>
      </c>
      <c r="T20" s="33">
        <f t="shared" si="0"/>
        <v>8801080</v>
      </c>
      <c r="U20" s="33">
        <f t="shared" si="0"/>
        <v>8187366</v>
      </c>
      <c r="V20" s="33">
        <f>SUM(V7:V19)</f>
        <v>9046000</v>
      </c>
      <c r="W20" s="33">
        <v>7960275</v>
      </c>
      <c r="X20" s="33">
        <v>6746235</v>
      </c>
      <c r="Y20" s="33">
        <v>6847826</v>
      </c>
    </row>
    <row r="21" spans="2:25" s="12" customFormat="1" ht="14.25" customHeight="1" x14ac:dyDescent="0.45">
      <c r="B21" s="6" t="s">
        <v>32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3468</v>
      </c>
      <c r="Y21" s="6">
        <v>3468</v>
      </c>
    </row>
    <row r="22" spans="2:25" ht="14.25" customHeight="1" x14ac:dyDescent="0.45">
      <c r="B22" s="6" t="s">
        <v>31</v>
      </c>
      <c r="C22" s="6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2810640</v>
      </c>
      <c r="L22" s="32">
        <v>3385056</v>
      </c>
      <c r="M22" s="32">
        <v>2972066</v>
      </c>
      <c r="N22" s="32">
        <v>3231825</v>
      </c>
      <c r="O22" s="32">
        <v>3318748</v>
      </c>
      <c r="P22" s="32">
        <v>2817419</v>
      </c>
      <c r="Q22" s="32">
        <v>3114900</v>
      </c>
      <c r="R22" s="32">
        <v>3212337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</row>
    <row r="23" spans="2:25" ht="14.25" customHeight="1" x14ac:dyDescent="0.45">
      <c r="B23" s="6" t="s">
        <v>188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16227</v>
      </c>
      <c r="P23" s="6">
        <v>16547</v>
      </c>
      <c r="Q23" s="32">
        <v>17045</v>
      </c>
      <c r="R23" s="32">
        <v>16908</v>
      </c>
      <c r="S23" s="32">
        <v>42694</v>
      </c>
      <c r="T23" s="32">
        <v>39246</v>
      </c>
      <c r="U23" s="32">
        <v>35529</v>
      </c>
      <c r="V23" s="32">
        <v>49892</v>
      </c>
      <c r="W23" s="6">
        <v>49807</v>
      </c>
      <c r="X23" s="6">
        <v>51188</v>
      </c>
      <c r="Y23" s="6">
        <v>52972</v>
      </c>
    </row>
    <row r="24" spans="2:25" ht="14.25" customHeight="1" x14ac:dyDescent="0.45">
      <c r="B24" s="6" t="s">
        <v>34</v>
      </c>
      <c r="C24" s="6">
        <v>1841</v>
      </c>
      <c r="D24" s="32">
        <v>6883</v>
      </c>
      <c r="E24" s="32">
        <v>8575.7970000000005</v>
      </c>
      <c r="F24" s="32">
        <v>11053.165000000001</v>
      </c>
      <c r="G24" s="32">
        <v>9106</v>
      </c>
      <c r="H24" s="32">
        <v>9106</v>
      </c>
      <c r="I24" s="32">
        <v>9106</v>
      </c>
      <c r="J24" s="32">
        <v>12967</v>
      </c>
      <c r="K24" s="32">
        <v>12968</v>
      </c>
      <c r="L24" s="32">
        <v>12968</v>
      </c>
      <c r="M24" s="32">
        <v>12968</v>
      </c>
      <c r="N24" s="32">
        <v>20029</v>
      </c>
      <c r="O24" s="32">
        <v>27435</v>
      </c>
      <c r="P24" s="32">
        <v>55497</v>
      </c>
      <c r="Q24" s="32">
        <v>88618</v>
      </c>
      <c r="R24" s="32">
        <v>112114</v>
      </c>
      <c r="S24" s="32">
        <v>92866</v>
      </c>
      <c r="T24" s="32">
        <v>49603</v>
      </c>
      <c r="U24" s="32">
        <v>179932</v>
      </c>
      <c r="V24" s="32">
        <v>51978</v>
      </c>
      <c r="W24" s="32">
        <v>54545</v>
      </c>
      <c r="X24" s="32">
        <v>91935</v>
      </c>
      <c r="Y24" s="32">
        <v>49145</v>
      </c>
    </row>
    <row r="25" spans="2:25" ht="14.25" customHeight="1" x14ac:dyDescent="0.45">
      <c r="B25" s="6" t="s">
        <v>330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186705</v>
      </c>
      <c r="P25" s="6">
        <v>129842</v>
      </c>
      <c r="Q25" s="32">
        <v>132915</v>
      </c>
      <c r="R25" s="32">
        <v>289949</v>
      </c>
      <c r="S25" s="32">
        <v>314852</v>
      </c>
      <c r="T25" s="32">
        <v>245805</v>
      </c>
      <c r="U25" s="32">
        <v>378074</v>
      </c>
      <c r="V25" s="32">
        <v>448747</v>
      </c>
      <c r="W25" s="6">
        <v>392160</v>
      </c>
      <c r="X25" s="6">
        <v>309020</v>
      </c>
      <c r="Y25" s="6">
        <v>365170</v>
      </c>
    </row>
    <row r="26" spans="2:25" ht="14.25" customHeight="1" x14ac:dyDescent="0.45">
      <c r="B26" s="6" t="s">
        <v>332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2560</v>
      </c>
      <c r="Q26" s="32">
        <v>0</v>
      </c>
      <c r="R26" s="32">
        <v>16503</v>
      </c>
      <c r="S26" s="32">
        <v>16281</v>
      </c>
      <c r="T26" s="32">
        <v>0</v>
      </c>
      <c r="U26" s="32">
        <v>42197</v>
      </c>
      <c r="V26" s="32">
        <v>0</v>
      </c>
      <c r="W26" s="6">
        <v>29775</v>
      </c>
      <c r="X26" s="6">
        <v>29372</v>
      </c>
      <c r="Y26" s="6">
        <v>98160</v>
      </c>
    </row>
    <row r="27" spans="2:25" ht="14.15" customHeight="1" x14ac:dyDescent="0.45">
      <c r="B27" s="6" t="s">
        <v>40</v>
      </c>
      <c r="C27" s="6">
        <v>0</v>
      </c>
      <c r="D27" s="32">
        <v>0</v>
      </c>
      <c r="E27" s="32">
        <v>0</v>
      </c>
      <c r="F27" s="32">
        <v>0</v>
      </c>
      <c r="G27" s="32">
        <v>0</v>
      </c>
      <c r="H27" s="32">
        <v>115536</v>
      </c>
      <c r="I27" s="32">
        <v>138424</v>
      </c>
      <c r="J27" s="32">
        <v>86698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261574</v>
      </c>
      <c r="W27" s="32">
        <v>151959</v>
      </c>
      <c r="X27" s="32">
        <v>333123</v>
      </c>
      <c r="Y27" s="32">
        <v>413439</v>
      </c>
    </row>
    <row r="28" spans="2:25" ht="14.15" customHeight="1" x14ac:dyDescent="0.45">
      <c r="B28" s="6" t="s">
        <v>333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293587</v>
      </c>
      <c r="P28" s="6">
        <v>251035</v>
      </c>
      <c r="Q28" s="32">
        <v>282142</v>
      </c>
      <c r="R28" s="32">
        <v>296143</v>
      </c>
      <c r="S28" s="32">
        <v>290543</v>
      </c>
      <c r="T28" s="32">
        <v>288452</v>
      </c>
      <c r="U28" s="32">
        <v>277356</v>
      </c>
      <c r="V28" s="32">
        <v>266505</v>
      </c>
      <c r="W28" s="6">
        <v>263617</v>
      </c>
      <c r="X28" s="6">
        <v>273564</v>
      </c>
      <c r="Y28" s="6">
        <v>310694</v>
      </c>
    </row>
    <row r="29" spans="2:25" ht="14.25" customHeight="1" x14ac:dyDescent="0.45">
      <c r="B29" s="6" t="s">
        <v>37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10042</v>
      </c>
      <c r="I29" s="6">
        <v>10042</v>
      </c>
      <c r="J29" s="6">
        <v>20109</v>
      </c>
      <c r="K29" s="6">
        <v>4509</v>
      </c>
      <c r="L29" s="6">
        <v>22090</v>
      </c>
      <c r="M29" s="6">
        <v>18009</v>
      </c>
      <c r="N29" s="6">
        <v>19484</v>
      </c>
      <c r="O29" s="6">
        <v>22732</v>
      </c>
      <c r="P29" s="6">
        <v>42337</v>
      </c>
      <c r="Q29" s="32">
        <v>46543</v>
      </c>
      <c r="R29" s="32">
        <v>55561</v>
      </c>
      <c r="S29" s="32">
        <v>0</v>
      </c>
      <c r="T29" s="32">
        <v>0</v>
      </c>
      <c r="U29" s="32">
        <v>0</v>
      </c>
      <c r="V29" s="32">
        <v>0</v>
      </c>
      <c r="W29" s="6">
        <v>0</v>
      </c>
      <c r="X29" s="6">
        <v>0</v>
      </c>
      <c r="Y29" s="6">
        <v>0</v>
      </c>
    </row>
    <row r="30" spans="2:25" ht="14.25" customHeight="1" x14ac:dyDescent="0.45">
      <c r="B30" s="6" t="s">
        <v>41</v>
      </c>
      <c r="C30" s="6">
        <v>0</v>
      </c>
      <c r="D30" s="6">
        <v>3354</v>
      </c>
      <c r="E30" s="6">
        <v>3353.5450000000001</v>
      </c>
      <c r="F30" s="6">
        <v>3353.5450000000001</v>
      </c>
      <c r="G30" s="6">
        <v>3353.5450000000001</v>
      </c>
      <c r="H30" s="6">
        <v>3580</v>
      </c>
      <c r="I30" s="6">
        <v>3571</v>
      </c>
      <c r="J30" s="6">
        <v>3571</v>
      </c>
      <c r="K30" s="6">
        <v>3571</v>
      </c>
      <c r="L30" s="6">
        <v>3652</v>
      </c>
      <c r="M30" s="6">
        <v>3710</v>
      </c>
      <c r="N30" s="6">
        <v>3734</v>
      </c>
      <c r="O30" s="6">
        <v>3775</v>
      </c>
      <c r="P30" s="6">
        <v>3775</v>
      </c>
      <c r="Q30" s="32">
        <v>3854</v>
      </c>
      <c r="R30" s="32">
        <v>3964</v>
      </c>
      <c r="S30" s="32">
        <v>4108</v>
      </c>
      <c r="T30" s="32">
        <v>4177</v>
      </c>
      <c r="U30" s="32">
        <v>4817</v>
      </c>
      <c r="V30" s="32">
        <v>4905</v>
      </c>
      <c r="W30" s="6">
        <v>5019</v>
      </c>
      <c r="X30" s="6">
        <v>5370</v>
      </c>
      <c r="Y30" s="6">
        <v>5539</v>
      </c>
    </row>
    <row r="31" spans="2:25" s="12" customFormat="1" ht="14.25" customHeight="1" x14ac:dyDescent="0.45">
      <c r="B31" s="5" t="s">
        <v>42</v>
      </c>
      <c r="C31" s="33">
        <f t="shared" ref="C31:U31" si="1">SUM(C22:C30)</f>
        <v>1841</v>
      </c>
      <c r="D31" s="33">
        <f t="shared" si="1"/>
        <v>10237</v>
      </c>
      <c r="E31" s="33">
        <f t="shared" si="1"/>
        <v>11929.342000000001</v>
      </c>
      <c r="F31" s="33">
        <f t="shared" si="1"/>
        <v>14406.710000000001</v>
      </c>
      <c r="G31" s="33">
        <f t="shared" si="1"/>
        <v>12459.545</v>
      </c>
      <c r="H31" s="33">
        <f t="shared" si="1"/>
        <v>138264</v>
      </c>
      <c r="I31" s="33">
        <f t="shared" si="1"/>
        <v>161143</v>
      </c>
      <c r="J31" s="33">
        <f t="shared" si="1"/>
        <v>123345</v>
      </c>
      <c r="K31" s="33">
        <f t="shared" si="1"/>
        <v>2831688</v>
      </c>
      <c r="L31" s="33">
        <f t="shared" si="1"/>
        <v>3423766</v>
      </c>
      <c r="M31" s="33">
        <f t="shared" si="1"/>
        <v>3006753</v>
      </c>
      <c r="N31" s="33">
        <f t="shared" si="1"/>
        <v>3275072</v>
      </c>
      <c r="O31" s="33">
        <f t="shared" si="1"/>
        <v>3869209</v>
      </c>
      <c r="P31" s="33">
        <f t="shared" si="1"/>
        <v>3319012</v>
      </c>
      <c r="Q31" s="33">
        <f t="shared" si="1"/>
        <v>3686017</v>
      </c>
      <c r="R31" s="33">
        <f t="shared" si="1"/>
        <v>4003479</v>
      </c>
      <c r="S31" s="33">
        <f t="shared" si="1"/>
        <v>761344</v>
      </c>
      <c r="T31" s="33">
        <f t="shared" si="1"/>
        <v>627283</v>
      </c>
      <c r="U31" s="33">
        <f t="shared" si="1"/>
        <v>917905</v>
      </c>
      <c r="V31" s="33">
        <f>SUM(V22:V30)</f>
        <v>1083601</v>
      </c>
      <c r="W31" s="33">
        <v>946882</v>
      </c>
      <c r="X31" s="33">
        <v>1097040</v>
      </c>
      <c r="Y31" s="33">
        <v>1298587</v>
      </c>
    </row>
    <row r="32" spans="2:25" ht="14.25" customHeight="1" x14ac:dyDescent="0.45">
      <c r="B32" s="6" t="s">
        <v>43</v>
      </c>
      <c r="C32" s="6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</row>
    <row r="33" spans="2:25" ht="14.25" customHeight="1" x14ac:dyDescent="0.45">
      <c r="B33" s="6" t="s">
        <v>44</v>
      </c>
      <c r="C33" s="6">
        <v>433424</v>
      </c>
      <c r="D33" s="32">
        <v>939544</v>
      </c>
      <c r="E33" s="32">
        <v>1208407.875</v>
      </c>
      <c r="F33" s="32">
        <v>1511290.737</v>
      </c>
      <c r="G33" s="32">
        <v>1908778</v>
      </c>
      <c r="H33" s="32">
        <v>2190785</v>
      </c>
      <c r="I33" s="32">
        <v>2407206</v>
      </c>
      <c r="J33" s="32">
        <v>2621496</v>
      </c>
      <c r="K33" s="32">
        <v>2765280</v>
      </c>
      <c r="L33" s="32">
        <v>2879404</v>
      </c>
      <c r="M33" s="32">
        <v>2921751</v>
      </c>
      <c r="N33" s="32">
        <v>2996223</v>
      </c>
      <c r="O33" s="32">
        <v>3157775</v>
      </c>
      <c r="P33" s="32">
        <v>3329098</v>
      </c>
      <c r="Q33" s="32">
        <v>3711837.4800399998</v>
      </c>
      <c r="R33" s="32">
        <v>4147584</v>
      </c>
      <c r="S33" s="32">
        <v>4521472</v>
      </c>
      <c r="T33" s="32">
        <v>4994520</v>
      </c>
      <c r="U33" s="32">
        <v>5335943</v>
      </c>
      <c r="V33" s="32">
        <v>5524210</v>
      </c>
      <c r="W33" s="32">
        <v>5557916</v>
      </c>
      <c r="X33" s="32">
        <v>5489832</v>
      </c>
      <c r="Y33" s="32">
        <v>5491140</v>
      </c>
    </row>
    <row r="34" spans="2:25" ht="14.25" customHeight="1" x14ac:dyDescent="0.45">
      <c r="B34" s="6" t="s">
        <v>45</v>
      </c>
      <c r="C34" s="6">
        <v>876</v>
      </c>
      <c r="D34" s="32">
        <v>3917</v>
      </c>
      <c r="E34" s="32">
        <v>5618.3280000000004</v>
      </c>
      <c r="F34" s="32">
        <v>5559.4830000000002</v>
      </c>
      <c r="G34" s="32">
        <v>5997</v>
      </c>
      <c r="H34" s="32">
        <v>8209</v>
      </c>
      <c r="I34" s="32">
        <v>8269</v>
      </c>
      <c r="J34" s="32">
        <v>8377</v>
      </c>
      <c r="K34" s="32">
        <v>9544</v>
      </c>
      <c r="L34" s="32">
        <v>12759</v>
      </c>
      <c r="M34" s="32">
        <v>13012</v>
      </c>
      <c r="N34" s="32">
        <v>14615</v>
      </c>
      <c r="O34" s="32">
        <v>14691</v>
      </c>
      <c r="P34" s="32">
        <v>15435</v>
      </c>
      <c r="Q34" s="32">
        <v>16191</v>
      </c>
      <c r="R34" s="32">
        <v>16985</v>
      </c>
      <c r="S34" s="32">
        <v>17887</v>
      </c>
      <c r="T34" s="32">
        <v>19752</v>
      </c>
      <c r="U34" s="32">
        <v>19973</v>
      </c>
      <c r="V34" s="32">
        <v>20210</v>
      </c>
      <c r="W34" s="32">
        <v>27642</v>
      </c>
      <c r="X34" s="32">
        <v>31542</v>
      </c>
      <c r="Y34" s="32">
        <v>32935</v>
      </c>
    </row>
    <row r="35" spans="2:25" s="12" customFormat="1" ht="14.25" customHeight="1" thickBot="1" x14ac:dyDescent="0.5">
      <c r="B35" s="5" t="s">
        <v>46</v>
      </c>
      <c r="C35" s="33">
        <f t="shared" ref="C35:U35" si="2">C31+C32+C33+C34</f>
        <v>436141</v>
      </c>
      <c r="D35" s="33">
        <f t="shared" si="2"/>
        <v>953698</v>
      </c>
      <c r="E35" s="33">
        <f t="shared" si="2"/>
        <v>1225955.5449999999</v>
      </c>
      <c r="F35" s="33">
        <f t="shared" si="2"/>
        <v>1531256.93</v>
      </c>
      <c r="G35" s="33">
        <f t="shared" si="2"/>
        <v>1927234.5449999999</v>
      </c>
      <c r="H35" s="33">
        <f t="shared" si="2"/>
        <v>2337258</v>
      </c>
      <c r="I35" s="33">
        <f t="shared" si="2"/>
        <v>2576618</v>
      </c>
      <c r="J35" s="33">
        <f t="shared" si="2"/>
        <v>2753218</v>
      </c>
      <c r="K35" s="33">
        <f t="shared" si="2"/>
        <v>5606512</v>
      </c>
      <c r="L35" s="33">
        <f t="shared" si="2"/>
        <v>6315929</v>
      </c>
      <c r="M35" s="33">
        <f t="shared" si="2"/>
        <v>5941516</v>
      </c>
      <c r="N35" s="33">
        <f t="shared" si="2"/>
        <v>6285910</v>
      </c>
      <c r="O35" s="33">
        <f t="shared" si="2"/>
        <v>7041675</v>
      </c>
      <c r="P35" s="33">
        <f t="shared" si="2"/>
        <v>6663545</v>
      </c>
      <c r="Q35" s="33">
        <f t="shared" si="2"/>
        <v>7414045.4800399998</v>
      </c>
      <c r="R35" s="33">
        <f t="shared" si="2"/>
        <v>8168048</v>
      </c>
      <c r="S35" s="33">
        <f t="shared" si="2"/>
        <v>5300703</v>
      </c>
      <c r="T35" s="33">
        <f t="shared" si="2"/>
        <v>5641555</v>
      </c>
      <c r="U35" s="33">
        <f t="shared" si="2"/>
        <v>6273821</v>
      </c>
      <c r="V35" s="33">
        <f t="shared" ref="V35" si="3">V31+V32+V33+V34</f>
        <v>6628021</v>
      </c>
      <c r="W35" s="33">
        <v>6532440</v>
      </c>
      <c r="X35" s="33">
        <v>6618414</v>
      </c>
      <c r="Y35" s="33">
        <v>6822662</v>
      </c>
    </row>
    <row r="36" spans="2:25" ht="14.25" customHeight="1" thickBot="1" x14ac:dyDescent="0.5">
      <c r="B36" s="9" t="s">
        <v>47</v>
      </c>
      <c r="C36" s="31">
        <f t="shared" ref="C36:U36" si="4">C35+C20</f>
        <v>739849</v>
      </c>
      <c r="D36" s="31">
        <f t="shared" si="4"/>
        <v>1196229</v>
      </c>
      <c r="E36" s="31">
        <f t="shared" si="4"/>
        <v>1615464.8029999998</v>
      </c>
      <c r="F36" s="31">
        <f t="shared" si="4"/>
        <v>2199057.5659999996</v>
      </c>
      <c r="G36" s="31">
        <f t="shared" si="4"/>
        <v>2782939.5449999999</v>
      </c>
      <c r="H36" s="31">
        <f t="shared" si="4"/>
        <v>3373890</v>
      </c>
      <c r="I36" s="31">
        <f t="shared" si="4"/>
        <v>4061068</v>
      </c>
      <c r="J36" s="31">
        <f t="shared" si="4"/>
        <v>4530258</v>
      </c>
      <c r="K36" s="31">
        <f t="shared" si="4"/>
        <v>7386151</v>
      </c>
      <c r="L36" s="31">
        <f t="shared" si="4"/>
        <v>8148506</v>
      </c>
      <c r="M36" s="31">
        <f t="shared" si="4"/>
        <v>8050768</v>
      </c>
      <c r="N36" s="31">
        <f t="shared" si="4"/>
        <v>9710211</v>
      </c>
      <c r="O36" s="31">
        <f t="shared" si="4"/>
        <v>9981296</v>
      </c>
      <c r="P36" s="31">
        <f t="shared" si="4"/>
        <v>10338784</v>
      </c>
      <c r="Q36" s="31">
        <f t="shared" si="4"/>
        <v>12759440.38493</v>
      </c>
      <c r="R36" s="31">
        <f t="shared" si="4"/>
        <v>14999435</v>
      </c>
      <c r="S36" s="31">
        <f t="shared" si="4"/>
        <v>14255999</v>
      </c>
      <c r="T36" s="31">
        <f t="shared" si="4"/>
        <v>14442635</v>
      </c>
      <c r="U36" s="31">
        <f t="shared" si="4"/>
        <v>14461187</v>
      </c>
      <c r="V36" s="31">
        <f>V35+V20</f>
        <v>15674021</v>
      </c>
      <c r="W36" s="31">
        <v>14492715</v>
      </c>
      <c r="X36" s="31">
        <v>13364649</v>
      </c>
      <c r="Y36" s="31">
        <v>13670488</v>
      </c>
    </row>
    <row r="37" spans="2:25" ht="16.5" x14ac:dyDescent="0.45">
      <c r="B37" s="6"/>
      <c r="C37" s="6"/>
      <c r="D37" s="32"/>
      <c r="E37" s="32"/>
      <c r="F37" s="32"/>
      <c r="G37" s="32"/>
      <c r="H37" s="32"/>
      <c r="I37" s="32"/>
      <c r="J37" s="32"/>
      <c r="K37" s="32"/>
      <c r="L37" s="32"/>
      <c r="M37" s="32"/>
      <c r="Q37" s="32"/>
      <c r="R37" s="32"/>
      <c r="S37" s="32"/>
      <c r="T37" s="32"/>
      <c r="U37" s="32"/>
      <c r="V37" s="32"/>
    </row>
    <row r="38" spans="2:25" ht="14.25" customHeight="1" x14ac:dyDescent="0.45">
      <c r="B38" s="6" t="s">
        <v>48</v>
      </c>
      <c r="C38" s="6">
        <v>20324</v>
      </c>
      <c r="D38" s="32">
        <v>102390.39999999999</v>
      </c>
      <c r="E38" s="32">
        <v>211931.52799999999</v>
      </c>
      <c r="F38" s="32">
        <v>265794.96500000003</v>
      </c>
      <c r="G38" s="32">
        <v>243743</v>
      </c>
      <c r="H38" s="32">
        <v>233508</v>
      </c>
      <c r="I38" s="32">
        <v>470671</v>
      </c>
      <c r="J38" s="32">
        <v>736496</v>
      </c>
      <c r="K38" s="32">
        <v>398013</v>
      </c>
      <c r="L38" s="32">
        <v>264487</v>
      </c>
      <c r="M38" s="32">
        <v>723728</v>
      </c>
      <c r="N38" s="32">
        <v>1044269</v>
      </c>
      <c r="O38" s="32">
        <v>560491</v>
      </c>
      <c r="P38" s="32">
        <v>403228</v>
      </c>
      <c r="Q38" s="32">
        <v>1898422</v>
      </c>
      <c r="R38" s="32">
        <v>2276455</v>
      </c>
      <c r="S38" s="32">
        <v>1906245</v>
      </c>
      <c r="T38" s="32">
        <v>1198945</v>
      </c>
      <c r="U38" s="32">
        <v>2192510</v>
      </c>
      <c r="V38" s="32">
        <v>3613888</v>
      </c>
      <c r="W38" s="32">
        <v>3531594</v>
      </c>
      <c r="X38" s="32">
        <v>2932643</v>
      </c>
      <c r="Y38" s="32">
        <v>3211581</v>
      </c>
    </row>
    <row r="39" spans="2:25" ht="14.25" customHeight="1" x14ac:dyDescent="0.45">
      <c r="B39" s="6" t="s">
        <v>49</v>
      </c>
      <c r="C39" s="6">
        <v>12154</v>
      </c>
      <c r="D39" s="32">
        <v>66638.399999999994</v>
      </c>
      <c r="E39" s="32">
        <v>108858.755</v>
      </c>
      <c r="F39" s="32">
        <v>291622.87099999998</v>
      </c>
      <c r="G39" s="32">
        <v>412957</v>
      </c>
      <c r="H39" s="32">
        <v>538943</v>
      </c>
      <c r="I39" s="32">
        <v>649182</v>
      </c>
      <c r="J39" s="32">
        <v>694724</v>
      </c>
      <c r="K39" s="32">
        <v>867389</v>
      </c>
      <c r="L39" s="32">
        <v>751890</v>
      </c>
      <c r="M39" s="32">
        <v>457209</v>
      </c>
      <c r="N39" s="32">
        <v>936187</v>
      </c>
      <c r="O39" s="32">
        <v>974300</v>
      </c>
      <c r="P39" s="32">
        <v>955552</v>
      </c>
      <c r="Q39" s="32">
        <v>640538</v>
      </c>
      <c r="R39" s="32">
        <v>1264321</v>
      </c>
      <c r="S39" s="32">
        <v>3906946</v>
      </c>
      <c r="T39" s="32">
        <v>4271074</v>
      </c>
      <c r="U39" s="32">
        <v>2978091</v>
      </c>
      <c r="V39" s="32">
        <v>4264453</v>
      </c>
      <c r="W39" s="32">
        <v>2860731</v>
      </c>
      <c r="X39" s="32">
        <v>1031046</v>
      </c>
      <c r="Y39" s="32">
        <v>1315542</v>
      </c>
    </row>
    <row r="40" spans="2:25" ht="14.25" customHeight="1" x14ac:dyDescent="0.45">
      <c r="B40" s="6" t="s">
        <v>50</v>
      </c>
      <c r="C40" s="6">
        <v>8854</v>
      </c>
      <c r="D40" s="32">
        <v>10787</v>
      </c>
      <c r="E40" s="32">
        <v>18080.793000000001</v>
      </c>
      <c r="F40" s="32">
        <v>17135.958999999999</v>
      </c>
      <c r="G40" s="32">
        <v>46459</v>
      </c>
      <c r="H40" s="32">
        <v>29326</v>
      </c>
      <c r="I40" s="32">
        <v>15135</v>
      </c>
      <c r="J40" s="32">
        <v>16396</v>
      </c>
      <c r="K40" s="32">
        <v>28131</v>
      </c>
      <c r="L40" s="32">
        <v>20887</v>
      </c>
      <c r="M40" s="32">
        <v>21012</v>
      </c>
      <c r="N40" s="32">
        <v>25398</v>
      </c>
      <c r="O40" s="32">
        <v>76103</v>
      </c>
      <c r="P40" s="32">
        <v>26967</v>
      </c>
      <c r="Q40" s="32">
        <v>27946</v>
      </c>
      <c r="R40" s="32">
        <v>61711</v>
      </c>
      <c r="S40" s="32">
        <v>41289</v>
      </c>
      <c r="T40" s="32">
        <v>40308</v>
      </c>
      <c r="U40" s="32">
        <v>42325</v>
      </c>
      <c r="V40" s="32">
        <v>542082</v>
      </c>
      <c r="W40" s="32">
        <v>461017</v>
      </c>
      <c r="X40" s="32">
        <v>237101</v>
      </c>
      <c r="Y40" s="32">
        <v>46692</v>
      </c>
    </row>
    <row r="41" spans="2:25" ht="14.25" customHeight="1" x14ac:dyDescent="0.45">
      <c r="B41" s="6" t="s">
        <v>51</v>
      </c>
      <c r="C41" s="6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1329</v>
      </c>
      <c r="J41" s="32">
        <v>1304</v>
      </c>
      <c r="K41" s="32">
        <v>199</v>
      </c>
      <c r="L41" s="32">
        <v>2636</v>
      </c>
      <c r="M41" s="32">
        <v>8373</v>
      </c>
      <c r="N41" s="32">
        <v>18413</v>
      </c>
      <c r="O41" s="32">
        <v>20943</v>
      </c>
      <c r="P41" s="32">
        <v>20528</v>
      </c>
      <c r="Q41" s="32">
        <v>15324</v>
      </c>
      <c r="R41" s="32">
        <v>16910</v>
      </c>
      <c r="S41" s="32">
        <v>14839</v>
      </c>
      <c r="T41" s="32">
        <v>26965</v>
      </c>
      <c r="U41" s="32">
        <v>34671</v>
      </c>
      <c r="V41" s="32">
        <v>41294</v>
      </c>
      <c r="W41" s="32">
        <v>45000</v>
      </c>
      <c r="X41" s="32">
        <v>45104</v>
      </c>
      <c r="Y41" s="32">
        <v>46727</v>
      </c>
    </row>
    <row r="42" spans="2:25" ht="14.25" customHeight="1" x14ac:dyDescent="0.45">
      <c r="B42" s="6" t="s">
        <v>334</v>
      </c>
      <c r="C42" s="6">
        <v>5057</v>
      </c>
      <c r="D42" s="32">
        <v>4091</v>
      </c>
      <c r="E42" s="32">
        <v>1824.9580000000001</v>
      </c>
      <c r="F42" s="32">
        <v>102.901</v>
      </c>
      <c r="G42" s="32">
        <v>226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23604</v>
      </c>
      <c r="N42" s="32">
        <v>0</v>
      </c>
      <c r="O42" s="32">
        <v>22920</v>
      </c>
      <c r="P42" s="32">
        <v>68645</v>
      </c>
      <c r="Q42" s="32">
        <v>85256</v>
      </c>
      <c r="R42" s="32">
        <v>91582</v>
      </c>
      <c r="S42" s="32">
        <v>6902</v>
      </c>
      <c r="T42" s="32">
        <v>59816</v>
      </c>
      <c r="U42" s="32">
        <v>0</v>
      </c>
      <c r="V42" s="32">
        <v>0</v>
      </c>
      <c r="W42" s="32">
        <v>0</v>
      </c>
      <c r="X42" s="32">
        <v>0</v>
      </c>
      <c r="Y42" s="32">
        <v>938</v>
      </c>
    </row>
    <row r="43" spans="2:25" ht="14.25" customHeight="1" x14ac:dyDescent="0.45">
      <c r="B43" s="6" t="s">
        <v>52</v>
      </c>
      <c r="C43" s="6">
        <v>5410</v>
      </c>
      <c r="D43" s="32">
        <v>5391</v>
      </c>
      <c r="E43" s="32">
        <v>4453.8620000000001</v>
      </c>
      <c r="F43" s="32">
        <v>4116.2929999999997</v>
      </c>
      <c r="G43" s="32">
        <v>16067</v>
      </c>
      <c r="H43" s="32">
        <v>9323</v>
      </c>
      <c r="I43" s="32">
        <v>16747</v>
      </c>
      <c r="J43" s="32">
        <v>24925</v>
      </c>
      <c r="K43" s="32">
        <v>4145</v>
      </c>
      <c r="L43" s="32">
        <v>13671</v>
      </c>
      <c r="M43" s="32">
        <v>9695</v>
      </c>
      <c r="N43" s="32">
        <v>13973</v>
      </c>
      <c r="O43" s="32">
        <v>13351</v>
      </c>
      <c r="P43" s="32">
        <v>19863</v>
      </c>
      <c r="Q43" s="32">
        <v>23058</v>
      </c>
      <c r="R43" s="32">
        <v>13607</v>
      </c>
      <c r="S43" s="32">
        <v>15387</v>
      </c>
      <c r="T43" s="32">
        <v>14964</v>
      </c>
      <c r="U43" s="32">
        <v>25564</v>
      </c>
      <c r="V43" s="32">
        <v>17600</v>
      </c>
      <c r="W43" s="32">
        <v>20989</v>
      </c>
      <c r="X43" s="32">
        <v>8599</v>
      </c>
      <c r="Y43" s="32">
        <v>10771</v>
      </c>
    </row>
    <row r="44" spans="2:25" ht="14.25" customHeight="1" x14ac:dyDescent="0.45">
      <c r="B44" s="6" t="s">
        <v>53</v>
      </c>
      <c r="C44" s="6">
        <v>2661</v>
      </c>
      <c r="D44" s="32">
        <v>5740</v>
      </c>
      <c r="E44" s="32">
        <v>8473.9989999999998</v>
      </c>
      <c r="F44" s="32">
        <v>13263.353999999999</v>
      </c>
      <c r="G44" s="32">
        <v>14434</v>
      </c>
      <c r="H44" s="32">
        <v>23885</v>
      </c>
      <c r="I44" s="32">
        <v>29396</v>
      </c>
      <c r="J44" s="32">
        <v>37084</v>
      </c>
      <c r="K44" s="32">
        <v>22437</v>
      </c>
      <c r="L44" s="32">
        <v>28526</v>
      </c>
      <c r="M44" s="32">
        <v>25830</v>
      </c>
      <c r="N44" s="32">
        <v>30117</v>
      </c>
      <c r="O44" s="32">
        <v>37212</v>
      </c>
      <c r="P44" s="32">
        <v>47668</v>
      </c>
      <c r="Q44" s="32">
        <v>38332</v>
      </c>
      <c r="R44" s="32">
        <v>41856</v>
      </c>
      <c r="S44" s="32">
        <v>53954</v>
      </c>
      <c r="T44" s="32">
        <v>67041</v>
      </c>
      <c r="U44" s="32">
        <v>58327</v>
      </c>
      <c r="V44" s="32">
        <v>46107</v>
      </c>
      <c r="W44" s="32">
        <v>50265</v>
      </c>
      <c r="X44" s="32">
        <v>61526</v>
      </c>
      <c r="Y44" s="32">
        <v>67812</v>
      </c>
    </row>
    <row r="45" spans="2:25" ht="14.25" customHeight="1" x14ac:dyDescent="0.45">
      <c r="B45" s="6" t="s">
        <v>189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5697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</row>
    <row r="46" spans="2:25" ht="14.25" customHeight="1" x14ac:dyDescent="0.45">
      <c r="B46" s="6" t="s">
        <v>332</v>
      </c>
      <c r="C46" s="6">
        <v>0</v>
      </c>
      <c r="D46" s="32">
        <v>23443</v>
      </c>
      <c r="E46" s="32">
        <v>7390.5320000000002</v>
      </c>
      <c r="F46" s="32">
        <v>34513.521000000001</v>
      </c>
      <c r="G46" s="32">
        <v>3158</v>
      </c>
      <c r="H46" s="32">
        <v>35474</v>
      </c>
      <c r="I46" s="32">
        <v>14655</v>
      </c>
      <c r="J46" s="32">
        <v>42</v>
      </c>
      <c r="K46" s="32">
        <v>15709</v>
      </c>
      <c r="L46" s="32">
        <v>59068</v>
      </c>
      <c r="M46" s="32">
        <v>278537</v>
      </c>
      <c r="N46" s="32">
        <v>291461</v>
      </c>
      <c r="O46" s="32">
        <v>302882</v>
      </c>
      <c r="P46" s="32">
        <v>584884</v>
      </c>
      <c r="Q46" s="32">
        <v>465443</v>
      </c>
      <c r="R46" s="32">
        <v>431717</v>
      </c>
      <c r="S46" s="32">
        <v>343126</v>
      </c>
      <c r="T46" s="32">
        <v>407908</v>
      </c>
      <c r="U46" s="32">
        <v>371066</v>
      </c>
      <c r="V46" s="32">
        <v>304721</v>
      </c>
      <c r="W46" s="32">
        <v>83902</v>
      </c>
      <c r="X46" s="32">
        <v>1837</v>
      </c>
      <c r="Y46" s="32">
        <v>30621</v>
      </c>
    </row>
    <row r="47" spans="2:25" s="12" customFormat="1" ht="14.25" customHeight="1" x14ac:dyDescent="0.45">
      <c r="B47" s="5" t="s">
        <v>54</v>
      </c>
      <c r="C47" s="33">
        <f t="shared" ref="C47:U47" si="5">SUM(C38:C46)</f>
        <v>54460</v>
      </c>
      <c r="D47" s="33">
        <f t="shared" si="5"/>
        <v>218480.8</v>
      </c>
      <c r="E47" s="33">
        <f t="shared" si="5"/>
        <v>361014.42700000003</v>
      </c>
      <c r="F47" s="33">
        <f t="shared" si="5"/>
        <v>626549.86399999994</v>
      </c>
      <c r="G47" s="33">
        <f t="shared" si="5"/>
        <v>737044</v>
      </c>
      <c r="H47" s="33">
        <f t="shared" si="5"/>
        <v>870459</v>
      </c>
      <c r="I47" s="33">
        <f t="shared" si="5"/>
        <v>1197115</v>
      </c>
      <c r="J47" s="33">
        <f t="shared" si="5"/>
        <v>1510971</v>
      </c>
      <c r="K47" s="33">
        <f t="shared" si="5"/>
        <v>1336023</v>
      </c>
      <c r="L47" s="33">
        <f t="shared" si="5"/>
        <v>1141165</v>
      </c>
      <c r="M47" s="33">
        <f t="shared" si="5"/>
        <v>1547988</v>
      </c>
      <c r="N47" s="33">
        <f t="shared" si="5"/>
        <v>2359818</v>
      </c>
      <c r="O47" s="33">
        <f t="shared" si="5"/>
        <v>2013899</v>
      </c>
      <c r="P47" s="33">
        <f t="shared" si="5"/>
        <v>2127335</v>
      </c>
      <c r="Q47" s="33">
        <f t="shared" si="5"/>
        <v>3194319</v>
      </c>
      <c r="R47" s="33">
        <f t="shared" si="5"/>
        <v>4198159</v>
      </c>
      <c r="S47" s="33">
        <f t="shared" si="5"/>
        <v>6288688</v>
      </c>
      <c r="T47" s="33">
        <f t="shared" si="5"/>
        <v>6087021</v>
      </c>
      <c r="U47" s="33">
        <f t="shared" si="5"/>
        <v>5702554</v>
      </c>
      <c r="V47" s="33">
        <f t="shared" ref="V47" si="6">SUM(V38:V46)</f>
        <v>8830145</v>
      </c>
      <c r="W47" s="33">
        <v>7053498</v>
      </c>
      <c r="X47" s="33">
        <v>4317856</v>
      </c>
      <c r="Y47" s="33">
        <v>4730684</v>
      </c>
    </row>
    <row r="48" spans="2:25" ht="14.25" customHeight="1" x14ac:dyDescent="0.45">
      <c r="B48" s="6" t="s">
        <v>48</v>
      </c>
      <c r="C48" s="6">
        <v>0</v>
      </c>
      <c r="D48" s="32">
        <v>17563</v>
      </c>
      <c r="E48" s="32">
        <v>17539.424999999999</v>
      </c>
      <c r="F48" s="32">
        <v>9307.0249999999996</v>
      </c>
      <c r="G48" s="32">
        <v>9170</v>
      </c>
      <c r="H48" s="32">
        <v>3565</v>
      </c>
      <c r="I48" s="32">
        <v>5794</v>
      </c>
      <c r="J48" s="32">
        <v>42828</v>
      </c>
      <c r="K48" s="32">
        <v>46599</v>
      </c>
      <c r="L48" s="32">
        <v>20501</v>
      </c>
      <c r="M48" s="32">
        <v>20874</v>
      </c>
      <c r="N48" s="32">
        <v>21201</v>
      </c>
      <c r="O48" s="32">
        <v>18893</v>
      </c>
      <c r="P48" s="32">
        <v>31217</v>
      </c>
      <c r="Q48" s="32">
        <v>20059</v>
      </c>
      <c r="R48" s="32">
        <v>43835</v>
      </c>
      <c r="S48" s="32">
        <v>44677</v>
      </c>
      <c r="T48" s="32">
        <v>18795</v>
      </c>
      <c r="U48" s="32">
        <v>17342</v>
      </c>
      <c r="V48" s="32">
        <v>17342</v>
      </c>
      <c r="W48" s="32">
        <v>16599</v>
      </c>
      <c r="X48" s="32">
        <v>18200</v>
      </c>
      <c r="Y48" s="32">
        <v>18200</v>
      </c>
    </row>
    <row r="49" spans="2:25" ht="14.25" customHeight="1" x14ac:dyDescent="0.45">
      <c r="B49" s="6" t="s">
        <v>49</v>
      </c>
      <c r="C49" s="6">
        <v>425776</v>
      </c>
      <c r="D49" s="32">
        <v>679847</v>
      </c>
      <c r="E49" s="32">
        <v>886875.48100000003</v>
      </c>
      <c r="F49" s="32">
        <v>1316383.5889999999</v>
      </c>
      <c r="G49" s="32">
        <v>1668028</v>
      </c>
      <c r="H49" s="32">
        <v>2498230</v>
      </c>
      <c r="I49" s="32">
        <v>2898066</v>
      </c>
      <c r="J49" s="32">
        <v>2895089</v>
      </c>
      <c r="K49" s="32">
        <v>5692883</v>
      </c>
      <c r="L49" s="32">
        <v>6680483</v>
      </c>
      <c r="M49" s="32">
        <v>5894379</v>
      </c>
      <c r="N49" s="32">
        <v>6813521</v>
      </c>
      <c r="O49" s="32">
        <v>7279229</v>
      </c>
      <c r="P49" s="32">
        <v>7239741</v>
      </c>
      <c r="Q49" s="32">
        <v>9035038</v>
      </c>
      <c r="R49" s="32">
        <v>10318718</v>
      </c>
      <c r="S49" s="32">
        <v>7293466</v>
      </c>
      <c r="T49" s="32">
        <v>7351156</v>
      </c>
      <c r="U49" s="32">
        <v>8178610</v>
      </c>
      <c r="V49" s="32">
        <v>6227789</v>
      </c>
      <c r="W49" s="32">
        <v>7157278</v>
      </c>
      <c r="X49" s="32">
        <v>8959869</v>
      </c>
      <c r="Y49" s="32">
        <v>8961563</v>
      </c>
    </row>
    <row r="50" spans="2:25" ht="14.25" customHeight="1" x14ac:dyDescent="0.45">
      <c r="B50" s="6" t="s">
        <v>51</v>
      </c>
      <c r="C50" s="6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8781</v>
      </c>
      <c r="J50" s="32">
        <v>8850</v>
      </c>
      <c r="K50" s="32">
        <v>15262</v>
      </c>
      <c r="L50" s="32">
        <v>27224</v>
      </c>
      <c r="M50" s="32">
        <v>36562</v>
      </c>
      <c r="N50" s="32">
        <v>69546</v>
      </c>
      <c r="O50" s="32">
        <v>94669</v>
      </c>
      <c r="P50" s="32">
        <v>112801</v>
      </c>
      <c r="Q50" s="32">
        <v>110940</v>
      </c>
      <c r="R50" s="32">
        <v>60961</v>
      </c>
      <c r="S50" s="32">
        <v>49710</v>
      </c>
      <c r="T50" s="32">
        <v>189462</v>
      </c>
      <c r="U50" s="32">
        <v>301873</v>
      </c>
      <c r="V50" s="32">
        <v>351775</v>
      </c>
      <c r="W50" s="32">
        <v>352177</v>
      </c>
      <c r="X50" s="32">
        <v>338733</v>
      </c>
      <c r="Y50" s="32">
        <v>338100</v>
      </c>
    </row>
    <row r="51" spans="2:25" ht="14.25" customHeight="1" x14ac:dyDescent="0.45">
      <c r="B51" s="6" t="s">
        <v>332</v>
      </c>
      <c r="C51" s="6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191007</v>
      </c>
      <c r="Q51" s="32">
        <v>77299</v>
      </c>
      <c r="R51" s="32">
        <v>76048</v>
      </c>
      <c r="S51" s="32">
        <v>1360</v>
      </c>
      <c r="T51" s="32">
        <v>0</v>
      </c>
      <c r="U51" s="32">
        <v>0</v>
      </c>
      <c r="V51" s="32">
        <v>0</v>
      </c>
      <c r="W51" s="32">
        <v>0</v>
      </c>
      <c r="X51" s="32">
        <v>63876</v>
      </c>
      <c r="Y51" s="32">
        <v>19671</v>
      </c>
    </row>
    <row r="52" spans="2:25" ht="14.25" customHeight="1" x14ac:dyDescent="0.45">
      <c r="B52" s="6" t="s">
        <v>55</v>
      </c>
      <c r="C52" s="6">
        <v>83677</v>
      </c>
      <c r="D52" s="32">
        <v>78032</v>
      </c>
      <c r="E52" s="32">
        <v>78353.339000000007</v>
      </c>
      <c r="F52" s="32">
        <v>74552.426000000007</v>
      </c>
      <c r="G52" s="32">
        <v>64559</v>
      </c>
      <c r="H52" s="32">
        <v>59416</v>
      </c>
      <c r="I52" s="32">
        <v>60898</v>
      </c>
      <c r="J52" s="32">
        <v>62418</v>
      </c>
      <c r="K52" s="32">
        <v>461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</row>
    <row r="53" spans="2:25" ht="14.25" customHeight="1" x14ac:dyDescent="0.45">
      <c r="B53" s="6" t="s">
        <v>52</v>
      </c>
      <c r="C53" s="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>
        <v>5427</v>
      </c>
    </row>
    <row r="54" spans="2:25" ht="14.25" customHeight="1" x14ac:dyDescent="0.45">
      <c r="B54" s="6" t="s">
        <v>56</v>
      </c>
      <c r="C54" s="6">
        <v>25166</v>
      </c>
      <c r="D54" s="32">
        <v>12277</v>
      </c>
      <c r="E54" s="32">
        <v>33375.345000000001</v>
      </c>
      <c r="F54" s="32">
        <v>3400.0219999999999</v>
      </c>
      <c r="G54" s="32">
        <v>41764</v>
      </c>
      <c r="H54" s="32">
        <v>0</v>
      </c>
      <c r="I54" s="32">
        <v>0</v>
      </c>
      <c r="J54" s="32">
        <v>0</v>
      </c>
      <c r="K54" s="32">
        <v>32832</v>
      </c>
      <c r="L54" s="32">
        <v>9151</v>
      </c>
      <c r="M54" s="32">
        <v>32326</v>
      </c>
      <c r="N54" s="32">
        <v>59453</v>
      </c>
      <c r="O54" s="32">
        <v>124337</v>
      </c>
      <c r="P54" s="32">
        <v>61007</v>
      </c>
      <c r="Q54" s="32">
        <v>7950.3368335999257</v>
      </c>
      <c r="R54" s="32">
        <v>11603</v>
      </c>
      <c r="S54" s="32">
        <v>70919</v>
      </c>
      <c r="T54" s="32">
        <v>59445</v>
      </c>
      <c r="U54" s="32">
        <v>63903</v>
      </c>
      <c r="V54" s="32">
        <v>203352</v>
      </c>
      <c r="W54" s="32">
        <v>0</v>
      </c>
      <c r="X54" s="32">
        <v>209</v>
      </c>
      <c r="Y54" s="32">
        <v>0</v>
      </c>
    </row>
    <row r="55" spans="2:25" ht="14.25" customHeight="1" x14ac:dyDescent="0.45">
      <c r="B55" s="6" t="s">
        <v>335</v>
      </c>
      <c r="C55" s="6">
        <v>3324</v>
      </c>
      <c r="D55" s="32">
        <v>13805</v>
      </c>
      <c r="E55" s="32">
        <v>13142.79</v>
      </c>
      <c r="F55" s="32">
        <v>14575.397000000001</v>
      </c>
      <c r="G55" s="32">
        <v>23685</v>
      </c>
      <c r="H55" s="32">
        <v>30544</v>
      </c>
      <c r="I55" s="32">
        <v>32172</v>
      </c>
      <c r="J55" s="32">
        <v>33139</v>
      </c>
      <c r="K55" s="32">
        <v>30531</v>
      </c>
      <c r="L55" s="32">
        <v>33472</v>
      </c>
      <c r="M55" s="32">
        <v>29388</v>
      </c>
      <c r="N55" s="32">
        <v>31952</v>
      </c>
      <c r="O55" s="32">
        <v>32786</v>
      </c>
      <c r="P55" s="32">
        <v>27828</v>
      </c>
      <c r="Q55" s="32">
        <v>0</v>
      </c>
      <c r="R55" s="32">
        <v>0</v>
      </c>
      <c r="S55" s="32">
        <v>0</v>
      </c>
      <c r="T55" s="32">
        <v>0</v>
      </c>
      <c r="U55" s="32">
        <v>398</v>
      </c>
      <c r="V55" s="32">
        <v>189</v>
      </c>
      <c r="W55" s="32">
        <v>160</v>
      </c>
      <c r="X55" s="32">
        <v>538</v>
      </c>
      <c r="Y55" s="32">
        <v>2634</v>
      </c>
    </row>
    <row r="56" spans="2:25" s="12" customFormat="1" ht="14.25" customHeight="1" x14ac:dyDescent="0.45">
      <c r="B56" s="5" t="s">
        <v>57</v>
      </c>
      <c r="C56" s="33">
        <f t="shared" ref="C56:U56" si="7">SUM(C48:C55)</f>
        <v>537943</v>
      </c>
      <c r="D56" s="33">
        <f t="shared" si="7"/>
        <v>801524</v>
      </c>
      <c r="E56" s="33">
        <f t="shared" si="7"/>
        <v>1029286.3800000001</v>
      </c>
      <c r="F56" s="33">
        <f t="shared" si="7"/>
        <v>1418218.459</v>
      </c>
      <c r="G56" s="33">
        <f t="shared" si="7"/>
        <v>1807206</v>
      </c>
      <c r="H56" s="33">
        <f t="shared" si="7"/>
        <v>2591755</v>
      </c>
      <c r="I56" s="33">
        <f t="shared" si="7"/>
        <v>3005711</v>
      </c>
      <c r="J56" s="33">
        <f t="shared" si="7"/>
        <v>3042324</v>
      </c>
      <c r="K56" s="33">
        <f t="shared" si="7"/>
        <v>5818568</v>
      </c>
      <c r="L56" s="33">
        <f t="shared" si="7"/>
        <v>6770831</v>
      </c>
      <c r="M56" s="33">
        <f t="shared" si="7"/>
        <v>6013529</v>
      </c>
      <c r="N56" s="33">
        <f t="shared" si="7"/>
        <v>6995673</v>
      </c>
      <c r="O56" s="33">
        <f t="shared" si="7"/>
        <v>7549914</v>
      </c>
      <c r="P56" s="33">
        <f t="shared" si="7"/>
        <v>7663601</v>
      </c>
      <c r="Q56" s="33">
        <f t="shared" si="7"/>
        <v>9251286.3368336</v>
      </c>
      <c r="R56" s="33">
        <f t="shared" si="7"/>
        <v>10511165</v>
      </c>
      <c r="S56" s="33">
        <f t="shared" si="7"/>
        <v>7460132</v>
      </c>
      <c r="T56" s="33">
        <f t="shared" si="7"/>
        <v>7618858</v>
      </c>
      <c r="U56" s="33">
        <f t="shared" si="7"/>
        <v>8562126</v>
      </c>
      <c r="V56" s="33">
        <f>SUM(V48:V55)</f>
        <v>6800447</v>
      </c>
      <c r="W56" s="33">
        <v>7526214</v>
      </c>
      <c r="X56" s="33">
        <v>9381425</v>
      </c>
      <c r="Y56" s="33">
        <v>9345595</v>
      </c>
    </row>
    <row r="57" spans="2:25" ht="14.25" customHeight="1" x14ac:dyDescent="0.45">
      <c r="B57" s="6" t="s">
        <v>58</v>
      </c>
      <c r="C57" s="6">
        <v>83381</v>
      </c>
      <c r="D57" s="32">
        <v>83381</v>
      </c>
      <c r="E57" s="32">
        <v>83380.928</v>
      </c>
      <c r="F57" s="32">
        <v>83380.928</v>
      </c>
      <c r="G57" s="32">
        <v>83381</v>
      </c>
      <c r="H57" s="32">
        <v>83381</v>
      </c>
      <c r="I57" s="32">
        <v>83381</v>
      </c>
      <c r="J57" s="32">
        <v>83381</v>
      </c>
      <c r="K57" s="32">
        <v>87806</v>
      </c>
      <c r="L57" s="32">
        <v>87806</v>
      </c>
      <c r="M57" s="32">
        <v>87806</v>
      </c>
      <c r="N57" s="32">
        <v>87806</v>
      </c>
      <c r="O57" s="32">
        <v>87806</v>
      </c>
      <c r="P57" s="32">
        <v>87806</v>
      </c>
      <c r="Q57" s="32">
        <v>87806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</row>
    <row r="58" spans="2:25" ht="14.25" customHeight="1" x14ac:dyDescent="0.45">
      <c r="B58" s="69" t="s">
        <v>241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32">
        <v>0</v>
      </c>
      <c r="R58" s="32">
        <v>290110.99999999988</v>
      </c>
      <c r="S58" s="32">
        <v>507179</v>
      </c>
      <c r="T58" s="32">
        <v>736756</v>
      </c>
      <c r="U58" s="32">
        <v>196507</v>
      </c>
      <c r="V58" s="32">
        <v>43429</v>
      </c>
      <c r="W58" s="6">
        <v>-86997</v>
      </c>
      <c r="X58" s="6">
        <v>-334632</v>
      </c>
      <c r="Y58" s="6">
        <v>-405791</v>
      </c>
    </row>
    <row r="59" spans="2:25" ht="14.25" customHeight="1" x14ac:dyDescent="0.45">
      <c r="B59" s="6" t="s">
        <v>59</v>
      </c>
      <c r="C59" s="6">
        <v>45761</v>
      </c>
      <c r="D59" s="6">
        <v>26579</v>
      </c>
      <c r="E59" s="6">
        <v>24246.131000000001</v>
      </c>
      <c r="F59" s="6">
        <v>18040.309000000001</v>
      </c>
      <c r="G59" s="6">
        <v>6345</v>
      </c>
      <c r="H59" s="6">
        <v>612</v>
      </c>
      <c r="I59" s="6">
        <v>596</v>
      </c>
      <c r="J59" s="6">
        <v>580</v>
      </c>
      <c r="K59" s="6">
        <v>112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6">
        <v>0</v>
      </c>
      <c r="X59" s="6">
        <v>0</v>
      </c>
      <c r="Y59" s="6">
        <v>0</v>
      </c>
    </row>
    <row r="60" spans="2:25" ht="14.25" customHeight="1" x14ac:dyDescent="0.45">
      <c r="B60" s="6" t="s">
        <v>60</v>
      </c>
      <c r="C60" s="6">
        <v>0</v>
      </c>
      <c r="D60" s="6">
        <v>22777</v>
      </c>
      <c r="E60" s="6">
        <v>21683</v>
      </c>
      <c r="F60" s="6">
        <v>16892.746999999999</v>
      </c>
      <c r="G60" s="6">
        <v>28395</v>
      </c>
      <c r="H60" s="6">
        <v>16741</v>
      </c>
      <c r="I60" s="6">
        <v>16741</v>
      </c>
      <c r="J60" s="6">
        <v>63187</v>
      </c>
      <c r="K60" s="6">
        <v>95424</v>
      </c>
      <c r="L60" s="6">
        <v>126581.16616000001</v>
      </c>
      <c r="M60" s="6">
        <v>139557</v>
      </c>
      <c r="N60" s="6">
        <v>157198</v>
      </c>
      <c r="O60" s="6">
        <v>194611</v>
      </c>
      <c r="P60" s="6">
        <v>313558.66628999996</v>
      </c>
      <c r="Q60" s="32">
        <v>313558.66628999996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6">
        <v>0</v>
      </c>
      <c r="X60" s="6">
        <v>0</v>
      </c>
      <c r="Y60" s="6">
        <v>0</v>
      </c>
    </row>
    <row r="61" spans="2:25" ht="14.25" customHeight="1" x14ac:dyDescent="0.45">
      <c r="B61" s="6" t="s">
        <v>190</v>
      </c>
      <c r="C61" s="6">
        <v>18304</v>
      </c>
      <c r="D61" s="6">
        <v>43487</v>
      </c>
      <c r="E61" s="6">
        <v>95854</v>
      </c>
      <c r="F61" s="6">
        <v>35975.258999999998</v>
      </c>
      <c r="G61" s="6">
        <v>120569</v>
      </c>
      <c r="H61" s="6">
        <v>-189058</v>
      </c>
      <c r="I61" s="6">
        <v>-242476</v>
      </c>
      <c r="J61" s="6">
        <v>-170185</v>
      </c>
      <c r="K61" s="6">
        <v>48218</v>
      </c>
      <c r="L61" s="6">
        <v>22275.833839999977</v>
      </c>
      <c r="M61" s="6">
        <v>261614</v>
      </c>
      <c r="N61" s="6">
        <v>109481</v>
      </c>
      <c r="O61" s="6">
        <v>193850</v>
      </c>
      <c r="P61" s="6">
        <v>176651.33370999992</v>
      </c>
      <c r="Q61" s="32">
        <v>66399.536206399905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6">
        <v>0</v>
      </c>
      <c r="X61" s="6">
        <v>0</v>
      </c>
      <c r="Y61" s="6">
        <v>0</v>
      </c>
    </row>
    <row r="62" spans="2:25" ht="14.25" customHeight="1" x14ac:dyDescent="0.45">
      <c r="B62" s="6" t="s">
        <v>61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-153</v>
      </c>
      <c r="M62" s="6">
        <v>274</v>
      </c>
      <c r="N62" s="6">
        <v>235</v>
      </c>
      <c r="O62" s="6">
        <v>0</v>
      </c>
      <c r="P62" s="6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  <c r="W62" s="6">
        <v>0</v>
      </c>
      <c r="X62" s="6">
        <v>0</v>
      </c>
      <c r="Y62" s="6">
        <v>0</v>
      </c>
    </row>
    <row r="63" spans="2:25" ht="14.25" customHeight="1" x14ac:dyDescent="0.45">
      <c r="B63" s="6" t="s">
        <v>191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-58784</v>
      </c>
      <c r="P63" s="6">
        <v>-30168</v>
      </c>
      <c r="Q63" s="32">
        <v>-153930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6">
        <v>0</v>
      </c>
      <c r="X63" s="6">
        <v>0</v>
      </c>
      <c r="Y63" s="6">
        <v>0</v>
      </c>
    </row>
    <row r="64" spans="2:25" s="12" customFormat="1" ht="14.25" customHeight="1" thickBot="1" x14ac:dyDescent="0.5">
      <c r="B64" s="5" t="s">
        <v>62</v>
      </c>
      <c r="C64" s="33">
        <f t="shared" ref="C64:U64" si="8">SUM(C57:C63)</f>
        <v>147446</v>
      </c>
      <c r="D64" s="33">
        <f t="shared" si="8"/>
        <v>176224</v>
      </c>
      <c r="E64" s="33">
        <f t="shared" si="8"/>
        <v>225164.05900000001</v>
      </c>
      <c r="F64" s="33">
        <f t="shared" si="8"/>
        <v>154289.24299999999</v>
      </c>
      <c r="G64" s="33">
        <f t="shared" si="8"/>
        <v>238690</v>
      </c>
      <c r="H64" s="33">
        <f t="shared" si="8"/>
        <v>-88324</v>
      </c>
      <c r="I64" s="33">
        <f t="shared" si="8"/>
        <v>-141758</v>
      </c>
      <c r="J64" s="33">
        <f t="shared" si="8"/>
        <v>-23037</v>
      </c>
      <c r="K64" s="33">
        <f t="shared" si="8"/>
        <v>231560</v>
      </c>
      <c r="L64" s="33">
        <f t="shared" si="8"/>
        <v>236510</v>
      </c>
      <c r="M64" s="33">
        <f t="shared" si="8"/>
        <v>489251</v>
      </c>
      <c r="N64" s="33">
        <f t="shared" si="8"/>
        <v>354720</v>
      </c>
      <c r="O64" s="33">
        <f t="shared" si="8"/>
        <v>417483</v>
      </c>
      <c r="P64" s="33">
        <f t="shared" si="8"/>
        <v>547847.99999999988</v>
      </c>
      <c r="Q64" s="33">
        <f t="shared" si="8"/>
        <v>313834.20249639987</v>
      </c>
      <c r="R64" s="33">
        <f t="shared" si="8"/>
        <v>290110.99999999988</v>
      </c>
      <c r="S64" s="33">
        <f t="shared" si="8"/>
        <v>507179</v>
      </c>
      <c r="T64" s="33">
        <f t="shared" si="8"/>
        <v>736756</v>
      </c>
      <c r="U64" s="33">
        <f t="shared" si="8"/>
        <v>196507</v>
      </c>
      <c r="V64" s="33">
        <f t="shared" ref="V64" si="9">SUM(V57:V63)</f>
        <v>43429</v>
      </c>
      <c r="W64" s="33">
        <v>-86997</v>
      </c>
      <c r="X64" s="33">
        <v>-334632</v>
      </c>
      <c r="Y64" s="33">
        <v>-405791</v>
      </c>
    </row>
    <row r="65" spans="2:25" ht="14.25" customHeight="1" thickBot="1" x14ac:dyDescent="0.5">
      <c r="B65" s="9" t="s">
        <v>63</v>
      </c>
      <c r="C65" s="31">
        <f t="shared" ref="C65:U65" si="10">C64+C56+C47</f>
        <v>739849</v>
      </c>
      <c r="D65" s="31">
        <f t="shared" si="10"/>
        <v>1196228.8</v>
      </c>
      <c r="E65" s="31">
        <f t="shared" si="10"/>
        <v>1615464.8660000004</v>
      </c>
      <c r="F65" s="31">
        <f t="shared" si="10"/>
        <v>2199057.5660000001</v>
      </c>
      <c r="G65" s="31">
        <f t="shared" si="10"/>
        <v>2782940</v>
      </c>
      <c r="H65" s="31">
        <f t="shared" si="10"/>
        <v>3373890</v>
      </c>
      <c r="I65" s="31">
        <f t="shared" si="10"/>
        <v>4061068</v>
      </c>
      <c r="J65" s="31">
        <f t="shared" si="10"/>
        <v>4530258</v>
      </c>
      <c r="K65" s="31">
        <f t="shared" si="10"/>
        <v>7386151</v>
      </c>
      <c r="L65" s="31">
        <f t="shared" si="10"/>
        <v>8148506</v>
      </c>
      <c r="M65" s="31">
        <f t="shared" si="10"/>
        <v>8050768</v>
      </c>
      <c r="N65" s="31">
        <f t="shared" si="10"/>
        <v>9710211</v>
      </c>
      <c r="O65" s="31">
        <f t="shared" si="10"/>
        <v>9981296</v>
      </c>
      <c r="P65" s="31">
        <f t="shared" si="10"/>
        <v>10338784</v>
      </c>
      <c r="Q65" s="31">
        <f t="shared" si="10"/>
        <v>12759439.53933</v>
      </c>
      <c r="R65" s="31">
        <f t="shared" si="10"/>
        <v>14999435</v>
      </c>
      <c r="S65" s="31">
        <f t="shared" si="10"/>
        <v>14255999</v>
      </c>
      <c r="T65" s="31">
        <f t="shared" si="10"/>
        <v>14442635</v>
      </c>
      <c r="U65" s="31">
        <f t="shared" si="10"/>
        <v>14461187</v>
      </c>
      <c r="V65" s="31">
        <f>V64+V56+V47</f>
        <v>15674021</v>
      </c>
      <c r="W65" s="31">
        <v>14492715</v>
      </c>
      <c r="X65" s="31">
        <v>13364649</v>
      </c>
      <c r="Y65" s="31">
        <v>13670488</v>
      </c>
    </row>
    <row r="66" spans="2:25" ht="14.25" customHeight="1" x14ac:dyDescent="0.4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60"/>
      <c r="Q66" s="32"/>
    </row>
  </sheetData>
  <mergeCells count="24">
    <mergeCell ref="X5:X6"/>
    <mergeCell ref="U5:U6"/>
    <mergeCell ref="M5:M6"/>
    <mergeCell ref="N5:N6"/>
    <mergeCell ref="P5:P6"/>
    <mergeCell ref="Q5:Q6"/>
    <mergeCell ref="R5:R6"/>
    <mergeCell ref="W5:W6"/>
    <mergeCell ref="S2:Y3"/>
    <mergeCell ref="V5:V6"/>
    <mergeCell ref="C5:C6"/>
    <mergeCell ref="L5:L6"/>
    <mergeCell ref="K5:K6"/>
    <mergeCell ref="D5:D6"/>
    <mergeCell ref="J5:J6"/>
    <mergeCell ref="E5:E6"/>
    <mergeCell ref="F5:F6"/>
    <mergeCell ref="G5:G6"/>
    <mergeCell ref="H5:H6"/>
    <mergeCell ref="I5:I6"/>
    <mergeCell ref="O5:O6"/>
    <mergeCell ref="S5:S6"/>
    <mergeCell ref="T5:T6"/>
    <mergeCell ref="Y5:Y6"/>
  </mergeCells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A4054-7B01-4FFC-82D6-138522210C6B}">
  <sheetPr>
    <tabColor rgb="FF1B7754"/>
    <outlinePr summaryRight="0"/>
  </sheetPr>
  <dimension ref="B1:AD36"/>
  <sheetViews>
    <sheetView showGridLines="0" zoomScaleNormal="100" zoomScaleSheetLayoutView="90" workbookViewId="0"/>
  </sheetViews>
  <sheetFormatPr defaultColWidth="9.1796875" defaultRowHeight="16.5" x14ac:dyDescent="0.45"/>
  <cols>
    <col min="1" max="1" width="1.7265625" style="2" customWidth="1"/>
    <col min="2" max="2" width="55.54296875" style="2" customWidth="1" collapsed="1"/>
    <col min="3" max="9" width="10.54296875" style="2" customWidth="1"/>
    <col min="10" max="10" width="10.54296875" style="2" customWidth="1" collapsed="1"/>
    <col min="11" max="12" width="10.54296875" style="2" customWidth="1"/>
    <col min="13" max="13" width="10.54296875" style="14" customWidth="1"/>
    <col min="14" max="14" width="10.54296875" style="2" customWidth="1"/>
    <col min="15" max="15" width="10.54296875" style="59" customWidth="1"/>
    <col min="16" max="27" width="10.54296875" style="2" customWidth="1"/>
    <col min="28" max="28" width="10.7265625" style="2" customWidth="1"/>
    <col min="29" max="29" width="11.54296875" style="2" customWidth="1"/>
    <col min="30" max="30" width="10.7265625" style="2" customWidth="1"/>
    <col min="31" max="16384" width="9.1796875" style="2"/>
  </cols>
  <sheetData>
    <row r="1" spans="2:30" ht="14.25" customHeight="1" x14ac:dyDescent="0.45">
      <c r="B1" s="24"/>
    </row>
    <row r="2" spans="2:30" ht="14.25" customHeight="1" x14ac:dyDescent="0.45">
      <c r="X2" s="109" t="s">
        <v>205</v>
      </c>
      <c r="Y2" s="109"/>
      <c r="Z2" s="109"/>
      <c r="AA2" s="109"/>
      <c r="AB2" s="109"/>
      <c r="AC2" s="109"/>
      <c r="AD2" s="109"/>
    </row>
    <row r="3" spans="2:30" ht="14.25" customHeight="1" x14ac:dyDescent="0.45">
      <c r="L3" s="61"/>
      <c r="X3" s="109"/>
      <c r="Y3" s="109"/>
      <c r="Z3" s="109"/>
      <c r="AA3" s="109"/>
      <c r="AB3" s="109"/>
      <c r="AC3" s="109"/>
      <c r="AD3" s="109"/>
    </row>
    <row r="4" spans="2:30" ht="14.25" customHeight="1" x14ac:dyDescent="0.45"/>
    <row r="5" spans="2:30" s="3" customFormat="1" ht="14.25" customHeight="1" x14ac:dyDescent="0.35">
      <c r="B5" s="76" t="s">
        <v>64</v>
      </c>
      <c r="C5" s="110" t="s">
        <v>18</v>
      </c>
      <c r="D5" s="110" t="s">
        <v>14</v>
      </c>
      <c r="E5" s="110" t="s">
        <v>23</v>
      </c>
      <c r="F5" s="110" t="s">
        <v>24</v>
      </c>
      <c r="G5" s="110" t="s">
        <v>25</v>
      </c>
      <c r="H5" s="110" t="s">
        <v>86</v>
      </c>
      <c r="I5" s="110" t="s">
        <v>12</v>
      </c>
      <c r="J5" s="110" t="s">
        <v>26</v>
      </c>
      <c r="K5" s="110" t="s">
        <v>27</v>
      </c>
      <c r="L5" s="110" t="s">
        <v>28</v>
      </c>
      <c r="M5" s="110" t="s">
        <v>87</v>
      </c>
      <c r="N5" s="110" t="s">
        <v>13</v>
      </c>
      <c r="O5" s="110" t="s">
        <v>29</v>
      </c>
      <c r="P5" s="110" t="s">
        <v>182</v>
      </c>
      <c r="Q5" s="110" t="s">
        <v>185</v>
      </c>
      <c r="R5" s="110" t="s">
        <v>201</v>
      </c>
      <c r="S5" s="110" t="s">
        <v>200</v>
      </c>
      <c r="T5" s="110" t="s">
        <v>204</v>
      </c>
      <c r="U5" s="110" t="s">
        <v>207</v>
      </c>
      <c r="V5" s="110" t="s">
        <v>238</v>
      </c>
      <c r="W5" s="110" t="s">
        <v>243</v>
      </c>
      <c r="X5" s="110" t="s">
        <v>244</v>
      </c>
      <c r="Y5" s="110" t="s">
        <v>250</v>
      </c>
      <c r="Z5" s="110" t="s">
        <v>325</v>
      </c>
      <c r="AA5" s="110" t="s">
        <v>361</v>
      </c>
      <c r="AB5" s="110" t="s">
        <v>370</v>
      </c>
      <c r="AC5" s="110" t="s">
        <v>369</v>
      </c>
      <c r="AD5" s="110" t="s">
        <v>374</v>
      </c>
    </row>
    <row r="6" spans="2:30" s="3" customFormat="1" ht="14.25" customHeight="1" x14ac:dyDescent="0.35">
      <c r="B6" s="77" t="s">
        <v>22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2:30" s="12" customFormat="1" ht="14.25" customHeight="1" x14ac:dyDescent="0.45">
      <c r="B7" s="5" t="s">
        <v>65</v>
      </c>
      <c r="C7" s="33">
        <v>285639</v>
      </c>
      <c r="D7" s="33">
        <v>565286</v>
      </c>
      <c r="E7" s="33">
        <v>234490.00399999999</v>
      </c>
      <c r="F7" s="33">
        <v>242027.49402783453</v>
      </c>
      <c r="G7" s="33">
        <v>339912</v>
      </c>
      <c r="H7" s="33">
        <v>415390.37000000011</v>
      </c>
      <c r="I7" s="33">
        <v>1231820</v>
      </c>
      <c r="J7" s="33">
        <v>610169</v>
      </c>
      <c r="K7" s="33">
        <v>661755</v>
      </c>
      <c r="L7" s="33">
        <v>839315</v>
      </c>
      <c r="M7" s="33">
        <v>996464</v>
      </c>
      <c r="N7" s="33">
        <v>3107703</v>
      </c>
      <c r="O7" s="33">
        <v>1294609</v>
      </c>
      <c r="P7" s="33">
        <v>1520312</v>
      </c>
      <c r="Q7" s="33">
        <v>2015598</v>
      </c>
      <c r="R7" s="33">
        <v>1804783</v>
      </c>
      <c r="S7" s="33">
        <v>6635302</v>
      </c>
      <c r="T7" s="33">
        <v>1886597</v>
      </c>
      <c r="U7" s="33">
        <v>1906739.8466399997</v>
      </c>
      <c r="V7" s="33">
        <v>1891164.9869900001</v>
      </c>
      <c r="W7" s="33">
        <v>1866004.35088</v>
      </c>
      <c r="X7" s="33">
        <v>7550506.1845100001</v>
      </c>
      <c r="Y7" s="33">
        <v>1821550</v>
      </c>
      <c r="Z7" s="33">
        <v>2003159</v>
      </c>
      <c r="AA7" s="33">
        <v>2277034</v>
      </c>
      <c r="AB7" s="33">
        <v>1970307</v>
      </c>
      <c r="AC7" s="33">
        <v>8072050</v>
      </c>
      <c r="AD7" s="33">
        <v>2037842</v>
      </c>
    </row>
    <row r="8" spans="2:30" ht="14.25" customHeight="1" x14ac:dyDescent="0.45">
      <c r="B8" s="6" t="s">
        <v>66</v>
      </c>
      <c r="C8" s="32">
        <v>-167389</v>
      </c>
      <c r="D8" s="32">
        <v>-311658</v>
      </c>
      <c r="E8" s="32">
        <v>-139300.38500000001</v>
      </c>
      <c r="F8" s="32">
        <v>-135266.99</v>
      </c>
      <c r="G8" s="32">
        <v>-187292</v>
      </c>
      <c r="H8" s="32">
        <v>-212035.00000000012</v>
      </c>
      <c r="I8" s="32">
        <v>-673893</v>
      </c>
      <c r="J8" s="32">
        <v>-399497</v>
      </c>
      <c r="K8" s="32">
        <v>-364701</v>
      </c>
      <c r="L8" s="32">
        <v>-448198</v>
      </c>
      <c r="M8" s="32">
        <v>-512123</v>
      </c>
      <c r="N8" s="32">
        <v>-1724516</v>
      </c>
      <c r="O8" s="32">
        <v>-685976</v>
      </c>
      <c r="P8" s="32">
        <v>-806658</v>
      </c>
      <c r="Q8" s="32">
        <v>-1058871</v>
      </c>
      <c r="R8" s="32">
        <v>-1061335</v>
      </c>
      <c r="S8" s="32">
        <v>-3612840</v>
      </c>
      <c r="T8" s="32">
        <v>-1084075</v>
      </c>
      <c r="U8" s="32">
        <v>-1235533</v>
      </c>
      <c r="V8" s="32">
        <v>-1320835</v>
      </c>
      <c r="W8" s="32">
        <v>-1381053</v>
      </c>
      <c r="X8" s="32">
        <v>-5021496</v>
      </c>
      <c r="Y8" s="32">
        <v>-1253625</v>
      </c>
      <c r="Z8" s="32">
        <v>-1531878</v>
      </c>
      <c r="AA8" s="32">
        <v>-1834448</v>
      </c>
      <c r="AB8" s="32">
        <v>-1638467</v>
      </c>
      <c r="AC8" s="32">
        <v>-6258418</v>
      </c>
      <c r="AD8" s="32">
        <v>-1386941</v>
      </c>
    </row>
    <row r="9" spans="2:30" s="12" customFormat="1" ht="14.25" customHeight="1" x14ac:dyDescent="0.45">
      <c r="B9" s="5" t="s">
        <v>67</v>
      </c>
      <c r="C9" s="16">
        <f t="shared" ref="C9:Y9" si="0">C7+C8</f>
        <v>118250</v>
      </c>
      <c r="D9" s="16">
        <f t="shared" si="0"/>
        <v>253628</v>
      </c>
      <c r="E9" s="16">
        <f t="shared" si="0"/>
        <v>95189.618999999977</v>
      </c>
      <c r="F9" s="16">
        <f t="shared" si="0"/>
        <v>106760.50402783454</v>
      </c>
      <c r="G9" s="16">
        <f t="shared" si="0"/>
        <v>152620</v>
      </c>
      <c r="H9" s="16">
        <f t="shared" si="0"/>
        <v>203355.37</v>
      </c>
      <c r="I9" s="16">
        <f t="shared" si="0"/>
        <v>557927</v>
      </c>
      <c r="J9" s="16">
        <f t="shared" si="0"/>
        <v>210672</v>
      </c>
      <c r="K9" s="16">
        <f t="shared" si="0"/>
        <v>297054</v>
      </c>
      <c r="L9" s="16">
        <f t="shared" si="0"/>
        <v>391117</v>
      </c>
      <c r="M9" s="16">
        <f t="shared" si="0"/>
        <v>484341</v>
      </c>
      <c r="N9" s="16">
        <f t="shared" si="0"/>
        <v>1383187</v>
      </c>
      <c r="O9" s="16">
        <f t="shared" si="0"/>
        <v>608633</v>
      </c>
      <c r="P9" s="16">
        <f t="shared" si="0"/>
        <v>713654</v>
      </c>
      <c r="Q9" s="16">
        <f t="shared" si="0"/>
        <v>956727</v>
      </c>
      <c r="R9" s="16">
        <f t="shared" si="0"/>
        <v>743448</v>
      </c>
      <c r="S9" s="16">
        <f t="shared" si="0"/>
        <v>3022462</v>
      </c>
      <c r="T9" s="16">
        <f t="shared" si="0"/>
        <v>802522</v>
      </c>
      <c r="U9" s="16">
        <f t="shared" si="0"/>
        <v>671206.84663999965</v>
      </c>
      <c r="V9" s="16">
        <v>570329.98699000012</v>
      </c>
      <c r="W9" s="16">
        <v>484951.35088000004</v>
      </c>
      <c r="X9" s="16">
        <v>2529010.1845100001</v>
      </c>
      <c r="Y9" s="16">
        <f t="shared" si="0"/>
        <v>567925</v>
      </c>
      <c r="Z9" s="16">
        <f>Z7+Z8</f>
        <v>471281</v>
      </c>
      <c r="AA9" s="16">
        <v>442586</v>
      </c>
      <c r="AB9" s="16">
        <v>331840</v>
      </c>
      <c r="AC9" s="16">
        <v>1813632</v>
      </c>
      <c r="AD9" s="16">
        <v>650901</v>
      </c>
    </row>
    <row r="10" spans="2:30" ht="14.25" customHeight="1" x14ac:dyDescent="0.45">
      <c r="B10" s="18" t="s">
        <v>68</v>
      </c>
      <c r="C10" s="19">
        <v>0.41398408480634646</v>
      </c>
      <c r="D10" s="19">
        <v>0.44867199966034893</v>
      </c>
      <c r="E10" s="19">
        <v>0.40594318468261864</v>
      </c>
      <c r="F10" s="19">
        <v>0.44110899241702051</v>
      </c>
      <c r="G10" s="19">
        <v>0.4489985643342983</v>
      </c>
      <c r="H10" s="19">
        <v>0.48955244195959557</v>
      </c>
      <c r="I10" s="19">
        <v>0.4529289993667906</v>
      </c>
      <c r="J10" s="19">
        <v>0.3452682781327796</v>
      </c>
      <c r="K10" s="19">
        <v>0.44888818369336081</v>
      </c>
      <c r="L10" s="19">
        <v>0.4659954844128843</v>
      </c>
      <c r="M10" s="19">
        <v>0.48605970712439184</v>
      </c>
      <c r="N10" s="19">
        <v>0.44508339439129158</v>
      </c>
      <c r="O10" s="19">
        <v>0.47012881881711005</v>
      </c>
      <c r="P10" s="19">
        <v>0.46941285736085753</v>
      </c>
      <c r="Q10" s="19">
        <v>0.47466161407185359</v>
      </c>
      <c r="R10" s="19">
        <v>0.4119320716119334</v>
      </c>
      <c r="S10" s="19">
        <v>0.45551234894809611</v>
      </c>
      <c r="T10" s="19">
        <v>0.42538072518932235</v>
      </c>
      <c r="U10" s="19">
        <v>0.35201805208129489</v>
      </c>
      <c r="V10" s="19">
        <v>0.30157600786473099</v>
      </c>
      <c r="W10" s="19">
        <v>0.25988757778153032</v>
      </c>
      <c r="X10" s="19">
        <v>0.33494578015157583</v>
      </c>
      <c r="Y10" s="19">
        <v>0.31178117537262223</v>
      </c>
      <c r="Z10" s="19">
        <v>0.23526889278384791</v>
      </c>
      <c r="AA10" s="19">
        <v>0.19436951753904422</v>
      </c>
      <c r="AB10" s="19">
        <v>0.16842045427438465</v>
      </c>
      <c r="AC10" s="19">
        <v>0.22468047150352141</v>
      </c>
      <c r="AD10" s="19">
        <v>0.31940700015015883</v>
      </c>
    </row>
    <row r="11" spans="2:30" ht="14.25" customHeight="1" x14ac:dyDescent="0.45">
      <c r="B11" s="7" t="s">
        <v>69</v>
      </c>
      <c r="C11" s="32">
        <v>-21827</v>
      </c>
      <c r="D11" s="32">
        <v>-30132</v>
      </c>
      <c r="E11" s="32">
        <v>-13345.749</v>
      </c>
      <c r="F11" s="32">
        <v>-14623.560758275</v>
      </c>
      <c r="G11" s="32">
        <v>-22731</v>
      </c>
      <c r="H11" s="32">
        <v>-22740.111000000004</v>
      </c>
      <c r="I11" s="32">
        <v>-73441</v>
      </c>
      <c r="J11" s="32">
        <v>-52371</v>
      </c>
      <c r="K11" s="32">
        <v>-67228</v>
      </c>
      <c r="L11" s="32">
        <v>-67694</v>
      </c>
      <c r="M11" s="32">
        <v>-67967</v>
      </c>
      <c r="N11" s="32">
        <v>-255260</v>
      </c>
      <c r="O11" s="32">
        <v>-90762</v>
      </c>
      <c r="P11" s="32">
        <v>-104650</v>
      </c>
      <c r="Q11" s="32">
        <v>-120077</v>
      </c>
      <c r="R11" s="32">
        <v>-138328</v>
      </c>
      <c r="S11" s="32">
        <v>-453816</v>
      </c>
      <c r="T11" s="32">
        <v>-171059</v>
      </c>
      <c r="U11" s="32">
        <v>-212383</v>
      </c>
      <c r="V11" s="32">
        <v>-211151</v>
      </c>
      <c r="W11" s="32">
        <v>-200168</v>
      </c>
      <c r="X11" s="32">
        <v>-794761</v>
      </c>
      <c r="Y11" s="32">
        <v>-220455</v>
      </c>
      <c r="Z11" s="32">
        <v>-307877</v>
      </c>
      <c r="AA11" s="32">
        <v>-12409</v>
      </c>
      <c r="AB11" s="32">
        <v>-280841</v>
      </c>
      <c r="AC11" s="32">
        <v>-1148416</v>
      </c>
      <c r="AD11" s="32">
        <v>-280945</v>
      </c>
    </row>
    <row r="12" spans="2:30" ht="14.25" customHeight="1" x14ac:dyDescent="0.45">
      <c r="B12" s="7" t="s">
        <v>70</v>
      </c>
      <c r="C12" s="32">
        <v>-27426.091</v>
      </c>
      <c r="D12" s="32">
        <v>-24852</v>
      </c>
      <c r="E12" s="32">
        <v>-11261.692999999999</v>
      </c>
      <c r="F12" s="32">
        <v>-14184</v>
      </c>
      <c r="G12" s="32">
        <v>-12244</v>
      </c>
      <c r="H12" s="32">
        <v>-14508</v>
      </c>
      <c r="I12" s="32">
        <v>-52195</v>
      </c>
      <c r="J12" s="32">
        <v>-12964</v>
      </c>
      <c r="K12" s="32">
        <v>-15454</v>
      </c>
      <c r="L12" s="32">
        <v>-15809</v>
      </c>
      <c r="M12" s="32">
        <v>-17885</v>
      </c>
      <c r="N12" s="32">
        <v>-62126</v>
      </c>
      <c r="O12" s="32">
        <v>-18876</v>
      </c>
      <c r="P12" s="32">
        <v>-23482.687771524677</v>
      </c>
      <c r="Q12" s="32">
        <v>-30148</v>
      </c>
      <c r="R12" s="32">
        <v>-39315.55060806789</v>
      </c>
      <c r="S12" s="32">
        <v>-111829</v>
      </c>
      <c r="T12" s="32">
        <v>-31400</v>
      </c>
      <c r="U12" s="32">
        <v>-36490</v>
      </c>
      <c r="V12" s="32">
        <v>-48475</v>
      </c>
      <c r="W12" s="32">
        <v>-47851</v>
      </c>
      <c r="X12" s="32">
        <v>-164216</v>
      </c>
      <c r="Y12" s="32">
        <v>-41757</v>
      </c>
      <c r="Z12" s="32">
        <v>-51292</v>
      </c>
      <c r="AA12" s="32">
        <v>-57030</v>
      </c>
      <c r="AB12" s="32">
        <v>-63287</v>
      </c>
      <c r="AC12" s="32">
        <v>-213366</v>
      </c>
      <c r="AD12" s="32">
        <v>-71096</v>
      </c>
    </row>
    <row r="13" spans="2:30" ht="14.25" customHeight="1" x14ac:dyDescent="0.45">
      <c r="B13" s="7" t="s">
        <v>71</v>
      </c>
      <c r="C13" s="32">
        <v>-1898.9090000000001</v>
      </c>
      <c r="D13" s="32">
        <v>-3043</v>
      </c>
      <c r="E13" s="32">
        <v>29.193000000000001</v>
      </c>
      <c r="F13" s="32">
        <v>-458</v>
      </c>
      <c r="G13" s="32">
        <v>1</v>
      </c>
      <c r="H13" s="32">
        <v>6967</v>
      </c>
      <c r="I13" s="32">
        <v>6534</v>
      </c>
      <c r="J13" s="32">
        <v>455</v>
      </c>
      <c r="K13" s="32">
        <v>12231</v>
      </c>
      <c r="L13" s="32">
        <v>-131</v>
      </c>
      <c r="M13" s="32">
        <v>2309</v>
      </c>
      <c r="N13" s="32">
        <v>14876</v>
      </c>
      <c r="O13" s="32">
        <v>-4134</v>
      </c>
      <c r="P13" s="32">
        <v>2162</v>
      </c>
      <c r="Q13" s="32">
        <v>10903</v>
      </c>
      <c r="R13" s="32">
        <v>26177.55060806789</v>
      </c>
      <c r="S13" s="32">
        <v>35115</v>
      </c>
      <c r="T13" s="32">
        <v>43070</v>
      </c>
      <c r="U13" s="32">
        <v>250973</v>
      </c>
      <c r="V13" s="32">
        <v>171167</v>
      </c>
      <c r="W13" s="32">
        <v>208953</v>
      </c>
      <c r="X13" s="32">
        <v>674163</v>
      </c>
      <c r="Y13" s="32">
        <v>23483</v>
      </c>
      <c r="Z13" s="32">
        <v>43289</v>
      </c>
      <c r="AA13" s="32">
        <v>55100</v>
      </c>
      <c r="AB13" s="32">
        <v>18252</v>
      </c>
      <c r="AC13" s="32">
        <v>140124</v>
      </c>
      <c r="AD13" s="32">
        <v>33066</v>
      </c>
    </row>
    <row r="14" spans="2:30" ht="14.25" customHeight="1" x14ac:dyDescent="0.45">
      <c r="B14" s="6" t="s">
        <v>72</v>
      </c>
      <c r="C14" s="49">
        <f t="shared" ref="C14:Z14" si="1">SUM(C10:C13)</f>
        <v>-51151.586015915193</v>
      </c>
      <c r="D14" s="49">
        <f t="shared" si="1"/>
        <v>-58026.551328000336</v>
      </c>
      <c r="E14" s="49">
        <f t="shared" si="1"/>
        <v>-24577.84305681532</v>
      </c>
      <c r="F14" s="49">
        <f t="shared" si="1"/>
        <v>-29265.119649282584</v>
      </c>
      <c r="G14" s="49">
        <f t="shared" si="1"/>
        <v>-34973.55100143567</v>
      </c>
      <c r="H14" s="49">
        <f>SUM(H11:H13)</f>
        <v>-30281.111000000004</v>
      </c>
      <c r="I14" s="49">
        <f t="shared" si="1"/>
        <v>-119101.54707100063</v>
      </c>
      <c r="J14" s="49">
        <f t="shared" si="1"/>
        <v>-64879.654731721865</v>
      </c>
      <c r="K14" s="49">
        <f t="shared" si="1"/>
        <v>-70450.551111816312</v>
      </c>
      <c r="L14" s="49">
        <f t="shared" si="1"/>
        <v>-83633.53400451559</v>
      </c>
      <c r="M14" s="49">
        <f t="shared" si="1"/>
        <v>-83542.513940292876</v>
      </c>
      <c r="N14" s="49">
        <f t="shared" si="1"/>
        <v>-302509.55491660559</v>
      </c>
      <c r="O14" s="49">
        <f t="shared" si="1"/>
        <v>-113771.52987118118</v>
      </c>
      <c r="P14" s="49">
        <f t="shared" si="1"/>
        <v>-125970.21835866732</v>
      </c>
      <c r="Q14" s="49">
        <f t="shared" si="1"/>
        <v>-139321.52533838592</v>
      </c>
      <c r="R14" s="49">
        <f t="shared" si="1"/>
        <v>-151465.58806792839</v>
      </c>
      <c r="S14" s="49">
        <f t="shared" si="1"/>
        <v>-530529.54448765097</v>
      </c>
      <c r="T14" s="49">
        <f t="shared" si="1"/>
        <v>-159388.57461927482</v>
      </c>
      <c r="U14" s="49">
        <f t="shared" si="1"/>
        <v>2100.3520180520718</v>
      </c>
      <c r="V14" s="49">
        <v>-88459</v>
      </c>
      <c r="W14" s="49">
        <v>-39066</v>
      </c>
      <c r="X14" s="49">
        <v>-284814</v>
      </c>
      <c r="Y14" s="49">
        <f t="shared" si="1"/>
        <v>-238728.68821882462</v>
      </c>
      <c r="Z14" s="49">
        <f t="shared" si="1"/>
        <v>-315879.76473110722</v>
      </c>
      <c r="AA14" s="49">
        <v>-14339</v>
      </c>
      <c r="AB14" s="49">
        <v>-325876</v>
      </c>
      <c r="AC14" s="49">
        <v>-1221658</v>
      </c>
      <c r="AD14" s="49">
        <v>-318975</v>
      </c>
    </row>
    <row r="15" spans="2:30" s="12" customFormat="1" ht="14.25" customHeight="1" x14ac:dyDescent="0.45">
      <c r="B15" s="5" t="s">
        <v>73</v>
      </c>
      <c r="C15" s="4">
        <f t="shared" ref="C15:Y15" si="2">C9+C14</f>
        <v>67098.413984084807</v>
      </c>
      <c r="D15" s="4">
        <f t="shared" si="2"/>
        <v>195601.44867199968</v>
      </c>
      <c r="E15" s="4">
        <f t="shared" si="2"/>
        <v>70611.77594318465</v>
      </c>
      <c r="F15" s="4">
        <f t="shared" si="2"/>
        <v>77495.384378551957</v>
      </c>
      <c r="G15" s="4">
        <f t="shared" si="2"/>
        <v>117646.44899856433</v>
      </c>
      <c r="H15" s="4">
        <f t="shared" si="2"/>
        <v>173074.25899999999</v>
      </c>
      <c r="I15" s="4">
        <f t="shared" si="2"/>
        <v>438825.45292899938</v>
      </c>
      <c r="J15" s="4">
        <f t="shared" si="2"/>
        <v>145792.34526827815</v>
      </c>
      <c r="K15" s="4">
        <f t="shared" si="2"/>
        <v>226603.44888818369</v>
      </c>
      <c r="L15" s="4">
        <f t="shared" si="2"/>
        <v>307483.46599548438</v>
      </c>
      <c r="M15" s="4">
        <f t="shared" si="2"/>
        <v>400798.48605970712</v>
      </c>
      <c r="N15" s="4">
        <f t="shared" si="2"/>
        <v>1080677.4450833944</v>
      </c>
      <c r="O15" s="4">
        <f t="shared" si="2"/>
        <v>494861.47012881882</v>
      </c>
      <c r="P15" s="4">
        <f t="shared" si="2"/>
        <v>587683.78164133267</v>
      </c>
      <c r="Q15" s="4">
        <f t="shared" si="2"/>
        <v>817405.47466161405</v>
      </c>
      <c r="R15" s="4">
        <f t="shared" si="2"/>
        <v>591982.41193207167</v>
      </c>
      <c r="S15" s="4">
        <f t="shared" si="2"/>
        <v>2491932.455512349</v>
      </c>
      <c r="T15" s="4">
        <f t="shared" si="2"/>
        <v>643133.42538072518</v>
      </c>
      <c r="U15" s="4">
        <f t="shared" si="2"/>
        <v>673307.19865805167</v>
      </c>
      <c r="V15" s="4">
        <v>481870.98699000012</v>
      </c>
      <c r="W15" s="4">
        <v>445885.35088000004</v>
      </c>
      <c r="X15" s="4">
        <v>2244196.1845100001</v>
      </c>
      <c r="Y15" s="4">
        <f t="shared" si="2"/>
        <v>329196.31178117538</v>
      </c>
      <c r="Z15" s="4">
        <f>Z9+Z14</f>
        <v>155401.23526889278</v>
      </c>
      <c r="AA15" s="4">
        <v>101413</v>
      </c>
      <c r="AB15" s="4">
        <v>5964</v>
      </c>
      <c r="AC15" s="4">
        <v>591974</v>
      </c>
      <c r="AD15" s="4">
        <v>331926</v>
      </c>
    </row>
    <row r="16" spans="2:30" ht="14.25" customHeight="1" x14ac:dyDescent="0.45">
      <c r="B16" s="7" t="s">
        <v>74</v>
      </c>
      <c r="C16" s="32">
        <v>2577</v>
      </c>
      <c r="D16" s="32">
        <v>26564</v>
      </c>
      <c r="E16" s="32">
        <v>53951</v>
      </c>
      <c r="F16" s="32">
        <v>85877</v>
      </c>
      <c r="G16" s="32">
        <v>18157</v>
      </c>
      <c r="H16" s="32">
        <v>-40762</v>
      </c>
      <c r="I16" s="32">
        <v>84080</v>
      </c>
      <c r="J16" s="32">
        <v>102024</v>
      </c>
      <c r="K16" s="32">
        <v>105987</v>
      </c>
      <c r="L16" s="32">
        <v>24402</v>
      </c>
      <c r="M16" s="32">
        <v>-97527</v>
      </c>
      <c r="N16" s="32">
        <v>268632</v>
      </c>
      <c r="O16" s="32">
        <v>132467</v>
      </c>
      <c r="P16" s="32">
        <v>109564</v>
      </c>
      <c r="Q16" s="32">
        <v>232354</v>
      </c>
      <c r="R16" s="32">
        <v>94972</v>
      </c>
      <c r="S16" s="32">
        <v>569357</v>
      </c>
      <c r="T16" s="32">
        <v>611170</v>
      </c>
      <c r="U16" s="32">
        <v>259988</v>
      </c>
      <c r="V16" s="32">
        <v>252520</v>
      </c>
      <c r="W16" s="32">
        <v>-45342</v>
      </c>
      <c r="X16" s="32">
        <v>1078336</v>
      </c>
      <c r="Y16" s="32">
        <v>212783</v>
      </c>
      <c r="Z16" s="32">
        <v>208003</v>
      </c>
      <c r="AA16" s="32">
        <v>133315</v>
      </c>
      <c r="AB16" s="32">
        <v>172317</v>
      </c>
      <c r="AC16" s="32">
        <v>934739</v>
      </c>
      <c r="AD16" s="32">
        <v>338563</v>
      </c>
    </row>
    <row r="17" spans="2:30" ht="14.25" customHeight="1" x14ac:dyDescent="0.45">
      <c r="B17" s="7" t="s">
        <v>75</v>
      </c>
      <c r="C17" s="32">
        <v>-28913</v>
      </c>
      <c r="D17" s="32">
        <v>-87561</v>
      </c>
      <c r="E17" s="32">
        <v>-36894</v>
      </c>
      <c r="F17" s="32">
        <v>-5496</v>
      </c>
      <c r="G17" s="32">
        <v>-48170</v>
      </c>
      <c r="H17" s="32">
        <v>116690</v>
      </c>
      <c r="I17" s="32">
        <v>-287457</v>
      </c>
      <c r="J17" s="32">
        <v>-13970</v>
      </c>
      <c r="K17" s="32">
        <v>-132733</v>
      </c>
      <c r="L17" s="32">
        <v>-163751</v>
      </c>
      <c r="M17" s="32">
        <v>228616</v>
      </c>
      <c r="N17" s="32">
        <v>-600380</v>
      </c>
      <c r="O17" s="32">
        <v>-480963</v>
      </c>
      <c r="P17" s="32">
        <v>-280423</v>
      </c>
      <c r="Q17" s="32">
        <v>-328669</v>
      </c>
      <c r="R17" s="32">
        <v>-833633</v>
      </c>
      <c r="S17" s="32">
        <v>-1923688</v>
      </c>
      <c r="T17" s="32">
        <v>-593360</v>
      </c>
      <c r="U17" s="32">
        <v>-456451</v>
      </c>
      <c r="V17" s="32">
        <v>-659150</v>
      </c>
      <c r="W17" s="32">
        <v>-314751</v>
      </c>
      <c r="X17" s="32">
        <v>-2023712</v>
      </c>
      <c r="Y17" s="32">
        <v>-703117</v>
      </c>
      <c r="Z17" s="32">
        <v>-576485</v>
      </c>
      <c r="AA17" s="32">
        <v>-465840</v>
      </c>
      <c r="AB17" s="32">
        <v>-509257</v>
      </c>
      <c r="AC17" s="32">
        <v>-2531727</v>
      </c>
      <c r="AD17" s="32">
        <v>-533492</v>
      </c>
    </row>
    <row r="18" spans="2:30" ht="14.25" customHeight="1" x14ac:dyDescent="0.45">
      <c r="B18" s="7" t="s">
        <v>76</v>
      </c>
      <c r="C18" s="32">
        <v>-17707</v>
      </c>
      <c r="D18" s="32">
        <v>-79913</v>
      </c>
      <c r="E18" s="32">
        <v>16938</v>
      </c>
      <c r="F18" s="32">
        <v>-91080</v>
      </c>
      <c r="G18" s="32">
        <v>52605</v>
      </c>
      <c r="H18" s="32">
        <v>-541792.56000000006</v>
      </c>
      <c r="I18" s="32">
        <v>-563330</v>
      </c>
      <c r="J18" s="32">
        <v>-134061</v>
      </c>
      <c r="K18" s="32">
        <v>-82904</v>
      </c>
      <c r="L18" s="32">
        <v>202255</v>
      </c>
      <c r="M18" s="32">
        <v>-288116</v>
      </c>
      <c r="N18" s="32">
        <v>-302826</v>
      </c>
      <c r="O18" s="32">
        <v>436649</v>
      </c>
      <c r="P18" s="32">
        <v>-272214</v>
      </c>
      <c r="Q18" s="32">
        <v>-97342</v>
      </c>
      <c r="R18" s="32">
        <v>521968</v>
      </c>
      <c r="S18" s="32">
        <v>589061</v>
      </c>
      <c r="T18" s="32">
        <v>-298325</v>
      </c>
      <c r="U18" s="32">
        <v>-115413</v>
      </c>
      <c r="V18" s="32">
        <v>119747</v>
      </c>
      <c r="W18" s="32">
        <v>87285</v>
      </c>
      <c r="X18" s="32">
        <v>-206706</v>
      </c>
      <c r="Y18" s="32">
        <v>160205</v>
      </c>
      <c r="Z18" s="32">
        <v>-103862</v>
      </c>
      <c r="AA18" s="32">
        <v>83676</v>
      </c>
      <c r="AB18" s="32">
        <v>-66010</v>
      </c>
      <c r="AC18" s="32">
        <v>74009</v>
      </c>
      <c r="AD18" s="32">
        <v>-232307</v>
      </c>
    </row>
    <row r="19" spans="2:30" ht="14.25" customHeight="1" x14ac:dyDescent="0.45">
      <c r="B19" s="6" t="s">
        <v>77</v>
      </c>
      <c r="C19" s="49">
        <f t="shared" ref="C19:Y19" si="3">C16+C17+C18</f>
        <v>-44043</v>
      </c>
      <c r="D19" s="49">
        <f t="shared" si="3"/>
        <v>-140910</v>
      </c>
      <c r="E19" s="49">
        <f t="shared" si="3"/>
        <v>33995</v>
      </c>
      <c r="F19" s="49">
        <v>-10699</v>
      </c>
      <c r="G19" s="49">
        <f t="shared" si="3"/>
        <v>22592</v>
      </c>
      <c r="H19" s="49">
        <f t="shared" si="3"/>
        <v>-465864.56000000006</v>
      </c>
      <c r="I19" s="49">
        <f t="shared" si="3"/>
        <v>-766707</v>
      </c>
      <c r="J19" s="49">
        <f t="shared" si="3"/>
        <v>-46007</v>
      </c>
      <c r="K19" s="49">
        <f t="shared" si="3"/>
        <v>-109650</v>
      </c>
      <c r="L19" s="49">
        <f t="shared" si="3"/>
        <v>62906</v>
      </c>
      <c r="M19" s="49">
        <f t="shared" si="3"/>
        <v>-157027</v>
      </c>
      <c r="N19" s="49">
        <f t="shared" si="3"/>
        <v>-634574</v>
      </c>
      <c r="O19" s="49">
        <f t="shared" si="3"/>
        <v>88153</v>
      </c>
      <c r="P19" s="49">
        <f t="shared" si="3"/>
        <v>-443073</v>
      </c>
      <c r="Q19" s="49">
        <f t="shared" si="3"/>
        <v>-193657</v>
      </c>
      <c r="R19" s="49">
        <f t="shared" si="3"/>
        <v>-216693</v>
      </c>
      <c r="S19" s="49">
        <f t="shared" si="3"/>
        <v>-765270</v>
      </c>
      <c r="T19" s="49">
        <f t="shared" si="3"/>
        <v>-280515</v>
      </c>
      <c r="U19" s="49">
        <f t="shared" si="3"/>
        <v>-311876</v>
      </c>
      <c r="V19" s="49">
        <v>-286883</v>
      </c>
      <c r="W19" s="49">
        <v>-272808</v>
      </c>
      <c r="X19" s="49">
        <v>-1152082</v>
      </c>
      <c r="Y19" s="49">
        <f t="shared" si="3"/>
        <v>-330129</v>
      </c>
      <c r="Z19" s="49">
        <f>Z16+Z17+Z18</f>
        <v>-472344</v>
      </c>
      <c r="AA19" s="49">
        <v>-248849</v>
      </c>
      <c r="AB19" s="49">
        <v>-402950</v>
      </c>
      <c r="AC19" s="49">
        <v>-1522979</v>
      </c>
      <c r="AD19" s="49">
        <v>-427236</v>
      </c>
    </row>
    <row r="20" spans="2:30" s="12" customFormat="1" ht="14.25" customHeight="1" x14ac:dyDescent="0.45">
      <c r="B20" s="5" t="s">
        <v>78</v>
      </c>
      <c r="C20" s="4">
        <f t="shared" ref="C20:Y20" si="4">C19+C15</f>
        <v>23055.413984084807</v>
      </c>
      <c r="D20" s="4">
        <f t="shared" si="4"/>
        <v>54691.448671999678</v>
      </c>
      <c r="E20" s="4">
        <f t="shared" si="4"/>
        <v>104606.77594318465</v>
      </c>
      <c r="F20" s="4">
        <f t="shared" si="4"/>
        <v>66796.384378551957</v>
      </c>
      <c r="G20" s="4">
        <f t="shared" si="4"/>
        <v>140238.44899856433</v>
      </c>
      <c r="H20" s="4">
        <f t="shared" si="4"/>
        <v>-292790.30100000009</v>
      </c>
      <c r="I20" s="4">
        <f t="shared" si="4"/>
        <v>-327881.54707100062</v>
      </c>
      <c r="J20" s="4">
        <f t="shared" si="4"/>
        <v>99785.34526827815</v>
      </c>
      <c r="K20" s="4">
        <f t="shared" si="4"/>
        <v>116953.44888818369</v>
      </c>
      <c r="L20" s="4">
        <f t="shared" si="4"/>
        <v>370389.46599548438</v>
      </c>
      <c r="M20" s="4">
        <f t="shared" si="4"/>
        <v>243771.48605970712</v>
      </c>
      <c r="N20" s="4">
        <f t="shared" si="4"/>
        <v>446103.44508339441</v>
      </c>
      <c r="O20" s="4">
        <f t="shared" si="4"/>
        <v>583014.47012881888</v>
      </c>
      <c r="P20" s="4">
        <f t="shared" si="4"/>
        <v>144610.78164133267</v>
      </c>
      <c r="Q20" s="4">
        <f t="shared" si="4"/>
        <v>623748.47466161405</v>
      </c>
      <c r="R20" s="4">
        <f t="shared" si="4"/>
        <v>375289.41193207167</v>
      </c>
      <c r="S20" s="4">
        <f t="shared" si="4"/>
        <v>1726662.455512349</v>
      </c>
      <c r="T20" s="4">
        <f t="shared" si="4"/>
        <v>362618.42538072518</v>
      </c>
      <c r="U20" s="4">
        <f t="shared" si="4"/>
        <v>361431.19865805167</v>
      </c>
      <c r="V20" s="4">
        <v>194987.98699000012</v>
      </c>
      <c r="W20" s="4">
        <v>173077.35088000004</v>
      </c>
      <c r="X20" s="4">
        <v>1092114.1845100001</v>
      </c>
      <c r="Y20" s="4">
        <f t="shared" si="4"/>
        <v>-932.68821882462362</v>
      </c>
      <c r="Z20" s="4">
        <f>Z19+Z15</f>
        <v>-316942.76473110722</v>
      </c>
      <c r="AA20" s="4">
        <v>-216143</v>
      </c>
      <c r="AB20" s="4">
        <v>-396986</v>
      </c>
      <c r="AC20" s="4">
        <v>-931005</v>
      </c>
      <c r="AD20" s="4">
        <v>-95310</v>
      </c>
    </row>
    <row r="21" spans="2:30" ht="14.25" customHeight="1" x14ac:dyDescent="0.45">
      <c r="B21" s="6" t="s">
        <v>79</v>
      </c>
      <c r="C21" s="32">
        <v>-11158</v>
      </c>
      <c r="D21" s="32">
        <v>-20856</v>
      </c>
      <c r="E21" s="32">
        <v>3360.4459999999999</v>
      </c>
      <c r="F21" s="32">
        <v>6511.9229999999998</v>
      </c>
      <c r="G21" s="32">
        <v>-389</v>
      </c>
      <c r="H21" s="32">
        <v>-5392.3689999999997</v>
      </c>
      <c r="I21" s="32">
        <v>4091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-160212</v>
      </c>
      <c r="P21" s="32">
        <v>-10171</v>
      </c>
      <c r="Q21" s="32">
        <v>-96109</v>
      </c>
      <c r="R21" s="32">
        <v>-187683</v>
      </c>
      <c r="S21" s="32">
        <v>-454175</v>
      </c>
      <c r="T21" s="32">
        <v>-85256</v>
      </c>
      <c r="U21" s="32">
        <v>-114677</v>
      </c>
      <c r="V21" s="32">
        <v>-6833</v>
      </c>
      <c r="W21" s="32">
        <v>-78791</v>
      </c>
      <c r="X21" s="32">
        <v>-285557</v>
      </c>
      <c r="Y21" s="32">
        <v>0</v>
      </c>
      <c r="Z21" s="32">
        <v>10361</v>
      </c>
      <c r="AA21" s="32">
        <v>366</v>
      </c>
      <c r="AB21" s="32">
        <v>0</v>
      </c>
      <c r="AC21" s="32">
        <v>10727</v>
      </c>
      <c r="AD21" s="32">
        <v>-4633</v>
      </c>
    </row>
    <row r="22" spans="2:30" ht="14.25" customHeight="1" x14ac:dyDescent="0.45">
      <c r="B22" s="6" t="s">
        <v>80</v>
      </c>
      <c r="C22" s="32">
        <v>2499</v>
      </c>
      <c r="D22" s="32">
        <v>4494</v>
      </c>
      <c r="E22" s="32">
        <v>-22023.664000000001</v>
      </c>
      <c r="F22" s="32">
        <v>27049</v>
      </c>
      <c r="G22" s="32">
        <v>-44263</v>
      </c>
      <c r="H22" s="32">
        <v>154384.90399999998</v>
      </c>
      <c r="I22" s="32">
        <v>115147</v>
      </c>
      <c r="J22" s="32">
        <v>22889</v>
      </c>
      <c r="K22" s="32">
        <v>-51726</v>
      </c>
      <c r="L22" s="32">
        <v>-119762</v>
      </c>
      <c r="M22" s="32">
        <v>23622</v>
      </c>
      <c r="N22" s="32">
        <v>-124977</v>
      </c>
      <c r="O22" s="32">
        <v>-23174</v>
      </c>
      <c r="P22" s="32">
        <v>-27128</v>
      </c>
      <c r="Q22" s="32">
        <v>-95270</v>
      </c>
      <c r="R22" s="32">
        <v>77197</v>
      </c>
      <c r="S22" s="32">
        <v>-68375</v>
      </c>
      <c r="T22" s="32">
        <v>-10113.336833599926</v>
      </c>
      <c r="U22" s="32">
        <v>4694</v>
      </c>
      <c r="V22" s="32">
        <v>-28061</v>
      </c>
      <c r="W22" s="32">
        <v>45652.336833599926</v>
      </c>
      <c r="X22" s="32">
        <v>12172</v>
      </c>
      <c r="Y22" s="32">
        <v>34937</v>
      </c>
      <c r="Z22" s="32">
        <v>132464</v>
      </c>
      <c r="AA22" s="32">
        <v>100621</v>
      </c>
      <c r="AB22" s="32">
        <v>168242</v>
      </c>
      <c r="AC22" s="32">
        <v>436264</v>
      </c>
      <c r="AD22" s="32">
        <v>55958</v>
      </c>
    </row>
    <row r="23" spans="2:30" ht="14.25" customHeight="1" x14ac:dyDescent="0.45">
      <c r="B23" s="6" t="s">
        <v>81</v>
      </c>
      <c r="C23" s="32">
        <v>0</v>
      </c>
      <c r="D23" s="32">
        <v>22777</v>
      </c>
      <c r="E23" s="32">
        <v>-1094.28</v>
      </c>
      <c r="F23" s="32">
        <v>-4790</v>
      </c>
      <c r="G23" s="32">
        <v>266</v>
      </c>
      <c r="H23" s="32">
        <v>5618.0479999999998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106961</v>
      </c>
      <c r="P23" s="32">
        <v>17641</v>
      </c>
      <c r="Q23" s="32">
        <v>37413</v>
      </c>
      <c r="R23" s="32">
        <v>118946</v>
      </c>
      <c r="S23" s="32">
        <v>280961</v>
      </c>
      <c r="T23" s="32">
        <v>0</v>
      </c>
      <c r="U23" s="32">
        <v>23064</v>
      </c>
      <c r="V23" s="32">
        <v>8229</v>
      </c>
      <c r="W23" s="32">
        <v>27389</v>
      </c>
      <c r="X23" s="32">
        <v>58682</v>
      </c>
      <c r="Y23" s="32">
        <v>0</v>
      </c>
      <c r="Z23" s="32">
        <v>-5715</v>
      </c>
      <c r="AA23" s="32">
        <v>429</v>
      </c>
      <c r="AB23" s="32">
        <v>0</v>
      </c>
      <c r="AC23" s="32">
        <v>-5286</v>
      </c>
      <c r="AD23" s="32">
        <v>3699</v>
      </c>
    </row>
    <row r="24" spans="2:30" s="12" customFormat="1" ht="14.25" customHeight="1" x14ac:dyDescent="0.45">
      <c r="B24" s="5" t="s">
        <v>82</v>
      </c>
      <c r="C24" s="4">
        <f t="shared" ref="C24:Y24" si="5">SUM(C20:C23)</f>
        <v>14396.413984084807</v>
      </c>
      <c r="D24" s="4">
        <f t="shared" si="5"/>
        <v>61106.448671999678</v>
      </c>
      <c r="E24" s="4">
        <f t="shared" si="5"/>
        <v>84849.277943184643</v>
      </c>
      <c r="F24" s="4">
        <f t="shared" si="5"/>
        <v>95567.307378551952</v>
      </c>
      <c r="G24" s="4">
        <f t="shared" si="5"/>
        <v>95852.44899856433</v>
      </c>
      <c r="H24" s="4">
        <f t="shared" si="5"/>
        <v>-138179.71800000011</v>
      </c>
      <c r="I24" s="4">
        <f t="shared" si="5"/>
        <v>-208643.54707100062</v>
      </c>
      <c r="J24" s="4">
        <f t="shared" si="5"/>
        <v>122674.34526827815</v>
      </c>
      <c r="K24" s="4">
        <f t="shared" si="5"/>
        <v>65227.448888183688</v>
      </c>
      <c r="L24" s="4">
        <f t="shared" si="5"/>
        <v>250627.46599548438</v>
      </c>
      <c r="M24" s="4">
        <f t="shared" si="5"/>
        <v>267393.48605970712</v>
      </c>
      <c r="N24" s="4">
        <f t="shared" si="5"/>
        <v>321126.44508339441</v>
      </c>
      <c r="O24" s="4">
        <f t="shared" si="5"/>
        <v>506589.47012881888</v>
      </c>
      <c r="P24" s="4">
        <f t="shared" si="5"/>
        <v>124952.78164133267</v>
      </c>
      <c r="Q24" s="4">
        <f t="shared" si="5"/>
        <v>469782.47466161405</v>
      </c>
      <c r="R24" s="4">
        <f t="shared" si="5"/>
        <v>383749.41193207167</v>
      </c>
      <c r="S24" s="4">
        <f t="shared" si="5"/>
        <v>1485073.455512349</v>
      </c>
      <c r="T24" s="4">
        <f t="shared" si="5"/>
        <v>267249.08854712523</v>
      </c>
      <c r="U24" s="4">
        <f t="shared" si="5"/>
        <v>274512.19865805167</v>
      </c>
      <c r="V24" s="4">
        <v>168323</v>
      </c>
      <c r="W24" s="4">
        <v>167327.4901936003</v>
      </c>
      <c r="X24" s="4">
        <v>877411</v>
      </c>
      <c r="Y24" s="4">
        <f t="shared" si="5"/>
        <v>34004.311781175376</v>
      </c>
      <c r="Z24" s="4">
        <f>SUM(Z20:Z23)</f>
        <v>-179832.76473110722</v>
      </c>
      <c r="AA24" s="4">
        <v>-114727</v>
      </c>
      <c r="AB24" s="4">
        <v>-228744</v>
      </c>
      <c r="AC24" s="4">
        <v>-489300</v>
      </c>
      <c r="AD24" s="4">
        <v>-40286</v>
      </c>
    </row>
    <row r="25" spans="2:30" ht="14.25" customHeight="1" x14ac:dyDescent="0.45">
      <c r="B25" s="18" t="s">
        <v>83</v>
      </c>
      <c r="C25" s="50">
        <f t="shared" ref="C25:Y25" si="6">C24/C7</f>
        <v>5.0400729536529701E-2</v>
      </c>
      <c r="D25" s="50">
        <f t="shared" si="6"/>
        <v>0.10809828771984389</v>
      </c>
      <c r="E25" s="50">
        <f t="shared" si="6"/>
        <v>0.36184603392810144</v>
      </c>
      <c r="F25" s="50">
        <f t="shared" si="6"/>
        <v>0.3948613679715296</v>
      </c>
      <c r="G25" s="50">
        <f t="shared" si="6"/>
        <v>0.28199195379558334</v>
      </c>
      <c r="H25" s="50">
        <f t="shared" si="6"/>
        <v>-0.33265026822841387</v>
      </c>
      <c r="I25" s="50">
        <f t="shared" si="6"/>
        <v>-0.16937827529265689</v>
      </c>
      <c r="J25" s="50">
        <f t="shared" si="6"/>
        <v>0.20104978336867024</v>
      </c>
      <c r="K25" s="50">
        <f t="shared" si="6"/>
        <v>9.8567368419103268E-2</v>
      </c>
      <c r="L25" s="50">
        <f t="shared" si="6"/>
        <v>0.29860953991705663</v>
      </c>
      <c r="M25" s="50">
        <f t="shared" si="6"/>
        <v>0.26834234459017797</v>
      </c>
      <c r="N25" s="50">
        <f t="shared" si="6"/>
        <v>0.10333241145739938</v>
      </c>
      <c r="O25" s="50">
        <f t="shared" si="6"/>
        <v>0.39130692751928875</v>
      </c>
      <c r="P25" s="50">
        <f t="shared" si="6"/>
        <v>8.2188907041010437E-2</v>
      </c>
      <c r="Q25" s="50">
        <f t="shared" si="6"/>
        <v>0.23307349712671577</v>
      </c>
      <c r="R25" s="50">
        <f t="shared" si="6"/>
        <v>0.21262911493075437</v>
      </c>
      <c r="S25" s="50">
        <f t="shared" si="6"/>
        <v>0.22381399603399349</v>
      </c>
      <c r="T25" s="50">
        <f t="shared" si="6"/>
        <v>0.14165669114661225</v>
      </c>
      <c r="U25" s="50">
        <f t="shared" si="6"/>
        <v>0.14396940366132743</v>
      </c>
      <c r="V25" s="50">
        <v>8.9004926147614877E-2</v>
      </c>
      <c r="W25" s="50">
        <v>8.9671543431658854E-2</v>
      </c>
      <c r="X25" s="50">
        <v>0.11620558656054406</v>
      </c>
      <c r="Y25" s="50">
        <f t="shared" si="6"/>
        <v>1.866778939978336E-2</v>
      </c>
      <c r="Z25" s="50">
        <f t="shared" ref="Z25:AA25" si="7">Z24/Z7</f>
        <v>-8.9774583411055847E-2</v>
      </c>
      <c r="AA25" s="50">
        <f t="shared" si="7"/>
        <v>-5.0384403570609838E-2</v>
      </c>
      <c r="AB25" s="50">
        <v>-0.11609561352621699</v>
      </c>
      <c r="AC25" s="50">
        <v>-6.0616571998439062E-2</v>
      </c>
      <c r="AD25" s="50">
        <v>-1.9768951665536386E-2</v>
      </c>
    </row>
    <row r="26" spans="2:30" ht="14.25" customHeight="1" x14ac:dyDescent="0.45">
      <c r="B26" s="18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</row>
    <row r="27" spans="2:30" s="12" customFormat="1" ht="15" customHeight="1" x14ac:dyDescent="0.45">
      <c r="B27" s="5" t="s">
        <v>6</v>
      </c>
      <c r="C27" s="4">
        <f t="shared" ref="C27:Y27" si="8">C15</f>
        <v>67098.413984084807</v>
      </c>
      <c r="D27" s="4">
        <f t="shared" si="8"/>
        <v>195601.44867199968</v>
      </c>
      <c r="E27" s="4">
        <f t="shared" si="8"/>
        <v>70611.77594318465</v>
      </c>
      <c r="F27" s="4">
        <f t="shared" si="8"/>
        <v>77495.384378551957</v>
      </c>
      <c r="G27" s="4">
        <f t="shared" si="8"/>
        <v>117646.44899856433</v>
      </c>
      <c r="H27" s="4">
        <f t="shared" si="8"/>
        <v>173074.25899999999</v>
      </c>
      <c r="I27" s="4">
        <f t="shared" si="8"/>
        <v>438825.45292899938</v>
      </c>
      <c r="J27" s="4">
        <f t="shared" si="8"/>
        <v>145792.34526827815</v>
      </c>
      <c r="K27" s="4">
        <f t="shared" si="8"/>
        <v>226603.44888818369</v>
      </c>
      <c r="L27" s="4">
        <f t="shared" si="8"/>
        <v>307483.46599548438</v>
      </c>
      <c r="M27" s="4">
        <f t="shared" si="8"/>
        <v>400798.48605970712</v>
      </c>
      <c r="N27" s="4">
        <f t="shared" si="8"/>
        <v>1080677.4450833944</v>
      </c>
      <c r="O27" s="4">
        <f t="shared" si="8"/>
        <v>494861.47012881882</v>
      </c>
      <c r="P27" s="4">
        <f t="shared" si="8"/>
        <v>587683.78164133267</v>
      </c>
      <c r="Q27" s="4">
        <f t="shared" si="8"/>
        <v>817405.47466161405</v>
      </c>
      <c r="R27" s="4">
        <f t="shared" si="8"/>
        <v>591982.41193207167</v>
      </c>
      <c r="S27" s="4">
        <f t="shared" si="8"/>
        <v>2491932.455512349</v>
      </c>
      <c r="T27" s="4">
        <f t="shared" si="8"/>
        <v>643133.42538072518</v>
      </c>
      <c r="U27" s="4">
        <f t="shared" si="8"/>
        <v>673307.19865805167</v>
      </c>
      <c r="V27" s="4">
        <v>481870.98699000012</v>
      </c>
      <c r="W27" s="4">
        <v>445885.35088000004</v>
      </c>
      <c r="X27" s="4">
        <v>2244196.1845100001</v>
      </c>
      <c r="Y27" s="4">
        <f t="shared" si="8"/>
        <v>329196.31178117538</v>
      </c>
      <c r="Z27" s="4">
        <f t="shared" ref="Z27" si="9">Z15</f>
        <v>155401.23526889278</v>
      </c>
      <c r="AA27" s="4">
        <v>101413</v>
      </c>
      <c r="AB27" s="4">
        <v>5964</v>
      </c>
      <c r="AC27" s="4">
        <v>591974</v>
      </c>
      <c r="AD27" s="4">
        <v>331926</v>
      </c>
    </row>
    <row r="28" spans="2:30" ht="14.25" customHeight="1" x14ac:dyDescent="0.45">
      <c r="B28" s="18" t="s">
        <v>84</v>
      </c>
      <c r="C28" s="50">
        <f t="shared" ref="C28:Y28" si="10">C27/C7</f>
        <v>0.23490634676666985</v>
      </c>
      <c r="D28" s="50">
        <f t="shared" si="10"/>
        <v>0.34602209973712367</v>
      </c>
      <c r="E28" s="50">
        <f t="shared" si="10"/>
        <v>0.30112915151464048</v>
      </c>
      <c r="F28" s="50">
        <f t="shared" si="10"/>
        <v>0.32019248346074081</v>
      </c>
      <c r="G28" s="50">
        <f t="shared" si="10"/>
        <v>0.34610854867896496</v>
      </c>
      <c r="H28" s="50">
        <f t="shared" si="10"/>
        <v>0.41665448094042223</v>
      </c>
      <c r="I28" s="50">
        <f t="shared" si="10"/>
        <v>0.35624153929064262</v>
      </c>
      <c r="J28" s="50">
        <f t="shared" si="10"/>
        <v>0.2389376472227828</v>
      </c>
      <c r="K28" s="50">
        <f t="shared" si="10"/>
        <v>0.3424280117085382</v>
      </c>
      <c r="L28" s="50">
        <f t="shared" si="10"/>
        <v>0.36635049533903763</v>
      </c>
      <c r="M28" s="50">
        <f t="shared" si="10"/>
        <v>0.4022207385913662</v>
      </c>
      <c r="N28" s="50">
        <f t="shared" si="10"/>
        <v>0.34774154579230848</v>
      </c>
      <c r="O28" s="50">
        <f t="shared" si="10"/>
        <v>0.38224782164253363</v>
      </c>
      <c r="P28" s="50">
        <f t="shared" si="10"/>
        <v>0.38655472142647868</v>
      </c>
      <c r="Q28" s="50">
        <f t="shared" si="10"/>
        <v>0.40553993140577338</v>
      </c>
      <c r="R28" s="50">
        <f t="shared" si="10"/>
        <v>0.32800752884533579</v>
      </c>
      <c r="S28" s="50">
        <f t="shared" si="10"/>
        <v>0.37555675016937423</v>
      </c>
      <c r="T28" s="50">
        <f t="shared" si="10"/>
        <v>0.34089602887141512</v>
      </c>
      <c r="U28" s="50">
        <f t="shared" si="10"/>
        <v>0.35311959302918727</v>
      </c>
      <c r="V28" s="50">
        <v>0.25480113596907877</v>
      </c>
      <c r="W28" s="50">
        <v>0.23895193527802994</v>
      </c>
      <c r="X28" s="50">
        <v>0.29722460053261185</v>
      </c>
      <c r="Y28" s="50">
        <f t="shared" si="10"/>
        <v>0.18072318178538901</v>
      </c>
      <c r="Z28" s="50">
        <f t="shared" ref="Z28:AA28" si="11">Z27/Z7</f>
        <v>7.7578083052265337E-2</v>
      </c>
      <c r="AA28" s="50">
        <f t="shared" si="11"/>
        <v>4.4537323553359327E-2</v>
      </c>
      <c r="AB28" s="50">
        <v>3.0269394566430513E-3</v>
      </c>
      <c r="AC28" s="50">
        <v>7.3336265260993183E-2</v>
      </c>
      <c r="AD28" s="50">
        <v>0.16288112621096237</v>
      </c>
    </row>
    <row r="29" spans="2:30" s="12" customFormat="1" ht="15" customHeight="1" x14ac:dyDescent="0.45">
      <c r="B29" s="5" t="s">
        <v>3</v>
      </c>
      <c r="C29" s="33">
        <v>78219</v>
      </c>
      <c r="D29" s="33">
        <v>212614.28200000001</v>
      </c>
      <c r="E29" s="33">
        <v>79381.493748251407</v>
      </c>
      <c r="F29" s="33">
        <v>86661.878251748567</v>
      </c>
      <c r="G29" s="33">
        <v>129484.73352735231</v>
      </c>
      <c r="H29" s="33">
        <v>184994</v>
      </c>
      <c r="I29" s="33">
        <v>480522</v>
      </c>
      <c r="J29" s="33">
        <v>170730.84004923279</v>
      </c>
      <c r="K29" s="33">
        <v>244134.22607574097</v>
      </c>
      <c r="L29" s="33">
        <v>325091.18347835477</v>
      </c>
      <c r="M29" s="33">
        <v>420123</v>
      </c>
      <c r="N29" s="33">
        <v>1160080</v>
      </c>
      <c r="O29" s="33">
        <v>526202</v>
      </c>
      <c r="P29" s="33">
        <v>616978</v>
      </c>
      <c r="Q29" s="33">
        <v>852664</v>
      </c>
      <c r="R29" s="33">
        <v>625923</v>
      </c>
      <c r="S29" s="33">
        <v>2621767</v>
      </c>
      <c r="T29" s="33">
        <v>675996.87303999986</v>
      </c>
      <c r="U29" s="33">
        <v>707433.84663999965</v>
      </c>
      <c r="V29" s="33">
        <v>519503.09030712384</v>
      </c>
      <c r="W29" s="33">
        <v>489163.37452287646</v>
      </c>
      <c r="X29" s="33">
        <v>2392097.1845100001</v>
      </c>
      <c r="Y29" s="33">
        <v>377102</v>
      </c>
      <c r="Z29" s="33">
        <v>218761</v>
      </c>
      <c r="AA29" s="33">
        <v>174637</v>
      </c>
      <c r="AB29" s="33">
        <v>75692</v>
      </c>
      <c r="AC29" s="33">
        <v>846192</v>
      </c>
      <c r="AD29" s="33">
        <v>398900</v>
      </c>
    </row>
    <row r="30" spans="2:30" ht="14.25" customHeight="1" x14ac:dyDescent="0.45">
      <c r="B30" s="18" t="s">
        <v>85</v>
      </c>
      <c r="C30" s="50">
        <f t="shared" ref="C30:Y30" si="12">C29/C7</f>
        <v>0.27383865648598404</v>
      </c>
      <c r="D30" s="50">
        <f t="shared" si="12"/>
        <v>0.37611807474446562</v>
      </c>
      <c r="E30" s="50">
        <f t="shared" si="12"/>
        <v>0.33852826301393818</v>
      </c>
      <c r="F30" s="50">
        <f t="shared" si="12"/>
        <v>0.35806625441397977</v>
      </c>
      <c r="G30" s="50">
        <f t="shared" si="12"/>
        <v>0.38093604676313958</v>
      </c>
      <c r="H30" s="50">
        <f t="shared" si="12"/>
        <v>0.44534975618235911</v>
      </c>
      <c r="I30" s="50">
        <f t="shared" si="12"/>
        <v>0.3900910847364063</v>
      </c>
      <c r="J30" s="50">
        <f t="shared" si="12"/>
        <v>0.27980910214913046</v>
      </c>
      <c r="K30" s="50">
        <f t="shared" si="12"/>
        <v>0.36891935244273327</v>
      </c>
      <c r="L30" s="50">
        <f t="shared" si="12"/>
        <v>0.3873291713818468</v>
      </c>
      <c r="M30" s="50">
        <f t="shared" si="12"/>
        <v>0.4216138264904703</v>
      </c>
      <c r="N30" s="50">
        <f t="shared" si="12"/>
        <v>0.37329178496143295</v>
      </c>
      <c r="O30" s="50">
        <f t="shared" si="12"/>
        <v>0.40645631229197388</v>
      </c>
      <c r="P30" s="50">
        <f t="shared" si="12"/>
        <v>0.405823278379701</v>
      </c>
      <c r="Q30" s="50">
        <f t="shared" si="12"/>
        <v>0.42303276744668333</v>
      </c>
      <c r="R30" s="50">
        <f t="shared" si="12"/>
        <v>0.34681343962127303</v>
      </c>
      <c r="S30" s="50">
        <f t="shared" si="12"/>
        <v>0.3951239898349766</v>
      </c>
      <c r="T30" s="50">
        <f t="shared" si="12"/>
        <v>0.35831546060976449</v>
      </c>
      <c r="U30" s="50">
        <f t="shared" si="12"/>
        <v>0.37101749768675502</v>
      </c>
      <c r="V30" s="50">
        <v>0.27470003615812016</v>
      </c>
      <c r="W30" s="50">
        <v>0.26214481991544608</v>
      </c>
      <c r="X30" s="50">
        <v>0.31681282367762714</v>
      </c>
      <c r="Y30" s="50">
        <f t="shared" si="12"/>
        <v>0.20702259065081935</v>
      </c>
      <c r="Z30" s="50">
        <f t="shared" ref="Z30:AA30" si="13">Z29/Z7</f>
        <v>0.10920800595459472</v>
      </c>
      <c r="AA30" s="50">
        <f t="shared" si="13"/>
        <v>7.6694946144853351E-2</v>
      </c>
      <c r="AB30" s="50">
        <v>3.8416348315262548E-2</v>
      </c>
      <c r="AC30" s="50">
        <v>0.10482987592990628</v>
      </c>
      <c r="AD30" s="50">
        <v>0.1957462845500289</v>
      </c>
    </row>
    <row r="31" spans="2:30" ht="14.25" customHeight="1" x14ac:dyDescent="0.4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62"/>
      <c r="N31" s="62"/>
    </row>
    <row r="32" spans="2:30" ht="14.25" customHeight="1" x14ac:dyDescent="0.45">
      <c r="B32" s="17"/>
      <c r="C32" s="73"/>
      <c r="D32" s="20"/>
      <c r="E32" s="20"/>
      <c r="F32" s="20"/>
      <c r="G32" s="20"/>
      <c r="H32" s="20"/>
      <c r="I32" s="20"/>
      <c r="J32" s="20"/>
      <c r="K32" s="20"/>
      <c r="L32" s="20"/>
      <c r="M32" s="13"/>
      <c r="N32" s="33"/>
      <c r="P32" s="59"/>
      <c r="Q32" s="59"/>
      <c r="R32" s="59"/>
      <c r="S32" s="59"/>
      <c r="AA32" s="59"/>
    </row>
    <row r="33" spans="2:14" ht="14.25" customHeight="1" x14ac:dyDescent="0.45">
      <c r="B33" s="21"/>
      <c r="C33" s="73"/>
      <c r="D33" s="21"/>
      <c r="E33" s="21"/>
      <c r="F33" s="21"/>
      <c r="G33" s="21"/>
      <c r="H33" s="21"/>
      <c r="I33" s="21"/>
      <c r="J33" s="21"/>
      <c r="K33" s="21"/>
      <c r="L33" s="21"/>
      <c r="N33" s="33"/>
    </row>
    <row r="34" spans="2:14" x14ac:dyDescent="0.45">
      <c r="C34" s="73"/>
    </row>
    <row r="35" spans="2:14" x14ac:dyDescent="0.45">
      <c r="C35" s="73"/>
    </row>
    <row r="36" spans="2:14" x14ac:dyDescent="0.45">
      <c r="C36" s="73"/>
    </row>
  </sheetData>
  <mergeCells count="29">
    <mergeCell ref="AD5:AD6"/>
    <mergeCell ref="AB5:AB6"/>
    <mergeCell ref="AC5:AC6"/>
    <mergeCell ref="O5:O6"/>
    <mergeCell ref="T5:T6"/>
    <mergeCell ref="P5:P6"/>
    <mergeCell ref="R5:R6"/>
    <mergeCell ref="Q5:Q6"/>
    <mergeCell ref="V5:V6"/>
    <mergeCell ref="S5:S6"/>
    <mergeCell ref="U5:U6"/>
    <mergeCell ref="Z5:Z6"/>
    <mergeCell ref="AA5:AA6"/>
    <mergeCell ref="X2:AD3"/>
    <mergeCell ref="Y5:Y6"/>
    <mergeCell ref="W5:W6"/>
    <mergeCell ref="X5:X6"/>
    <mergeCell ref="C5:C6"/>
    <mergeCell ref="M5:M6"/>
    <mergeCell ref="N5:N6"/>
    <mergeCell ref="D5:D6"/>
    <mergeCell ref="K5:K6"/>
    <mergeCell ref="E5:E6"/>
    <mergeCell ref="F5:F6"/>
    <mergeCell ref="G5:G6"/>
    <mergeCell ref="H5:H6"/>
    <mergeCell ref="I5:I6"/>
    <mergeCell ref="J5:J6"/>
    <mergeCell ref="L5:L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5A5D-55C5-48A9-9439-E6C655AE39CC}">
  <sheetPr>
    <tabColor rgb="FF1B7754"/>
    <outlinePr summaryBelow="0"/>
  </sheetPr>
  <dimension ref="B2:BA71"/>
  <sheetViews>
    <sheetView showGridLines="0" tabSelected="1" topLeftCell="S10" zoomScaleNormal="100" workbookViewId="0">
      <selection activeCell="Y16" sqref="Y16"/>
    </sheetView>
  </sheetViews>
  <sheetFormatPr defaultColWidth="9.1796875" defaultRowHeight="14.25" customHeight="1" x14ac:dyDescent="0.45"/>
  <cols>
    <col min="1" max="1" width="1.7265625" style="2" customWidth="1"/>
    <col min="2" max="2" width="55.54296875" style="2" customWidth="1"/>
    <col min="3" max="11" width="10.54296875" style="2" customWidth="1"/>
    <col min="12" max="12" width="10.54296875" customWidth="1"/>
    <col min="13" max="13" width="10.54296875" customWidth="1" collapsed="1"/>
    <col min="14" max="17" width="10.54296875" customWidth="1"/>
    <col min="18" max="18" width="11.26953125" customWidth="1"/>
    <col min="19" max="23" width="10.54296875" customWidth="1"/>
    <col min="24" max="25" width="10.7265625" customWidth="1"/>
    <col min="26" max="46" width="10.54296875" customWidth="1"/>
    <col min="47" max="47" width="10.7265625" customWidth="1"/>
    <col min="48" max="52" width="10.54296875" customWidth="1"/>
    <col min="53" max="53" width="10.54296875" style="2" customWidth="1"/>
    <col min="54" max="16384" width="9.1796875" style="2"/>
  </cols>
  <sheetData>
    <row r="2" spans="2:53" ht="14.25" customHeight="1" x14ac:dyDescent="0.45">
      <c r="S2" s="109" t="s">
        <v>205</v>
      </c>
      <c r="T2" s="109"/>
      <c r="U2" s="109"/>
      <c r="V2" s="109"/>
      <c r="W2" s="109"/>
      <c r="X2" s="109"/>
      <c r="Y2" s="109"/>
    </row>
    <row r="3" spans="2:53" ht="14.25" customHeight="1" x14ac:dyDescent="0.45">
      <c r="O3" s="61"/>
      <c r="S3" s="109"/>
      <c r="T3" s="109"/>
      <c r="U3" s="109"/>
      <c r="V3" s="109"/>
      <c r="W3" s="109"/>
      <c r="X3" s="109"/>
      <c r="Y3" s="109"/>
    </row>
    <row r="5" spans="2:53" s="3" customFormat="1" ht="14.25" customHeight="1" x14ac:dyDescent="0.35">
      <c r="B5" s="76" t="s">
        <v>88</v>
      </c>
      <c r="C5" s="110" t="s">
        <v>18</v>
      </c>
      <c r="D5" s="110" t="s">
        <v>14</v>
      </c>
      <c r="E5" s="110" t="s">
        <v>23</v>
      </c>
      <c r="F5" s="110" t="s">
        <v>0</v>
      </c>
      <c r="G5" s="110" t="s">
        <v>5</v>
      </c>
      <c r="H5" s="110" t="s">
        <v>12</v>
      </c>
      <c r="I5" s="110" t="s">
        <v>26</v>
      </c>
      <c r="J5" s="110" t="s">
        <v>1</v>
      </c>
      <c r="K5" s="110" t="s">
        <v>10</v>
      </c>
      <c r="L5" s="110" t="s">
        <v>13</v>
      </c>
      <c r="M5" s="110" t="s">
        <v>29</v>
      </c>
      <c r="N5" s="110" t="s">
        <v>183</v>
      </c>
      <c r="O5" s="110" t="s">
        <v>186</v>
      </c>
      <c r="P5" s="110" t="s">
        <v>200</v>
      </c>
      <c r="Q5" s="110" t="s">
        <v>204</v>
      </c>
      <c r="R5" s="110" t="s">
        <v>208</v>
      </c>
      <c r="S5" s="110" t="s">
        <v>240</v>
      </c>
      <c r="T5" s="110" t="s">
        <v>244</v>
      </c>
      <c r="U5" s="110" t="s">
        <v>250</v>
      </c>
      <c r="V5" s="110" t="s">
        <v>326</v>
      </c>
      <c r="W5" s="110" t="s">
        <v>362</v>
      </c>
      <c r="X5" s="110" t="s">
        <v>369</v>
      </c>
      <c r="Y5" s="110" t="s">
        <v>374</v>
      </c>
      <c r="Z5"/>
      <c r="AA5" s="110" t="s">
        <v>23</v>
      </c>
      <c r="AB5" s="110" t="s">
        <v>24</v>
      </c>
      <c r="AC5" s="110" t="s">
        <v>25</v>
      </c>
      <c r="AD5" s="110" t="s">
        <v>86</v>
      </c>
      <c r="AE5" s="110" t="s">
        <v>26</v>
      </c>
      <c r="AF5" s="110" t="s">
        <v>27</v>
      </c>
      <c r="AG5" s="110" t="s">
        <v>28</v>
      </c>
      <c r="AH5" s="110" t="s">
        <v>87</v>
      </c>
      <c r="AI5" s="110" t="str">
        <f>M5</f>
        <v>1T22</v>
      </c>
      <c r="AJ5" s="110" t="s">
        <v>182</v>
      </c>
      <c r="AK5" s="110" t="s">
        <v>185</v>
      </c>
      <c r="AL5" s="110" t="s">
        <v>201</v>
      </c>
      <c r="AM5" s="110" t="str">
        <f>Q5</f>
        <v>1T23</v>
      </c>
      <c r="AN5" s="110" t="s">
        <v>207</v>
      </c>
      <c r="AO5" s="110" t="s">
        <v>238</v>
      </c>
      <c r="AP5" s="110" t="s">
        <v>243</v>
      </c>
      <c r="AQ5" s="110" t="s">
        <v>250</v>
      </c>
      <c r="AR5" s="110" t="s">
        <v>325</v>
      </c>
      <c r="AS5" s="110" t="s">
        <v>361</v>
      </c>
      <c r="AT5" s="110" t="s">
        <v>370</v>
      </c>
      <c r="AU5" s="110" t="s">
        <v>374</v>
      </c>
      <c r="AV5"/>
      <c r="AW5" s="110" t="s">
        <v>17</v>
      </c>
      <c r="AX5" s="110" t="s">
        <v>16</v>
      </c>
      <c r="AY5" s="110" t="s">
        <v>202</v>
      </c>
      <c r="AZ5" s="110" t="s">
        <v>245</v>
      </c>
      <c r="BA5" s="110" t="s">
        <v>371</v>
      </c>
    </row>
    <row r="6" spans="2:53" s="3" customFormat="1" ht="14.25" customHeight="1" x14ac:dyDescent="0.35">
      <c r="B6" s="77" t="s">
        <v>22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/>
      <c r="AW6" s="110"/>
      <c r="AX6" s="110"/>
      <c r="AY6" s="110"/>
      <c r="AZ6" s="110"/>
      <c r="BA6" s="110"/>
    </row>
    <row r="7" spans="2:53" ht="14.15" customHeight="1" x14ac:dyDescent="0.45">
      <c r="B7" s="5" t="s">
        <v>82</v>
      </c>
      <c r="C7" s="4">
        <v>14396</v>
      </c>
      <c r="D7" s="4">
        <v>61106</v>
      </c>
      <c r="E7" s="4">
        <v>50735.671999999984</v>
      </c>
      <c r="F7" s="4">
        <v>-14458</v>
      </c>
      <c r="G7" s="4">
        <v>81392</v>
      </c>
      <c r="H7" s="4">
        <v>-208644</v>
      </c>
      <c r="I7" s="4">
        <v>-53434</v>
      </c>
      <c r="J7" s="4">
        <v>65284</v>
      </c>
      <c r="K7" s="4">
        <v>315911</v>
      </c>
      <c r="L7" s="4">
        <v>321126</v>
      </c>
      <c r="M7" s="4">
        <v>506589</v>
      </c>
      <c r="N7" s="4">
        <v>631542</v>
      </c>
      <c r="O7" s="4">
        <v>1101324</v>
      </c>
      <c r="P7" s="4">
        <v>1485073</v>
      </c>
      <c r="Q7" s="4">
        <v>267248.53620639991</v>
      </c>
      <c r="R7" s="4">
        <v>541564.84663999965</v>
      </c>
      <c r="S7" s="4">
        <v>709880.83363000024</v>
      </c>
      <c r="T7" s="4">
        <v>877411.18451000005</v>
      </c>
      <c r="U7" s="4">
        <v>34004</v>
      </c>
      <c r="V7" s="4">
        <v>-145829</v>
      </c>
      <c r="W7" s="4">
        <v>-260556</v>
      </c>
      <c r="X7" s="4">
        <v>-489300</v>
      </c>
      <c r="Y7" s="4">
        <v>-40286</v>
      </c>
      <c r="AA7" s="4">
        <v>50735.671999999984</v>
      </c>
      <c r="AB7" s="4">
        <v>-65193.671999999984</v>
      </c>
      <c r="AC7" s="4">
        <v>95850</v>
      </c>
      <c r="AD7" s="4">
        <v>-290036</v>
      </c>
      <c r="AE7" s="4">
        <v>-53434</v>
      </c>
      <c r="AF7" s="4">
        <v>118718</v>
      </c>
      <c r="AG7" s="4">
        <v>250627</v>
      </c>
      <c r="AH7" s="4">
        <v>5215</v>
      </c>
      <c r="AI7" s="4">
        <v>506589</v>
      </c>
      <c r="AJ7" s="4">
        <v>124953</v>
      </c>
      <c r="AK7" s="4">
        <v>469782</v>
      </c>
      <c r="AL7" s="4">
        <v>383749</v>
      </c>
      <c r="AM7" s="4">
        <v>267248.53620639991</v>
      </c>
      <c r="AN7" s="4">
        <v>274316.31043359975</v>
      </c>
      <c r="AO7" s="4">
        <v>168315.98699000059</v>
      </c>
      <c r="AP7" s="4">
        <v>167530.35087999981</v>
      </c>
      <c r="AQ7" s="4">
        <v>34004</v>
      </c>
      <c r="AR7" s="4">
        <v>-179833</v>
      </c>
      <c r="AS7" s="4">
        <v>-114727</v>
      </c>
      <c r="AT7" s="4">
        <v>-228744</v>
      </c>
      <c r="AU7" s="4">
        <v>-40286</v>
      </c>
      <c r="AW7" s="4">
        <v>-269750</v>
      </c>
      <c r="AX7" s="4">
        <v>529770</v>
      </c>
      <c r="AY7" s="4">
        <v>1163947</v>
      </c>
      <c r="AZ7" s="4">
        <v>-607661.81548999995</v>
      </c>
      <c r="BA7" s="4">
        <v>-1366711.1845100001</v>
      </c>
    </row>
    <row r="8" spans="2:53" ht="14.25" customHeight="1" x14ac:dyDescent="0.45">
      <c r="B8" s="6" t="s">
        <v>89</v>
      </c>
      <c r="C8" s="32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36">
        <v>0</v>
      </c>
      <c r="AG8" s="36">
        <v>0</v>
      </c>
      <c r="AH8" s="36">
        <v>0</v>
      </c>
      <c r="AI8" s="36">
        <v>0</v>
      </c>
      <c r="AJ8" s="36">
        <v>0</v>
      </c>
      <c r="AK8" s="36">
        <v>0</v>
      </c>
      <c r="AL8" s="36">
        <v>0</v>
      </c>
      <c r="AM8" s="36">
        <v>0</v>
      </c>
      <c r="AN8" s="32">
        <v>0</v>
      </c>
      <c r="AO8" s="32">
        <v>0</v>
      </c>
      <c r="AP8" s="32">
        <v>0</v>
      </c>
      <c r="AQ8" s="32">
        <v>0</v>
      </c>
      <c r="AR8" s="32">
        <v>0</v>
      </c>
      <c r="AS8" s="32">
        <v>0</v>
      </c>
      <c r="AT8" s="32">
        <v>0</v>
      </c>
      <c r="AU8" s="32">
        <v>0</v>
      </c>
      <c r="AW8" s="36">
        <v>0</v>
      </c>
      <c r="AX8" s="36">
        <v>0</v>
      </c>
      <c r="AY8" s="36">
        <v>0</v>
      </c>
      <c r="AZ8" s="36">
        <v>0</v>
      </c>
      <c r="BA8" s="36">
        <v>0</v>
      </c>
    </row>
    <row r="9" spans="2:53" ht="14.25" customHeight="1" x14ac:dyDescent="0.45">
      <c r="B9" s="7" t="s">
        <v>252</v>
      </c>
      <c r="C9" s="49">
        <v>11121</v>
      </c>
      <c r="D9" s="49">
        <v>17013</v>
      </c>
      <c r="E9" s="49">
        <v>8770.1217482514403</v>
      </c>
      <c r="F9" s="49">
        <v>17937</v>
      </c>
      <c r="G9" s="49">
        <v>29776.566945462251</v>
      </c>
      <c r="H9" s="49">
        <v>41696.552072974038</v>
      </c>
      <c r="I9" s="49">
        <v>24938.840049232793</v>
      </c>
      <c r="J9" s="49">
        <v>42470.066124973768</v>
      </c>
      <c r="K9" s="49">
        <v>60078</v>
      </c>
      <c r="L9" s="49">
        <v>79403</v>
      </c>
      <c r="M9" s="49">
        <v>31341</v>
      </c>
      <c r="N9" s="49">
        <v>60635</v>
      </c>
      <c r="O9" s="49">
        <v>95894</v>
      </c>
      <c r="P9" s="49">
        <v>129835</v>
      </c>
      <c r="Q9" s="49">
        <v>32864</v>
      </c>
      <c r="R9" s="49">
        <v>66991</v>
      </c>
      <c r="S9" s="49">
        <v>104623</v>
      </c>
      <c r="T9" s="49">
        <v>147901</v>
      </c>
      <c r="U9" s="49">
        <v>47906</v>
      </c>
      <c r="V9" s="49">
        <v>111266</v>
      </c>
      <c r="W9" s="49">
        <v>184490</v>
      </c>
      <c r="X9" s="49">
        <v>254218</v>
      </c>
      <c r="Y9" s="49">
        <v>66974</v>
      </c>
      <c r="AA9" s="49">
        <v>8770.1217482514403</v>
      </c>
      <c r="AB9" s="49">
        <v>9166.8782517485597</v>
      </c>
      <c r="AC9" s="49">
        <v>11839.566945462251</v>
      </c>
      <c r="AD9" s="49">
        <v>11919.985127511787</v>
      </c>
      <c r="AE9" s="49">
        <v>24938.840049232793</v>
      </c>
      <c r="AF9" s="49">
        <v>17531.226075740975</v>
      </c>
      <c r="AG9" s="49">
        <v>17607.933875026232</v>
      </c>
      <c r="AH9" s="49">
        <v>19325</v>
      </c>
      <c r="AI9" s="49">
        <v>31341</v>
      </c>
      <c r="AJ9" s="49">
        <v>29294</v>
      </c>
      <c r="AK9" s="49">
        <v>35259</v>
      </c>
      <c r="AL9" s="49">
        <v>33941</v>
      </c>
      <c r="AM9" s="49">
        <v>32864</v>
      </c>
      <c r="AN9" s="49">
        <v>34127</v>
      </c>
      <c r="AO9" s="49">
        <v>37632</v>
      </c>
      <c r="AP9" s="49">
        <v>43278</v>
      </c>
      <c r="AQ9" s="49">
        <v>47906</v>
      </c>
      <c r="AR9" s="49">
        <v>63360</v>
      </c>
      <c r="AS9" s="49">
        <v>73224</v>
      </c>
      <c r="AT9" s="49">
        <v>69728</v>
      </c>
      <c r="AU9" s="49">
        <v>66974</v>
      </c>
      <c r="AW9" s="49">
        <v>24683.552072974038</v>
      </c>
      <c r="AX9" s="49">
        <v>37706.447927025962</v>
      </c>
      <c r="AY9" s="49">
        <v>50432</v>
      </c>
      <c r="AZ9" s="49">
        <v>18066</v>
      </c>
      <c r="BA9" s="49">
        <v>106317</v>
      </c>
    </row>
    <row r="10" spans="2:53" ht="15" customHeight="1" x14ac:dyDescent="0.45">
      <c r="B10" s="7" t="s">
        <v>253</v>
      </c>
      <c r="C10" s="49">
        <v>-2311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-98939</v>
      </c>
      <c r="M10" s="49">
        <v>-97862</v>
      </c>
      <c r="N10" s="49">
        <v>-190588</v>
      </c>
      <c r="O10" s="32">
        <v>-303767</v>
      </c>
      <c r="P10" s="32">
        <v>-400347</v>
      </c>
      <c r="Q10" s="32">
        <v>-82450</v>
      </c>
      <c r="R10" s="74">
        <v>-212915</v>
      </c>
      <c r="S10" s="32">
        <v>-477128</v>
      </c>
      <c r="T10" s="32">
        <v>-776539</v>
      </c>
      <c r="U10" s="32">
        <v>27347</v>
      </c>
      <c r="V10" s="32">
        <v>-342183</v>
      </c>
      <c r="W10" s="32">
        <v>-472677</v>
      </c>
      <c r="X10" s="49">
        <v>-598046</v>
      </c>
      <c r="Y10" s="49">
        <v>-56101</v>
      </c>
      <c r="AA10" s="49">
        <v>0</v>
      </c>
      <c r="AB10" s="49">
        <v>0</v>
      </c>
      <c r="AC10" s="49">
        <v>0</v>
      </c>
      <c r="AD10" s="49">
        <v>0</v>
      </c>
      <c r="AE10" s="49">
        <v>0</v>
      </c>
      <c r="AF10" s="49">
        <v>0</v>
      </c>
      <c r="AG10" s="49">
        <v>0</v>
      </c>
      <c r="AH10" s="49">
        <v>-98939</v>
      </c>
      <c r="AI10" s="49">
        <v>-97862</v>
      </c>
      <c r="AJ10" s="49">
        <v>-92726</v>
      </c>
      <c r="AK10" s="49">
        <v>-113179</v>
      </c>
      <c r="AL10" s="49">
        <v>-96580</v>
      </c>
      <c r="AM10" s="49">
        <v>-82450</v>
      </c>
      <c r="AN10" s="49">
        <v>-130465</v>
      </c>
      <c r="AO10" s="49">
        <v>-264213</v>
      </c>
      <c r="AP10" s="49">
        <v>-299411</v>
      </c>
      <c r="AQ10" s="49">
        <v>27347</v>
      </c>
      <c r="AR10" s="49">
        <v>-369530</v>
      </c>
      <c r="AS10" s="49">
        <v>-130494</v>
      </c>
      <c r="AT10" s="49">
        <v>-125369</v>
      </c>
      <c r="AU10" s="49">
        <v>-56101</v>
      </c>
      <c r="AW10" s="49">
        <v>0</v>
      </c>
      <c r="AX10" s="49">
        <v>-98939</v>
      </c>
      <c r="AY10" s="49">
        <v>-301408</v>
      </c>
      <c r="AZ10" s="49">
        <v>-376192</v>
      </c>
      <c r="BA10" s="49">
        <v>178493</v>
      </c>
    </row>
    <row r="11" spans="2:53" ht="14.25" customHeight="1" x14ac:dyDescent="0.45">
      <c r="B11" s="7" t="s">
        <v>376</v>
      </c>
      <c r="C11" s="49">
        <v>8659</v>
      </c>
      <c r="D11" s="49">
        <v>-6415</v>
      </c>
      <c r="E11" s="49">
        <v>19757.597000000002</v>
      </c>
      <c r="F11" s="49">
        <v>-9013</v>
      </c>
      <c r="G11" s="49">
        <v>35373</v>
      </c>
      <c r="H11" s="49">
        <v>-119238</v>
      </c>
      <c r="I11" s="49">
        <v>-22889</v>
      </c>
      <c r="J11" s="49">
        <v>28838</v>
      </c>
      <c r="K11" s="49">
        <v>148599.75224999999</v>
      </c>
      <c r="L11" s="49">
        <v>124977</v>
      </c>
      <c r="M11" s="49">
        <v>76425</v>
      </c>
      <c r="N11" s="49">
        <v>96083</v>
      </c>
      <c r="O11" s="49">
        <v>250049</v>
      </c>
      <c r="P11" s="49">
        <v>241589</v>
      </c>
      <c r="Q11" s="49">
        <v>95369</v>
      </c>
      <c r="R11" s="49">
        <v>182289</v>
      </c>
      <c r="S11" s="49">
        <v>208953</v>
      </c>
      <c r="T11" s="49">
        <v>214772</v>
      </c>
      <c r="U11" s="49">
        <v>-34937</v>
      </c>
      <c r="V11" s="49">
        <v>-172047</v>
      </c>
      <c r="W11" s="49">
        <v>-273463</v>
      </c>
      <c r="X11" s="49">
        <v>-441705</v>
      </c>
      <c r="Y11" s="49">
        <v>-55024</v>
      </c>
      <c r="AA11" s="49">
        <v>19757.597000000002</v>
      </c>
      <c r="AB11" s="49">
        <v>-28770.597000000002</v>
      </c>
      <c r="AC11" s="49">
        <v>44386</v>
      </c>
      <c r="AD11" s="49">
        <v>-154611</v>
      </c>
      <c r="AE11" s="49">
        <v>-22889</v>
      </c>
      <c r="AF11" s="49">
        <v>51727</v>
      </c>
      <c r="AG11" s="49">
        <v>119761.75224999999</v>
      </c>
      <c r="AH11" s="49">
        <v>-23622.75224999999</v>
      </c>
      <c r="AI11" s="49">
        <v>76425</v>
      </c>
      <c r="AJ11" s="49">
        <v>19658</v>
      </c>
      <c r="AK11" s="49">
        <v>153966</v>
      </c>
      <c r="AL11" s="49">
        <v>-8460</v>
      </c>
      <c r="AM11" s="49">
        <v>95369</v>
      </c>
      <c r="AN11" s="49">
        <v>86920</v>
      </c>
      <c r="AO11" s="49">
        <v>26664</v>
      </c>
      <c r="AP11" s="49">
        <v>5819</v>
      </c>
      <c r="AQ11" s="49">
        <v>-34937</v>
      </c>
      <c r="AR11" s="49">
        <v>-137110</v>
      </c>
      <c r="AS11" s="49">
        <v>-101416</v>
      </c>
      <c r="AT11" s="49">
        <v>-168242</v>
      </c>
      <c r="AU11" s="49">
        <v>-55024</v>
      </c>
      <c r="AW11" s="49">
        <v>-112823</v>
      </c>
      <c r="AX11" s="49">
        <v>244215</v>
      </c>
      <c r="AY11" s="49">
        <v>116612</v>
      </c>
      <c r="AZ11" s="49">
        <v>-26817</v>
      </c>
      <c r="BA11" s="49">
        <v>-656477</v>
      </c>
    </row>
    <row r="12" spans="2:53" ht="14.25" customHeight="1" x14ac:dyDescent="0.45">
      <c r="B12" s="7" t="s">
        <v>336</v>
      </c>
      <c r="C12" s="49">
        <v>17555.623</v>
      </c>
      <c r="D12" s="49">
        <v>79829</v>
      </c>
      <c r="E12" s="49">
        <v>-17924.419000000002</v>
      </c>
      <c r="F12" s="49">
        <v>75253.038</v>
      </c>
      <c r="G12" s="49">
        <v>24074</v>
      </c>
      <c r="H12" s="49">
        <v>570838</v>
      </c>
      <c r="I12" s="49">
        <v>131767.93151999998</v>
      </c>
      <c r="J12" s="49">
        <v>213613</v>
      </c>
      <c r="K12" s="49">
        <v>-584116.40226</v>
      </c>
      <c r="L12" s="49">
        <v>-294056</v>
      </c>
      <c r="M12" s="49">
        <v>-436922</v>
      </c>
      <c r="N12" s="49">
        <v>-170740.00305000003</v>
      </c>
      <c r="O12" s="32">
        <v>-73431</v>
      </c>
      <c r="P12" s="32">
        <v>-613429</v>
      </c>
      <c r="Q12" s="32">
        <v>297681</v>
      </c>
      <c r="R12" s="74">
        <v>413179</v>
      </c>
      <c r="S12" s="32">
        <v>293092</v>
      </c>
      <c r="T12" s="32">
        <v>203105</v>
      </c>
      <c r="U12" s="32">
        <v>-163119</v>
      </c>
      <c r="V12" s="32">
        <v>-83635</v>
      </c>
      <c r="W12" s="32">
        <v>-140019</v>
      </c>
      <c r="X12" s="49">
        <v>-192996</v>
      </c>
      <c r="Y12" s="49">
        <v>232307</v>
      </c>
      <c r="AA12" s="49">
        <v>-17924.419000000002</v>
      </c>
      <c r="AB12" s="49">
        <v>93177.456999999995</v>
      </c>
      <c r="AC12" s="49">
        <v>-51179.038</v>
      </c>
      <c r="AD12" s="49">
        <v>546764</v>
      </c>
      <c r="AE12" s="49">
        <v>131767.93151999998</v>
      </c>
      <c r="AF12" s="49">
        <v>81845.068480000016</v>
      </c>
      <c r="AG12" s="49">
        <v>-797729.40226</v>
      </c>
      <c r="AH12" s="49">
        <v>290060.40226</v>
      </c>
      <c r="AI12" s="49">
        <v>-436922</v>
      </c>
      <c r="AJ12" s="49">
        <v>266181.99694999994</v>
      </c>
      <c r="AK12" s="49">
        <v>97309.003050000028</v>
      </c>
      <c r="AL12" s="49">
        <v>-539998</v>
      </c>
      <c r="AM12" s="49">
        <v>297681</v>
      </c>
      <c r="AN12" s="49">
        <v>115498</v>
      </c>
      <c r="AO12" s="49">
        <v>-120087</v>
      </c>
      <c r="AP12" s="49">
        <v>-89987</v>
      </c>
      <c r="AQ12" s="49">
        <v>-163119</v>
      </c>
      <c r="AR12" s="49">
        <v>79484</v>
      </c>
      <c r="AS12" s="49">
        <v>-56384</v>
      </c>
      <c r="AT12" s="49">
        <v>-52977</v>
      </c>
      <c r="AU12" s="49">
        <v>232307</v>
      </c>
      <c r="AW12" s="49">
        <v>491009</v>
      </c>
      <c r="AX12" s="49">
        <v>-864894</v>
      </c>
      <c r="AY12" s="49">
        <v>-319373</v>
      </c>
      <c r="AZ12" s="49">
        <v>816534</v>
      </c>
      <c r="BA12" s="49">
        <v>-396101</v>
      </c>
    </row>
    <row r="13" spans="2:53" ht="15" customHeight="1" x14ac:dyDescent="0.45">
      <c r="B13" s="7" t="s">
        <v>377</v>
      </c>
      <c r="C13" s="49">
        <v>0</v>
      </c>
      <c r="D13" s="49">
        <v>23443</v>
      </c>
      <c r="E13" s="49">
        <v>-15847.243</v>
      </c>
      <c r="F13" s="49">
        <v>7766</v>
      </c>
      <c r="G13" s="49">
        <v>-34978</v>
      </c>
      <c r="H13" s="49">
        <v>-12018</v>
      </c>
      <c r="I13" s="49">
        <v>-19224</v>
      </c>
      <c r="J13" s="49">
        <v>-32764</v>
      </c>
      <c r="K13" s="49">
        <v>-5124.4967499999984</v>
      </c>
      <c r="L13" s="49">
        <v>36093</v>
      </c>
      <c r="M13" s="49">
        <v>270796</v>
      </c>
      <c r="N13" s="49">
        <v>232580</v>
      </c>
      <c r="O13" s="32">
        <v>221469</v>
      </c>
      <c r="P13" s="32">
        <v>706071</v>
      </c>
      <c r="Q13" s="32">
        <v>-166491</v>
      </c>
      <c r="R13" s="74">
        <v>-117117</v>
      </c>
      <c r="S13" s="32">
        <v>71282</v>
      </c>
      <c r="T13" s="32">
        <v>230284</v>
      </c>
      <c r="U13" s="32">
        <v>229379</v>
      </c>
      <c r="V13" s="32">
        <v>257214</v>
      </c>
      <c r="W13" s="32">
        <v>328886</v>
      </c>
      <c r="X13" s="49">
        <v>307533</v>
      </c>
      <c r="Y13" s="49">
        <v>-155146</v>
      </c>
      <c r="AA13" s="49">
        <v>-15847.243</v>
      </c>
      <c r="AB13" s="49">
        <v>23613.243000000002</v>
      </c>
      <c r="AC13" s="49">
        <v>-42744</v>
      </c>
      <c r="AD13" s="49">
        <v>22960</v>
      </c>
      <c r="AE13" s="49">
        <v>-19224</v>
      </c>
      <c r="AF13" s="49">
        <v>-13540</v>
      </c>
      <c r="AG13" s="49">
        <v>27639.503250000002</v>
      </c>
      <c r="AH13" s="49">
        <v>41217.496749999998</v>
      </c>
      <c r="AI13" s="49">
        <v>270796</v>
      </c>
      <c r="AJ13" s="49">
        <v>-38216</v>
      </c>
      <c r="AK13" s="49">
        <v>-11111</v>
      </c>
      <c r="AL13" s="49">
        <v>484602</v>
      </c>
      <c r="AM13" s="49">
        <v>-166491</v>
      </c>
      <c r="AN13" s="49">
        <v>49374</v>
      </c>
      <c r="AO13" s="49">
        <v>188399</v>
      </c>
      <c r="AP13" s="49">
        <v>159002</v>
      </c>
      <c r="AQ13" s="49">
        <v>229379</v>
      </c>
      <c r="AR13" s="49">
        <v>27835</v>
      </c>
      <c r="AS13" s="49">
        <v>71672</v>
      </c>
      <c r="AT13" s="49">
        <v>-21353</v>
      </c>
      <c r="AU13" s="49">
        <v>-155146</v>
      </c>
      <c r="AW13" s="49">
        <v>-35461</v>
      </c>
      <c r="AX13" s="49">
        <v>48111</v>
      </c>
      <c r="AY13" s="49">
        <v>669978</v>
      </c>
      <c r="AZ13" s="49">
        <v>-475787</v>
      </c>
      <c r="BA13" s="49">
        <v>77249</v>
      </c>
    </row>
    <row r="14" spans="2:53" ht="15" customHeight="1" x14ac:dyDescent="0.45">
      <c r="B14" s="7" t="s">
        <v>255</v>
      </c>
      <c r="C14" s="32">
        <v>6945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-12827</v>
      </c>
      <c r="K14" s="32">
        <v>-13547.240730000001</v>
      </c>
      <c r="L14" s="32">
        <v>-17319</v>
      </c>
      <c r="M14" s="32">
        <v>4929</v>
      </c>
      <c r="N14" s="32">
        <v>3844</v>
      </c>
      <c r="O14" s="32">
        <v>1659</v>
      </c>
      <c r="P14" s="32">
        <v>-15190</v>
      </c>
      <c r="Q14" s="32">
        <v>0</v>
      </c>
      <c r="R14" s="32">
        <v>-4419</v>
      </c>
      <c r="S14" s="32">
        <v>-4419</v>
      </c>
      <c r="T14" s="32">
        <v>4420</v>
      </c>
      <c r="U14" s="32">
        <v>0</v>
      </c>
      <c r="V14" s="32">
        <v>0</v>
      </c>
      <c r="W14" s="32">
        <v>0</v>
      </c>
      <c r="X14" s="49">
        <v>0</v>
      </c>
      <c r="Y14" s="49">
        <v>0</v>
      </c>
      <c r="AA14" s="49">
        <v>0</v>
      </c>
      <c r="AB14" s="49">
        <v>0</v>
      </c>
      <c r="AC14" s="49">
        <v>0</v>
      </c>
      <c r="AD14" s="32">
        <v>0</v>
      </c>
      <c r="AE14" s="32">
        <v>0</v>
      </c>
      <c r="AF14" s="32">
        <v>-12827</v>
      </c>
      <c r="AG14" s="32">
        <v>-720.24073000000135</v>
      </c>
      <c r="AH14" s="32">
        <v>-3771.7592699999987</v>
      </c>
      <c r="AI14" s="32">
        <v>4929</v>
      </c>
      <c r="AJ14" s="32">
        <v>-1085</v>
      </c>
      <c r="AK14" s="32">
        <v>-2185</v>
      </c>
      <c r="AL14" s="32">
        <v>-16849</v>
      </c>
      <c r="AM14" s="32">
        <v>0</v>
      </c>
      <c r="AN14" s="49">
        <v>-4419</v>
      </c>
      <c r="AO14" s="32">
        <v>0</v>
      </c>
      <c r="AP14" s="32">
        <v>8839</v>
      </c>
      <c r="AQ14" s="32">
        <v>0</v>
      </c>
      <c r="AR14" s="32">
        <v>0</v>
      </c>
      <c r="AS14" s="32">
        <v>0</v>
      </c>
      <c r="AT14" s="32">
        <v>0</v>
      </c>
      <c r="AU14" s="32">
        <v>0</v>
      </c>
      <c r="AW14" s="32">
        <v>0</v>
      </c>
      <c r="AX14" s="32">
        <v>-17319</v>
      </c>
      <c r="AY14" s="32">
        <v>2129</v>
      </c>
      <c r="AZ14" s="32">
        <v>19610</v>
      </c>
      <c r="BA14" s="32">
        <v>-4420</v>
      </c>
    </row>
    <row r="15" spans="2:53" ht="15" customHeight="1" x14ac:dyDescent="0.45">
      <c r="B15" s="7" t="s">
        <v>254</v>
      </c>
      <c r="C15" s="49">
        <v>16216</v>
      </c>
      <c r="D15" s="49">
        <v>2425</v>
      </c>
      <c r="E15" s="49">
        <v>-19.834000000000287</v>
      </c>
      <c r="F15" s="49">
        <v>-1490</v>
      </c>
      <c r="G15" s="49">
        <v>-4420</v>
      </c>
      <c r="H15" s="49">
        <v>-9897</v>
      </c>
      <c r="I15" s="49">
        <v>-3199</v>
      </c>
      <c r="J15" s="49">
        <v>-6888</v>
      </c>
      <c r="K15" s="49">
        <v>-11442.994940571685</v>
      </c>
      <c r="L15" s="49">
        <v>-14734</v>
      </c>
      <c r="M15" s="49">
        <v>-2738</v>
      </c>
      <c r="N15" s="49">
        <v>-9738</v>
      </c>
      <c r="O15" s="32">
        <v>-18940</v>
      </c>
      <c r="P15" s="32">
        <v>-28681</v>
      </c>
      <c r="Q15" s="32">
        <v>-12543</v>
      </c>
      <c r="R15" s="74">
        <v>-26297</v>
      </c>
      <c r="S15" s="32">
        <v>-64189</v>
      </c>
      <c r="T15" s="32">
        <v>-83899</v>
      </c>
      <c r="U15" s="32">
        <v>-13424</v>
      </c>
      <c r="V15" s="32">
        <v>65926</v>
      </c>
      <c r="W15" s="32">
        <v>80282</v>
      </c>
      <c r="X15" s="49">
        <v>88254</v>
      </c>
      <c r="Y15" s="49">
        <v>4173</v>
      </c>
      <c r="AA15" s="49">
        <v>-19.834000000000287</v>
      </c>
      <c r="AB15" s="49">
        <v>-1470.1659999999997</v>
      </c>
      <c r="AC15" s="49">
        <v>-2930</v>
      </c>
      <c r="AD15" s="49">
        <v>-5477</v>
      </c>
      <c r="AE15" s="49">
        <v>-3199</v>
      </c>
      <c r="AF15" s="49">
        <v>-3689</v>
      </c>
      <c r="AG15" s="49">
        <v>-4554.9949405716852</v>
      </c>
      <c r="AH15" s="49">
        <v>-3291.0050594283148</v>
      </c>
      <c r="AI15" s="49">
        <v>-2738</v>
      </c>
      <c r="AJ15" s="49">
        <v>-7000</v>
      </c>
      <c r="AK15" s="49">
        <v>-9202</v>
      </c>
      <c r="AL15" s="49">
        <v>-9741</v>
      </c>
      <c r="AM15" s="49">
        <v>-12543</v>
      </c>
      <c r="AN15" s="49">
        <v>-13754</v>
      </c>
      <c r="AO15" s="49">
        <v>-37892</v>
      </c>
      <c r="AP15" s="49">
        <v>-19710</v>
      </c>
      <c r="AQ15" s="49">
        <v>-13424</v>
      </c>
      <c r="AR15" s="49">
        <v>79350</v>
      </c>
      <c r="AS15" s="49">
        <v>14356</v>
      </c>
      <c r="AT15" s="49">
        <v>7972</v>
      </c>
      <c r="AU15" s="49">
        <v>4173</v>
      </c>
      <c r="AW15" s="49">
        <v>-12322</v>
      </c>
      <c r="AX15" s="49">
        <v>-4837</v>
      </c>
      <c r="AY15" s="49">
        <v>-13947</v>
      </c>
      <c r="AZ15" s="49">
        <v>-55218</v>
      </c>
      <c r="BA15" s="49">
        <v>172153</v>
      </c>
    </row>
    <row r="16" spans="2:53" ht="14.25" customHeight="1" x14ac:dyDescent="0.45">
      <c r="B16" s="7" t="s">
        <v>337</v>
      </c>
      <c r="C16" s="49">
        <v>1850</v>
      </c>
      <c r="D16" s="49">
        <v>29333</v>
      </c>
      <c r="E16" s="49">
        <v>15875.356539999999</v>
      </c>
      <c r="F16" s="49">
        <v>36017</v>
      </c>
      <c r="G16" s="49">
        <v>54864.468903560635</v>
      </c>
      <c r="H16" s="49">
        <v>105676.90910856059</v>
      </c>
      <c r="I16" s="49">
        <v>67693</v>
      </c>
      <c r="J16" s="49">
        <v>143973.47881999999</v>
      </c>
      <c r="K16" s="49">
        <v>215850.1599</v>
      </c>
      <c r="L16" s="49">
        <v>384410</v>
      </c>
      <c r="M16" s="49">
        <v>178380</v>
      </c>
      <c r="N16" s="49">
        <v>362046</v>
      </c>
      <c r="O16" s="32">
        <v>592297</v>
      </c>
      <c r="P16" s="32">
        <v>826580</v>
      </c>
      <c r="Q16" s="32">
        <v>264333</v>
      </c>
      <c r="R16" s="74">
        <v>513271</v>
      </c>
      <c r="S16" s="32">
        <v>782581</v>
      </c>
      <c r="T16" s="32">
        <v>1073677</v>
      </c>
      <c r="U16" s="32">
        <v>309947</v>
      </c>
      <c r="V16" s="32">
        <v>811653</v>
      </c>
      <c r="W16" s="32">
        <v>1251927</v>
      </c>
      <c r="X16" s="49">
        <v>1788156</v>
      </c>
      <c r="Y16" s="49">
        <v>448700</v>
      </c>
      <c r="AA16" s="49">
        <v>15875.356539999999</v>
      </c>
      <c r="AB16" s="49">
        <v>20141.643459999999</v>
      </c>
      <c r="AC16" s="49">
        <v>18847.468903560635</v>
      </c>
      <c r="AD16" s="49">
        <v>50812.440204999955</v>
      </c>
      <c r="AE16" s="49">
        <v>67693</v>
      </c>
      <c r="AF16" s="49">
        <v>76280.478819999989</v>
      </c>
      <c r="AG16" s="49">
        <v>71876.681080000009</v>
      </c>
      <c r="AH16" s="49">
        <v>168559.8401</v>
      </c>
      <c r="AI16" s="49">
        <v>178380</v>
      </c>
      <c r="AJ16" s="49">
        <v>183666</v>
      </c>
      <c r="AK16" s="49">
        <v>230251</v>
      </c>
      <c r="AL16" s="49">
        <v>234283</v>
      </c>
      <c r="AM16" s="49">
        <v>264333</v>
      </c>
      <c r="AN16" s="49">
        <v>248938</v>
      </c>
      <c r="AO16" s="49">
        <v>269310</v>
      </c>
      <c r="AP16" s="49">
        <v>291096</v>
      </c>
      <c r="AQ16" s="49">
        <v>309947</v>
      </c>
      <c r="AR16" s="49">
        <v>501706</v>
      </c>
      <c r="AS16" s="49">
        <v>440274</v>
      </c>
      <c r="AT16" s="49">
        <v>536229</v>
      </c>
      <c r="AU16" s="49">
        <v>448700</v>
      </c>
      <c r="AW16" s="49">
        <v>76343.909108560591</v>
      </c>
      <c r="AX16" s="49">
        <v>278733.09089143941</v>
      </c>
      <c r="AY16" s="49">
        <v>442170</v>
      </c>
      <c r="AZ16" s="49">
        <v>247097</v>
      </c>
      <c r="BA16" s="49">
        <v>714479</v>
      </c>
    </row>
    <row r="17" spans="2:53" ht="15" customHeight="1" x14ac:dyDescent="0.45">
      <c r="B17" s="7" t="s">
        <v>378</v>
      </c>
      <c r="C17" s="49">
        <v>0</v>
      </c>
      <c r="D17" s="49">
        <v>4883</v>
      </c>
      <c r="E17" s="49">
        <v>1292.57818046323</v>
      </c>
      <c r="F17" s="49">
        <v>2631.4041704632345</v>
      </c>
      <c r="G17" s="49">
        <v>4003.2403804632354</v>
      </c>
      <c r="H17" s="49">
        <v>5393.4370304632366</v>
      </c>
      <c r="I17" s="49">
        <v>1425</v>
      </c>
      <c r="J17" s="49">
        <v>2899</v>
      </c>
      <c r="K17" s="49">
        <v>5159</v>
      </c>
      <c r="L17" s="49">
        <v>0</v>
      </c>
      <c r="M17" s="49">
        <v>0</v>
      </c>
      <c r="N17" s="49">
        <v>0</v>
      </c>
      <c r="O17" s="32">
        <v>0</v>
      </c>
      <c r="P17" s="32">
        <v>0</v>
      </c>
      <c r="Q17" s="32">
        <v>0</v>
      </c>
      <c r="R17" s="74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49">
        <v>0</v>
      </c>
      <c r="Y17" s="49">
        <v>0</v>
      </c>
      <c r="AA17" s="49">
        <v>1292.57818046323</v>
      </c>
      <c r="AB17" s="49">
        <v>1338.8259900000046</v>
      </c>
      <c r="AC17" s="49">
        <v>1371.8362100000008</v>
      </c>
      <c r="AD17" s="49">
        <v>1390.1966500000012</v>
      </c>
      <c r="AE17" s="49">
        <v>1425</v>
      </c>
      <c r="AF17" s="49">
        <v>1474</v>
      </c>
      <c r="AG17" s="49">
        <v>2260</v>
      </c>
      <c r="AH17" s="49">
        <v>-5159</v>
      </c>
      <c r="AI17" s="49">
        <v>0</v>
      </c>
      <c r="AJ17" s="49">
        <v>0</v>
      </c>
      <c r="AK17" s="49">
        <v>0</v>
      </c>
      <c r="AL17" s="49">
        <v>0</v>
      </c>
      <c r="AM17" s="49">
        <v>0</v>
      </c>
      <c r="AN17" s="49">
        <v>0</v>
      </c>
      <c r="AO17" s="49">
        <v>0</v>
      </c>
      <c r="AP17" s="49">
        <v>0</v>
      </c>
      <c r="AQ17" s="49">
        <v>0</v>
      </c>
      <c r="AR17" s="49">
        <v>0</v>
      </c>
      <c r="AS17" s="49">
        <v>0</v>
      </c>
      <c r="AT17" s="49">
        <v>0</v>
      </c>
      <c r="AU17" s="49">
        <v>0</v>
      </c>
      <c r="AW17" s="49">
        <v>510.43703046323662</v>
      </c>
      <c r="AX17" s="49">
        <v>-5393.4370304632366</v>
      </c>
      <c r="AY17" s="49">
        <v>0</v>
      </c>
      <c r="AZ17" s="49">
        <v>0</v>
      </c>
      <c r="BA17" s="49">
        <v>0</v>
      </c>
    </row>
    <row r="18" spans="2:53" ht="15" customHeight="1" x14ac:dyDescent="0.45">
      <c r="B18" s="7" t="s">
        <v>379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-520</v>
      </c>
      <c r="K18" s="49">
        <v>-13465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74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AA18" s="49">
        <v>0</v>
      </c>
      <c r="AB18" s="49">
        <v>0</v>
      </c>
      <c r="AC18" s="49">
        <v>0</v>
      </c>
      <c r="AD18" s="49">
        <v>0</v>
      </c>
      <c r="AE18" s="49">
        <v>0</v>
      </c>
      <c r="AF18" s="49">
        <v>-520</v>
      </c>
      <c r="AG18" s="49">
        <v>-12945</v>
      </c>
      <c r="AH18" s="49">
        <v>13465</v>
      </c>
      <c r="AI18" s="49">
        <v>0</v>
      </c>
      <c r="AJ18" s="49">
        <v>0</v>
      </c>
      <c r="AK18" s="49">
        <v>0</v>
      </c>
      <c r="AL18" s="49">
        <v>0</v>
      </c>
      <c r="AM18" s="49">
        <v>0</v>
      </c>
      <c r="AN18" s="49">
        <v>0</v>
      </c>
      <c r="AO18" s="49">
        <v>0</v>
      </c>
      <c r="AP18" s="49">
        <v>0</v>
      </c>
      <c r="AQ18" s="49">
        <v>0</v>
      </c>
      <c r="AR18" s="49">
        <v>0</v>
      </c>
      <c r="AS18" s="49">
        <v>0</v>
      </c>
      <c r="AT18" s="49">
        <v>0</v>
      </c>
      <c r="AU18" s="49">
        <v>0</v>
      </c>
      <c r="AW18" s="49">
        <v>0</v>
      </c>
      <c r="AX18" s="49">
        <v>0</v>
      </c>
      <c r="AY18" s="49">
        <v>0</v>
      </c>
      <c r="AZ18" s="49">
        <v>0</v>
      </c>
      <c r="BA18" s="49">
        <v>0</v>
      </c>
    </row>
    <row r="19" spans="2:53" ht="15" customHeight="1" x14ac:dyDescent="0.45">
      <c r="B19" s="7" t="s">
        <v>380</v>
      </c>
      <c r="C19" s="49">
        <v>0</v>
      </c>
      <c r="D19" s="49">
        <v>576</v>
      </c>
      <c r="E19" s="49">
        <v>276.55099999999999</v>
      </c>
      <c r="F19" s="49">
        <v>3.04</v>
      </c>
      <c r="G19" s="49">
        <v>30</v>
      </c>
      <c r="H19" s="49">
        <v>5</v>
      </c>
      <c r="I19" s="49">
        <v>-110</v>
      </c>
      <c r="J19" s="49">
        <v>-209</v>
      </c>
      <c r="K19" s="49">
        <v>-446.54512</v>
      </c>
      <c r="L19" s="49">
        <v>-437</v>
      </c>
      <c r="M19" s="49">
        <v>3</v>
      </c>
      <c r="N19" s="49">
        <v>-10</v>
      </c>
      <c r="O19" s="32">
        <v>-30</v>
      </c>
      <c r="P19" s="32">
        <v>-29</v>
      </c>
      <c r="Q19" s="32">
        <v>0</v>
      </c>
      <c r="R19" s="74">
        <v>-2</v>
      </c>
      <c r="S19" s="32">
        <v>0</v>
      </c>
      <c r="T19" s="32">
        <v>-110</v>
      </c>
      <c r="U19" s="32">
        <v>51</v>
      </c>
      <c r="V19" s="32">
        <v>123</v>
      </c>
      <c r="W19" s="32">
        <v>413</v>
      </c>
      <c r="X19" s="49">
        <v>340</v>
      </c>
      <c r="Y19" s="49">
        <v>5</v>
      </c>
      <c r="AA19" s="49">
        <v>276.55099999999999</v>
      </c>
      <c r="AB19" s="49">
        <v>-273.51099999999997</v>
      </c>
      <c r="AC19" s="49">
        <v>26.96</v>
      </c>
      <c r="AD19" s="49">
        <v>-25</v>
      </c>
      <c r="AE19" s="49">
        <v>-110</v>
      </c>
      <c r="AF19" s="49">
        <v>-99</v>
      </c>
      <c r="AG19" s="49">
        <v>-237.54512</v>
      </c>
      <c r="AH19" s="49">
        <v>9.5451199999999972</v>
      </c>
      <c r="AI19" s="49">
        <v>3</v>
      </c>
      <c r="AJ19" s="49">
        <v>-13</v>
      </c>
      <c r="AK19" s="49">
        <v>-20</v>
      </c>
      <c r="AL19" s="49">
        <v>1</v>
      </c>
      <c r="AM19" s="49">
        <v>0</v>
      </c>
      <c r="AN19" s="49">
        <v>-2</v>
      </c>
      <c r="AO19" s="49">
        <v>2</v>
      </c>
      <c r="AP19" s="49">
        <v>-110</v>
      </c>
      <c r="AQ19" s="49">
        <v>51</v>
      </c>
      <c r="AR19" s="49">
        <v>72</v>
      </c>
      <c r="AS19" s="49">
        <v>290</v>
      </c>
      <c r="AT19" s="49">
        <v>-73</v>
      </c>
      <c r="AU19" s="49">
        <v>5</v>
      </c>
      <c r="AW19" s="49">
        <v>-571</v>
      </c>
      <c r="AX19" s="49">
        <v>-442</v>
      </c>
      <c r="AY19" s="49">
        <v>408</v>
      </c>
      <c r="AZ19" s="49">
        <v>-81</v>
      </c>
      <c r="BA19" s="49">
        <v>450</v>
      </c>
    </row>
    <row r="20" spans="2:53" ht="14.25" customHeight="1" x14ac:dyDescent="0.45">
      <c r="B20" s="7" t="s">
        <v>335</v>
      </c>
      <c r="C20" s="49">
        <v>0</v>
      </c>
      <c r="D20" s="49">
        <v>1841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32">
        <v>0</v>
      </c>
      <c r="P20" s="32">
        <v>0</v>
      </c>
      <c r="Q20" s="32">
        <v>0</v>
      </c>
      <c r="R20" s="74">
        <v>0</v>
      </c>
      <c r="S20" s="32">
        <v>0</v>
      </c>
      <c r="T20" s="32">
        <v>0</v>
      </c>
      <c r="U20" s="32">
        <v>0</v>
      </c>
      <c r="V20" s="32">
        <v>189</v>
      </c>
      <c r="W20" s="32">
        <v>160</v>
      </c>
      <c r="X20" s="49">
        <v>538</v>
      </c>
      <c r="Y20" s="49">
        <v>2096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0</v>
      </c>
      <c r="AI20" s="49">
        <v>0</v>
      </c>
      <c r="AJ20" s="49">
        <v>0</v>
      </c>
      <c r="AK20" s="49">
        <v>0</v>
      </c>
      <c r="AL20" s="49">
        <v>0</v>
      </c>
      <c r="AM20" s="49">
        <v>0</v>
      </c>
      <c r="AN20" s="49">
        <v>0</v>
      </c>
      <c r="AO20" s="49">
        <v>0</v>
      </c>
      <c r="AP20" s="49">
        <v>0</v>
      </c>
      <c r="AQ20" s="49">
        <v>0</v>
      </c>
      <c r="AR20" s="49">
        <v>189</v>
      </c>
      <c r="AS20" s="49">
        <v>-29</v>
      </c>
      <c r="AT20" s="49">
        <v>378</v>
      </c>
      <c r="AU20" s="49">
        <v>2096</v>
      </c>
      <c r="AW20" s="49">
        <v>-1841</v>
      </c>
      <c r="AX20" s="49">
        <v>0</v>
      </c>
      <c r="AY20" s="49">
        <v>0</v>
      </c>
      <c r="AZ20" s="49">
        <v>0</v>
      </c>
      <c r="BA20" s="49">
        <v>538</v>
      </c>
    </row>
    <row r="21" spans="2:53" ht="15" customHeight="1" x14ac:dyDescent="0.45">
      <c r="B21" s="7" t="s">
        <v>211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4">
        <v>-171302</v>
      </c>
      <c r="S21" s="7">
        <v>-251037</v>
      </c>
      <c r="T21" s="7">
        <v>-407379</v>
      </c>
      <c r="U21" s="7">
        <v>0</v>
      </c>
      <c r="V21" s="7">
        <v>-11135</v>
      </c>
      <c r="W21" s="7">
        <v>-20124</v>
      </c>
      <c r="X21" s="49">
        <v>-20124</v>
      </c>
      <c r="Y21" s="49">
        <v>255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49">
        <v>0</v>
      </c>
      <c r="AJ21" s="49">
        <v>0</v>
      </c>
      <c r="AK21" s="49">
        <v>0</v>
      </c>
      <c r="AL21" s="49">
        <v>0</v>
      </c>
      <c r="AM21" s="49">
        <v>0</v>
      </c>
      <c r="AN21" s="49">
        <v>-171302</v>
      </c>
      <c r="AO21" s="49">
        <v>-79735</v>
      </c>
      <c r="AP21" s="49">
        <v>-156342</v>
      </c>
      <c r="AQ21" s="49">
        <v>0</v>
      </c>
      <c r="AR21" s="49">
        <v>-11135</v>
      </c>
      <c r="AS21" s="49">
        <v>-8989</v>
      </c>
      <c r="AT21" s="49">
        <v>0</v>
      </c>
      <c r="AU21" s="49">
        <v>255</v>
      </c>
      <c r="AW21" s="49">
        <v>0</v>
      </c>
      <c r="AX21" s="49">
        <v>0</v>
      </c>
      <c r="AY21" s="49">
        <v>0</v>
      </c>
      <c r="AZ21" s="49">
        <v>-407379</v>
      </c>
      <c r="BA21" s="49">
        <v>387255</v>
      </c>
    </row>
    <row r="22" spans="2:53" ht="14.25" customHeight="1" x14ac:dyDescent="0.45">
      <c r="B22" s="6" t="s">
        <v>90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75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49">
        <v>0</v>
      </c>
      <c r="Y22" s="49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N22" s="49"/>
      <c r="AO22" s="32"/>
      <c r="AP22" s="32"/>
      <c r="AQ22" s="32"/>
      <c r="AR22" s="32"/>
      <c r="AS22" s="32"/>
      <c r="AT22" s="32"/>
      <c r="AU22" s="32"/>
      <c r="AW22" s="32"/>
      <c r="AX22" s="32"/>
      <c r="AY22" s="32"/>
      <c r="AZ22" s="32"/>
      <c r="BA22" s="32"/>
    </row>
    <row r="23" spans="2:53" ht="14.25" customHeight="1" x14ac:dyDescent="0.45">
      <c r="B23" s="7" t="s">
        <v>256</v>
      </c>
      <c r="C23" s="49">
        <v>-25297</v>
      </c>
      <c r="D23" s="49">
        <v>-16594</v>
      </c>
      <c r="E23" s="49">
        <v>-10876.288</v>
      </c>
      <c r="F23" s="49">
        <v>-1948.952</v>
      </c>
      <c r="G23" s="49">
        <v>-37979.648999999998</v>
      </c>
      <c r="H23" s="49">
        <v>-68776.649000000005</v>
      </c>
      <c r="I23" s="49">
        <v>-23494</v>
      </c>
      <c r="J23" s="49">
        <v>55550</v>
      </c>
      <c r="K23" s="49">
        <v>-21283.358490000002</v>
      </c>
      <c r="L23" s="49">
        <v>-14896</v>
      </c>
      <c r="M23" s="49">
        <v>-46618</v>
      </c>
      <c r="N23" s="49">
        <v>-61527</v>
      </c>
      <c r="O23" s="49">
        <v>-77247</v>
      </c>
      <c r="P23" s="49">
        <v>-183130</v>
      </c>
      <c r="Q23" s="49">
        <v>9476</v>
      </c>
      <c r="R23" s="49">
        <v>-34980</v>
      </c>
      <c r="S23" s="49">
        <v>-65122</v>
      </c>
      <c r="T23" s="49">
        <v>-18548</v>
      </c>
      <c r="U23" s="49">
        <v>242508</v>
      </c>
      <c r="V23" s="49">
        <v>297034</v>
      </c>
      <c r="W23" s="49">
        <v>95454</v>
      </c>
      <c r="X23" s="49">
        <v>28884</v>
      </c>
      <c r="Y23" s="49">
        <v>-98994</v>
      </c>
      <c r="AA23" s="49">
        <v>-10876.288</v>
      </c>
      <c r="AB23" s="49">
        <v>8927.3360000000011</v>
      </c>
      <c r="AC23" s="49">
        <v>-36030.697</v>
      </c>
      <c r="AD23" s="49">
        <v>-30797.000000000007</v>
      </c>
      <c r="AE23" s="49">
        <v>-23494</v>
      </c>
      <c r="AF23" s="49">
        <v>79044</v>
      </c>
      <c r="AG23" s="49">
        <v>-76833.358489999999</v>
      </c>
      <c r="AH23" s="49">
        <v>6387.3584900000023</v>
      </c>
      <c r="AI23" s="49">
        <v>-46618</v>
      </c>
      <c r="AJ23" s="49">
        <v>-14909</v>
      </c>
      <c r="AK23" s="49">
        <v>-15720</v>
      </c>
      <c r="AL23" s="49">
        <v>-105883</v>
      </c>
      <c r="AM23" s="49">
        <v>9476</v>
      </c>
      <c r="AN23" s="49">
        <v>-44456</v>
      </c>
      <c r="AO23" s="49">
        <v>-30142</v>
      </c>
      <c r="AP23" s="49">
        <v>46574</v>
      </c>
      <c r="AQ23" s="49">
        <v>242508</v>
      </c>
      <c r="AR23" s="49">
        <v>54526</v>
      </c>
      <c r="AS23" s="49">
        <v>-201580</v>
      </c>
      <c r="AT23" s="49">
        <v>-66570</v>
      </c>
      <c r="AU23" s="49">
        <v>-98994</v>
      </c>
      <c r="AW23" s="49">
        <v>-52182.649000000005</v>
      </c>
      <c r="AX23" s="49">
        <v>53880.649000000005</v>
      </c>
      <c r="AY23" s="49">
        <v>-168234</v>
      </c>
      <c r="AZ23" s="49">
        <v>164582</v>
      </c>
      <c r="BA23" s="49">
        <v>47432</v>
      </c>
    </row>
    <row r="24" spans="2:53" ht="14.25" customHeight="1" x14ac:dyDescent="0.45">
      <c r="B24" s="7" t="s">
        <v>247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86996</v>
      </c>
      <c r="V24" s="49">
        <v>16516</v>
      </c>
      <c r="W24" s="49">
        <v>12624</v>
      </c>
      <c r="X24" s="49">
        <v>0</v>
      </c>
      <c r="Y24" s="49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0</v>
      </c>
      <c r="AG24" s="49">
        <v>0</v>
      </c>
      <c r="AH24" s="49">
        <v>0</v>
      </c>
      <c r="AI24" s="49">
        <v>0</v>
      </c>
      <c r="AJ24" s="49">
        <v>0</v>
      </c>
      <c r="AK24" s="49">
        <v>0</v>
      </c>
      <c r="AL24" s="49">
        <v>0</v>
      </c>
      <c r="AM24" s="49">
        <v>0</v>
      </c>
      <c r="AN24" s="49">
        <v>0</v>
      </c>
      <c r="AO24" s="49">
        <v>0</v>
      </c>
      <c r="AP24" s="49">
        <v>0</v>
      </c>
      <c r="AQ24" s="49">
        <v>86996</v>
      </c>
      <c r="AR24" s="49">
        <v>-70480</v>
      </c>
      <c r="AS24" s="49">
        <v>-3892</v>
      </c>
      <c r="AT24" s="49">
        <v>-12624</v>
      </c>
      <c r="AU24" s="49">
        <v>0</v>
      </c>
      <c r="AW24" s="49">
        <v>0</v>
      </c>
      <c r="AX24" s="49">
        <v>0</v>
      </c>
      <c r="AY24" s="49">
        <v>0</v>
      </c>
      <c r="AZ24" s="49">
        <v>0</v>
      </c>
      <c r="BA24" s="49">
        <v>0</v>
      </c>
    </row>
    <row r="25" spans="2:53" ht="14.25" customHeight="1" x14ac:dyDescent="0.45">
      <c r="B25" s="7" t="s">
        <v>264</v>
      </c>
      <c r="C25" s="49">
        <v>-34426</v>
      </c>
      <c r="D25" s="49">
        <v>-85853</v>
      </c>
      <c r="E25" s="49">
        <v>-59543.341999999997</v>
      </c>
      <c r="F25" s="49">
        <v>-317840.03600000002</v>
      </c>
      <c r="G25" s="49">
        <v>-305707.902</v>
      </c>
      <c r="H25" s="49">
        <v>-176245.90165297405</v>
      </c>
      <c r="I25" s="49">
        <v>-39001</v>
      </c>
      <c r="J25" s="49">
        <v>-496962</v>
      </c>
      <c r="K25" s="49">
        <v>-476740</v>
      </c>
      <c r="L25" s="49">
        <v>-164707</v>
      </c>
      <c r="M25" s="49">
        <v>-236955</v>
      </c>
      <c r="N25" s="49">
        <v>-1507241</v>
      </c>
      <c r="O25" s="49">
        <v>-935630</v>
      </c>
      <c r="P25" s="49">
        <v>-316844</v>
      </c>
      <c r="Q25" s="49">
        <v>-699340</v>
      </c>
      <c r="R25" s="49">
        <v>-1590485</v>
      </c>
      <c r="S25" s="49">
        <v>-1134373</v>
      </c>
      <c r="T25" s="49">
        <v>-272820</v>
      </c>
      <c r="U25" s="49">
        <v>-429421</v>
      </c>
      <c r="V25" s="49">
        <v>-1790208</v>
      </c>
      <c r="W25" s="49">
        <v>-1153395</v>
      </c>
      <c r="X25" s="49">
        <v>-9573</v>
      </c>
      <c r="Y25" s="49">
        <v>-570399</v>
      </c>
      <c r="AA25" s="49">
        <v>-59543.341999999997</v>
      </c>
      <c r="AB25" s="49">
        <v>-258296.69400000002</v>
      </c>
      <c r="AC25" s="49">
        <v>12132.13400000002</v>
      </c>
      <c r="AD25" s="49">
        <v>129462.00034702595</v>
      </c>
      <c r="AE25" s="49">
        <v>-39001</v>
      </c>
      <c r="AF25" s="49">
        <v>-457961</v>
      </c>
      <c r="AG25" s="49">
        <v>20222</v>
      </c>
      <c r="AH25" s="49">
        <v>312033</v>
      </c>
      <c r="AI25" s="49">
        <v>-236955</v>
      </c>
      <c r="AJ25" s="49">
        <v>-1270286</v>
      </c>
      <c r="AK25" s="49">
        <v>571611</v>
      </c>
      <c r="AL25" s="49">
        <v>618786</v>
      </c>
      <c r="AM25" s="49">
        <v>-699340</v>
      </c>
      <c r="AN25" s="49">
        <v>-891145</v>
      </c>
      <c r="AO25" s="49">
        <v>456112</v>
      </c>
      <c r="AP25" s="49">
        <v>861553</v>
      </c>
      <c r="AQ25" s="49">
        <v>-429421</v>
      </c>
      <c r="AR25" s="49">
        <v>-1360787</v>
      </c>
      <c r="AS25" s="49">
        <v>636813</v>
      </c>
      <c r="AT25" s="49">
        <v>1143822</v>
      </c>
      <c r="AU25" s="49">
        <v>-570399</v>
      </c>
      <c r="AW25" s="49">
        <v>-90392.901652974047</v>
      </c>
      <c r="AX25" s="49">
        <v>11538.901652974047</v>
      </c>
      <c r="AY25" s="49">
        <v>-152137</v>
      </c>
      <c r="AZ25" s="49">
        <v>44024</v>
      </c>
      <c r="BA25" s="49">
        <v>263247</v>
      </c>
    </row>
    <row r="26" spans="2:53" ht="14.25" customHeight="1" x14ac:dyDescent="0.45">
      <c r="B26" s="7" t="s">
        <v>257</v>
      </c>
      <c r="C26" s="49">
        <v>-493</v>
      </c>
      <c r="D26" s="49">
        <v>-22653</v>
      </c>
      <c r="E26" s="49">
        <v>-13883.027</v>
      </c>
      <c r="F26" s="49">
        <v>-24873.026000000002</v>
      </c>
      <c r="G26" s="49">
        <v>-31838.451000000001</v>
      </c>
      <c r="H26" s="49">
        <v>-44971.451000000001</v>
      </c>
      <c r="I26" s="49">
        <v>15553</v>
      </c>
      <c r="J26" s="49">
        <v>-40149</v>
      </c>
      <c r="K26" s="49">
        <v>-50450.895280000019</v>
      </c>
      <c r="L26" s="49">
        <v>-42221</v>
      </c>
      <c r="M26" s="49">
        <v>-35114</v>
      </c>
      <c r="N26" s="49">
        <v>-171453</v>
      </c>
      <c r="O26" s="49">
        <v>-143094</v>
      </c>
      <c r="P26" s="49">
        <v>-53664</v>
      </c>
      <c r="Q26" s="49">
        <v>-45835</v>
      </c>
      <c r="R26" s="49">
        <v>-274473</v>
      </c>
      <c r="S26" s="49">
        <v>-335573</v>
      </c>
      <c r="T26" s="49">
        <v>-368305</v>
      </c>
      <c r="U26" s="49">
        <v>-72853</v>
      </c>
      <c r="V26" s="49">
        <v>-305105</v>
      </c>
      <c r="W26" s="49">
        <v>-355100</v>
      </c>
      <c r="X26" s="49">
        <v>-325764</v>
      </c>
      <c r="Y26" s="49">
        <v>-131784</v>
      </c>
      <c r="AA26" s="49">
        <v>-13883.027</v>
      </c>
      <c r="AB26" s="49">
        <v>-10989.999000000002</v>
      </c>
      <c r="AC26" s="49">
        <v>-6965.4249999999993</v>
      </c>
      <c r="AD26" s="49">
        <v>-13133</v>
      </c>
      <c r="AE26" s="49">
        <v>15553</v>
      </c>
      <c r="AF26" s="49">
        <v>-55702</v>
      </c>
      <c r="AG26" s="49">
        <v>-10301.895280000019</v>
      </c>
      <c r="AH26" s="49">
        <v>8229.8952800000188</v>
      </c>
      <c r="AI26" s="49">
        <v>-35114</v>
      </c>
      <c r="AJ26" s="49">
        <v>-136339</v>
      </c>
      <c r="AK26" s="49">
        <v>28359</v>
      </c>
      <c r="AL26" s="49">
        <v>89430</v>
      </c>
      <c r="AM26" s="49">
        <v>-45835</v>
      </c>
      <c r="AN26" s="49">
        <v>-228638</v>
      </c>
      <c r="AO26" s="49">
        <v>-61100</v>
      </c>
      <c r="AP26" s="49">
        <v>-32732</v>
      </c>
      <c r="AQ26" s="49">
        <v>-72853</v>
      </c>
      <c r="AR26" s="49">
        <v>-232252</v>
      </c>
      <c r="AS26" s="49">
        <v>-49995</v>
      </c>
      <c r="AT26" s="49">
        <v>29336</v>
      </c>
      <c r="AU26" s="49">
        <v>-131784</v>
      </c>
      <c r="AW26" s="49">
        <v>-22318.451000000001</v>
      </c>
      <c r="AX26" s="49">
        <v>2750.4510000000009</v>
      </c>
      <c r="AY26" s="49">
        <v>-11443</v>
      </c>
      <c r="AZ26" s="49">
        <v>-314641</v>
      </c>
      <c r="BA26" s="49">
        <v>42541</v>
      </c>
    </row>
    <row r="27" spans="2:53" ht="14.25" customHeight="1" x14ac:dyDescent="0.45">
      <c r="B27" s="7" t="s">
        <v>263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49">
        <v>0</v>
      </c>
      <c r="AH27" s="49">
        <v>0</v>
      </c>
      <c r="AI27" s="49">
        <v>0</v>
      </c>
      <c r="AJ27" s="49">
        <v>0</v>
      </c>
      <c r="AK27" s="49">
        <v>0</v>
      </c>
      <c r="AL27" s="49">
        <v>0</v>
      </c>
      <c r="AM27" s="49">
        <v>0</v>
      </c>
      <c r="AN27" s="49">
        <v>0</v>
      </c>
      <c r="AO27" s="49">
        <v>0</v>
      </c>
      <c r="AP27" s="49">
        <v>0</v>
      </c>
      <c r="AQ27" s="49">
        <v>0</v>
      </c>
      <c r="AR27" s="49">
        <v>0</v>
      </c>
      <c r="AS27" s="49">
        <v>0</v>
      </c>
      <c r="AT27" s="49">
        <v>0</v>
      </c>
      <c r="AU27" s="49">
        <v>0</v>
      </c>
      <c r="AW27" s="49">
        <v>0</v>
      </c>
      <c r="AX27" s="49">
        <v>0</v>
      </c>
      <c r="AY27" s="49">
        <v>0</v>
      </c>
      <c r="AZ27" s="49">
        <v>0</v>
      </c>
      <c r="BA27" s="49">
        <v>0</v>
      </c>
    </row>
    <row r="28" spans="2:53" ht="14.25" customHeight="1" x14ac:dyDescent="0.45">
      <c r="B28" s="7" t="s">
        <v>36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-27257</v>
      </c>
      <c r="R28" s="49">
        <v>-28963</v>
      </c>
      <c r="S28" s="49">
        <v>-24903</v>
      </c>
      <c r="T28" s="49">
        <v>-16075</v>
      </c>
      <c r="U28" s="49">
        <v>-25979</v>
      </c>
      <c r="V28" s="49">
        <v>-54115</v>
      </c>
      <c r="W28" s="49">
        <v>-29758</v>
      </c>
      <c r="X28" s="49">
        <v>-11651</v>
      </c>
      <c r="Y28" s="49">
        <v>-13236</v>
      </c>
      <c r="AA28" s="49">
        <v>0</v>
      </c>
      <c r="AB28" s="49">
        <v>0</v>
      </c>
      <c r="AC28" s="49">
        <v>0</v>
      </c>
      <c r="AD28" s="49">
        <v>0</v>
      </c>
      <c r="AE28" s="49">
        <v>0</v>
      </c>
      <c r="AF28" s="49">
        <v>0</v>
      </c>
      <c r="AG28" s="49">
        <v>0</v>
      </c>
      <c r="AH28" s="49">
        <v>0</v>
      </c>
      <c r="AI28" s="49">
        <v>0</v>
      </c>
      <c r="AJ28" s="49">
        <v>0</v>
      </c>
      <c r="AK28" s="49">
        <v>0</v>
      </c>
      <c r="AL28" s="49">
        <v>0</v>
      </c>
      <c r="AM28" s="49">
        <v>-27257</v>
      </c>
      <c r="AN28" s="49">
        <v>-1706</v>
      </c>
      <c r="AO28" s="49">
        <v>4060</v>
      </c>
      <c r="AP28" s="49">
        <v>8828</v>
      </c>
      <c r="AQ28" s="49">
        <v>-25979</v>
      </c>
      <c r="AR28" s="49">
        <v>-28136</v>
      </c>
      <c r="AS28" s="49">
        <v>24357</v>
      </c>
      <c r="AT28" s="49">
        <v>18107</v>
      </c>
      <c r="AU28" s="49">
        <v>-13236</v>
      </c>
      <c r="AW28" s="49">
        <v>0</v>
      </c>
      <c r="AX28" s="49">
        <v>0</v>
      </c>
      <c r="AY28" s="49">
        <v>0</v>
      </c>
      <c r="AZ28" s="49">
        <v>-16075</v>
      </c>
      <c r="BA28" s="49">
        <v>4424</v>
      </c>
    </row>
    <row r="29" spans="2:53" ht="15" customHeight="1" x14ac:dyDescent="0.45">
      <c r="B29" s="7" t="s">
        <v>41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32">
        <v>0</v>
      </c>
      <c r="Q29" s="32">
        <v>-79</v>
      </c>
      <c r="R29" s="32">
        <v>-189</v>
      </c>
      <c r="S29" s="49">
        <v>-333</v>
      </c>
      <c r="T29" s="49">
        <v>-405</v>
      </c>
      <c r="U29" s="49">
        <v>-640</v>
      </c>
      <c r="V29" s="49">
        <v>-728</v>
      </c>
      <c r="W29" s="49">
        <v>-842</v>
      </c>
      <c r="X29" s="49">
        <v>-1193</v>
      </c>
      <c r="Y29" s="49">
        <v>-169</v>
      </c>
      <c r="AA29" s="49">
        <v>0</v>
      </c>
      <c r="AB29" s="49">
        <v>0</v>
      </c>
      <c r="AC29" s="49">
        <v>0</v>
      </c>
      <c r="AD29" s="49">
        <v>0</v>
      </c>
      <c r="AE29" s="49">
        <v>0</v>
      </c>
      <c r="AF29" s="49">
        <v>0</v>
      </c>
      <c r="AG29" s="49">
        <v>0</v>
      </c>
      <c r="AH29" s="49">
        <v>0</v>
      </c>
      <c r="AI29" s="49">
        <v>0</v>
      </c>
      <c r="AJ29" s="49">
        <v>0</v>
      </c>
      <c r="AK29" s="49">
        <v>0</v>
      </c>
      <c r="AL29" s="49">
        <v>0</v>
      </c>
      <c r="AM29" s="49">
        <v>-79</v>
      </c>
      <c r="AN29" s="49">
        <v>-110</v>
      </c>
      <c r="AO29" s="49">
        <v>-144</v>
      </c>
      <c r="AP29" s="49">
        <v>-72</v>
      </c>
      <c r="AQ29" s="49">
        <v>-640</v>
      </c>
      <c r="AR29" s="49">
        <v>-88</v>
      </c>
      <c r="AS29" s="49">
        <v>-114</v>
      </c>
      <c r="AT29" s="49">
        <v>-351</v>
      </c>
      <c r="AU29" s="49">
        <v>-169</v>
      </c>
      <c r="AW29" s="49">
        <v>0</v>
      </c>
      <c r="AX29" s="49">
        <v>0</v>
      </c>
      <c r="AY29" s="49">
        <v>0</v>
      </c>
      <c r="AZ29" s="49">
        <v>-405</v>
      </c>
      <c r="BA29" s="49">
        <v>-788</v>
      </c>
    </row>
    <row r="30" spans="2:53" ht="15" customHeight="1" x14ac:dyDescent="0.45">
      <c r="B30" s="7" t="s">
        <v>38</v>
      </c>
      <c r="C30" s="49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-4391</v>
      </c>
      <c r="R30" s="32">
        <v>-7684</v>
      </c>
      <c r="S30" s="49">
        <v>-54067</v>
      </c>
      <c r="T30" s="49">
        <v>-28032</v>
      </c>
      <c r="U30" s="49">
        <v>25115</v>
      </c>
      <c r="V30" s="49">
        <v>30071</v>
      </c>
      <c r="W30" s="49">
        <v>29162</v>
      </c>
      <c r="X30" s="49">
        <v>44590</v>
      </c>
      <c r="Y30" s="49">
        <v>-39305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-4391</v>
      </c>
      <c r="AN30" s="49">
        <v>-3293</v>
      </c>
      <c r="AO30" s="49">
        <v>-46383</v>
      </c>
      <c r="AP30" s="49">
        <v>26035</v>
      </c>
      <c r="AQ30" s="49">
        <v>25115</v>
      </c>
      <c r="AR30" s="49">
        <v>4956</v>
      </c>
      <c r="AS30" s="49">
        <v>-909</v>
      </c>
      <c r="AT30" s="49">
        <v>15428</v>
      </c>
      <c r="AU30" s="49">
        <v>-39305</v>
      </c>
      <c r="AW30" s="49">
        <v>0</v>
      </c>
      <c r="AX30" s="49">
        <v>0</v>
      </c>
      <c r="AY30" s="49">
        <v>0</v>
      </c>
      <c r="AZ30" s="49">
        <v>-28032</v>
      </c>
      <c r="BA30" s="49">
        <v>72622</v>
      </c>
    </row>
    <row r="31" spans="2:53" ht="14.25" customHeight="1" x14ac:dyDescent="0.45">
      <c r="B31" s="7" t="s">
        <v>34</v>
      </c>
      <c r="C31" s="49">
        <v>-3869</v>
      </c>
      <c r="D31" s="49">
        <v>-7990</v>
      </c>
      <c r="E31" s="49">
        <v>-9360.0949999999993</v>
      </c>
      <c r="F31" s="49">
        <v>-4489.2879999999996</v>
      </c>
      <c r="G31" s="49">
        <v>-53870.641000000003</v>
      </c>
      <c r="H31" s="49">
        <v>-56058.641000000003</v>
      </c>
      <c r="I31" s="49">
        <v>44998</v>
      </c>
      <c r="J31" s="49">
        <v>46329</v>
      </c>
      <c r="K31" s="49">
        <v>30905</v>
      </c>
      <c r="L31" s="49">
        <v>29823</v>
      </c>
      <c r="M31" s="49">
        <v>8089</v>
      </c>
      <c r="N31" s="49">
        <v>-6983</v>
      </c>
      <c r="O31" s="49">
        <v>-43016</v>
      </c>
      <c r="P31" s="49">
        <v>-64559</v>
      </c>
      <c r="Q31" s="49">
        <v>4542</v>
      </c>
      <c r="R31" s="49">
        <v>-64298</v>
      </c>
      <c r="S31" s="49">
        <v>-30547</v>
      </c>
      <c r="T31" s="49">
        <v>2172</v>
      </c>
      <c r="U31" s="49">
        <v>-77186</v>
      </c>
      <c r="V31" s="49">
        <v>20703</v>
      </c>
      <c r="W31" s="49">
        <v>23369</v>
      </c>
      <c r="X31" s="49">
        <v>-36910</v>
      </c>
      <c r="Y31" s="49">
        <v>51202</v>
      </c>
      <c r="AA31" s="49">
        <v>-9360.0949999999993</v>
      </c>
      <c r="AB31" s="49">
        <v>4870.8069999999998</v>
      </c>
      <c r="AC31" s="49">
        <v>-49381.353000000003</v>
      </c>
      <c r="AD31" s="49">
        <v>-2188</v>
      </c>
      <c r="AE31" s="49">
        <v>44998</v>
      </c>
      <c r="AF31" s="49">
        <v>1331</v>
      </c>
      <c r="AG31" s="49">
        <v>-15424</v>
      </c>
      <c r="AH31" s="49">
        <v>-1082</v>
      </c>
      <c r="AI31" s="49">
        <v>8089</v>
      </c>
      <c r="AJ31" s="49">
        <v>-15072</v>
      </c>
      <c r="AK31" s="49">
        <v>-36033</v>
      </c>
      <c r="AL31" s="49">
        <v>-21543</v>
      </c>
      <c r="AM31" s="49">
        <v>4542</v>
      </c>
      <c r="AN31" s="49">
        <v>-68840</v>
      </c>
      <c r="AO31" s="49">
        <v>33751</v>
      </c>
      <c r="AP31" s="49">
        <v>32719</v>
      </c>
      <c r="AQ31" s="49">
        <v>-77186</v>
      </c>
      <c r="AR31" s="49">
        <v>97889</v>
      </c>
      <c r="AS31" s="49">
        <v>2666</v>
      </c>
      <c r="AT31" s="49">
        <v>-60279</v>
      </c>
      <c r="AU31" s="49">
        <v>51202</v>
      </c>
      <c r="AW31" s="49">
        <v>-48068.641000000003</v>
      </c>
      <c r="AX31" s="49">
        <v>85881.641000000003</v>
      </c>
      <c r="AY31" s="49">
        <v>-94382</v>
      </c>
      <c r="AZ31" s="49">
        <v>66731</v>
      </c>
      <c r="BA31" s="49">
        <v>-39082</v>
      </c>
    </row>
    <row r="32" spans="2:53" ht="14.25" customHeight="1" x14ac:dyDescent="0.45">
      <c r="B32" s="7" t="s">
        <v>48</v>
      </c>
      <c r="C32" s="49">
        <v>-12431</v>
      </c>
      <c r="D32" s="49">
        <v>14999</v>
      </c>
      <c r="E32" s="49">
        <v>126662.47413</v>
      </c>
      <c r="F32" s="49">
        <v>210703</v>
      </c>
      <c r="G32" s="49">
        <v>76888.790950000024</v>
      </c>
      <c r="H32" s="49">
        <v>58693.308300000004</v>
      </c>
      <c r="I32" s="49">
        <v>306161.13901000004</v>
      </c>
      <c r="J32" s="49">
        <v>527863.37894000008</v>
      </c>
      <c r="K32" s="49">
        <v>203265.00009000002</v>
      </c>
      <c r="L32" s="49">
        <v>51136</v>
      </c>
      <c r="M32" s="49">
        <v>570237</v>
      </c>
      <c r="N32" s="49">
        <v>987123</v>
      </c>
      <c r="O32" s="49">
        <v>489159</v>
      </c>
      <c r="P32" s="49">
        <v>423388</v>
      </c>
      <c r="Q32" s="49">
        <v>1405903</v>
      </c>
      <c r="R32" s="49">
        <v>1707957</v>
      </c>
      <c r="S32" s="49">
        <v>1096208</v>
      </c>
      <c r="T32" s="49">
        <v>443496</v>
      </c>
      <c r="U32" s="49">
        <v>1425046</v>
      </c>
      <c r="V32" s="49">
        <v>2411496</v>
      </c>
      <c r="W32" s="49">
        <v>2372360</v>
      </c>
      <c r="X32" s="49">
        <v>1887909</v>
      </c>
      <c r="Y32" s="49">
        <v>291098</v>
      </c>
      <c r="AA32" s="49">
        <v>126662.47413</v>
      </c>
      <c r="AB32" s="49">
        <v>84040.525869999998</v>
      </c>
      <c r="AC32" s="49">
        <v>-133814.20904999998</v>
      </c>
      <c r="AD32" s="49">
        <v>-18195.48265000002</v>
      </c>
      <c r="AE32" s="49">
        <v>306161.13901000004</v>
      </c>
      <c r="AF32" s="49">
        <v>221702.23993000004</v>
      </c>
      <c r="AG32" s="49">
        <v>-324598.3788500001</v>
      </c>
      <c r="AH32" s="49">
        <v>-152129.00009000002</v>
      </c>
      <c r="AI32" s="49">
        <v>570237</v>
      </c>
      <c r="AJ32" s="49">
        <v>416886</v>
      </c>
      <c r="AK32" s="49">
        <v>-497964</v>
      </c>
      <c r="AL32" s="49">
        <v>-65771</v>
      </c>
      <c r="AM32" s="49">
        <v>1405903</v>
      </c>
      <c r="AN32" s="49">
        <v>302054</v>
      </c>
      <c r="AO32" s="49">
        <v>-611749</v>
      </c>
      <c r="AP32" s="49">
        <v>-652712</v>
      </c>
      <c r="AQ32" s="49">
        <v>1425046</v>
      </c>
      <c r="AR32" s="49">
        <v>986450</v>
      </c>
      <c r="AS32" s="49">
        <v>-39136</v>
      </c>
      <c r="AT32" s="49">
        <v>-484451</v>
      </c>
      <c r="AU32" s="49">
        <v>291098</v>
      </c>
      <c r="AW32" s="49">
        <v>43694.308300000004</v>
      </c>
      <c r="AX32" s="49">
        <v>-7557.3083000000042</v>
      </c>
      <c r="AY32" s="49">
        <v>372252</v>
      </c>
      <c r="AZ32" s="49">
        <v>20108</v>
      </c>
      <c r="BA32" s="49">
        <v>1444413</v>
      </c>
    </row>
    <row r="33" spans="2:53" ht="14.25" customHeight="1" x14ac:dyDescent="0.45">
      <c r="B33" s="7" t="s">
        <v>258</v>
      </c>
      <c r="C33" s="49">
        <v>8854</v>
      </c>
      <c r="D33" s="49">
        <v>1934</v>
      </c>
      <c r="E33" s="49">
        <v>7293.61</v>
      </c>
      <c r="F33" s="49">
        <v>6348</v>
      </c>
      <c r="G33" s="49">
        <v>35671.816999999995</v>
      </c>
      <c r="H33" s="49">
        <v>18538.816999999999</v>
      </c>
      <c r="I33" s="49">
        <v>-14191</v>
      </c>
      <c r="J33" s="49">
        <v>-12930</v>
      </c>
      <c r="K33" s="49">
        <v>-1195</v>
      </c>
      <c r="L33" s="49">
        <v>-8439</v>
      </c>
      <c r="M33" s="49">
        <v>125</v>
      </c>
      <c r="N33" s="49">
        <v>4511</v>
      </c>
      <c r="O33" s="49">
        <v>55216</v>
      </c>
      <c r="P33" s="49">
        <v>6080</v>
      </c>
      <c r="Q33" s="49">
        <v>979</v>
      </c>
      <c r="R33" s="49">
        <v>34744</v>
      </c>
      <c r="S33" s="49">
        <v>14322</v>
      </c>
      <c r="T33" s="49">
        <v>13341</v>
      </c>
      <c r="U33" s="49">
        <v>2017</v>
      </c>
      <c r="V33" s="49">
        <v>501774</v>
      </c>
      <c r="W33" s="49">
        <v>420709</v>
      </c>
      <c r="X33" s="49">
        <v>196793</v>
      </c>
      <c r="Y33" s="49">
        <v>-190409</v>
      </c>
      <c r="AA33" s="49">
        <v>7293.61</v>
      </c>
      <c r="AB33" s="49">
        <v>-945.60999999999967</v>
      </c>
      <c r="AC33" s="49">
        <v>29323.816999999995</v>
      </c>
      <c r="AD33" s="49">
        <v>-17132.999999999996</v>
      </c>
      <c r="AE33" s="49">
        <v>-14191</v>
      </c>
      <c r="AF33" s="49">
        <v>1261</v>
      </c>
      <c r="AG33" s="49">
        <v>11735</v>
      </c>
      <c r="AH33" s="49">
        <v>-7244</v>
      </c>
      <c r="AI33" s="49">
        <v>125</v>
      </c>
      <c r="AJ33" s="49">
        <v>4386</v>
      </c>
      <c r="AK33" s="49">
        <v>50705</v>
      </c>
      <c r="AL33" s="49">
        <v>-49136</v>
      </c>
      <c r="AM33" s="49">
        <v>979</v>
      </c>
      <c r="AN33" s="49">
        <v>33765</v>
      </c>
      <c r="AO33" s="49">
        <v>-20422</v>
      </c>
      <c r="AP33" s="49">
        <v>-981</v>
      </c>
      <c r="AQ33" s="49">
        <v>2017</v>
      </c>
      <c r="AR33" s="49">
        <v>499757</v>
      </c>
      <c r="AS33" s="49">
        <v>-81065</v>
      </c>
      <c r="AT33" s="49">
        <v>-223916</v>
      </c>
      <c r="AU33" s="49">
        <v>-190409</v>
      </c>
      <c r="AW33" s="49">
        <v>16604.816999999999</v>
      </c>
      <c r="AX33" s="49">
        <v>-26977.816999999999</v>
      </c>
      <c r="AY33" s="49">
        <v>14519</v>
      </c>
      <c r="AZ33" s="49">
        <v>7261</v>
      </c>
      <c r="BA33" s="49">
        <v>183452</v>
      </c>
    </row>
    <row r="34" spans="2:53" ht="15" customHeight="1" x14ac:dyDescent="0.45">
      <c r="B34" s="7" t="s">
        <v>259</v>
      </c>
      <c r="C34" s="32">
        <v>1631</v>
      </c>
      <c r="D34" s="32">
        <v>3078</v>
      </c>
      <c r="E34" s="32">
        <v>2710.5010000000002</v>
      </c>
      <c r="F34" s="32">
        <v>7523.4309999999996</v>
      </c>
      <c r="G34" s="32">
        <v>8694.0770000000011</v>
      </c>
      <c r="H34" s="32">
        <v>18145.077000000001</v>
      </c>
      <c r="I34" s="32">
        <v>5510</v>
      </c>
      <c r="J34" s="32">
        <v>13199</v>
      </c>
      <c r="K34" s="32">
        <v>-1448</v>
      </c>
      <c r="L34" s="32">
        <v>4642</v>
      </c>
      <c r="M34" s="32">
        <v>-2695</v>
      </c>
      <c r="N34" s="32">
        <v>1592</v>
      </c>
      <c r="O34" s="32">
        <v>8687</v>
      </c>
      <c r="P34" s="32">
        <v>19143</v>
      </c>
      <c r="Q34" s="32">
        <v>-9335</v>
      </c>
      <c r="R34" s="32">
        <v>-5803</v>
      </c>
      <c r="S34" s="32">
        <v>6287</v>
      </c>
      <c r="T34" s="32">
        <v>19371</v>
      </c>
      <c r="U34" s="32">
        <v>-8714</v>
      </c>
      <c r="V34" s="32">
        <v>-20934</v>
      </c>
      <c r="W34" s="32">
        <v>-16776</v>
      </c>
      <c r="X34" s="49">
        <v>-5515</v>
      </c>
      <c r="Y34" s="49">
        <v>6286</v>
      </c>
      <c r="AA34" s="49">
        <v>2710.5010000000002</v>
      </c>
      <c r="AB34" s="49">
        <v>4812.9299999999994</v>
      </c>
      <c r="AC34" s="49">
        <v>1170.6460000000015</v>
      </c>
      <c r="AD34" s="49">
        <v>9451</v>
      </c>
      <c r="AE34" s="49">
        <v>5510</v>
      </c>
      <c r="AF34" s="49">
        <v>7689</v>
      </c>
      <c r="AG34" s="49">
        <v>-14647</v>
      </c>
      <c r="AH34" s="49">
        <v>6090</v>
      </c>
      <c r="AI34" s="49">
        <v>-2695</v>
      </c>
      <c r="AJ34" s="49">
        <v>4287</v>
      </c>
      <c r="AK34" s="49">
        <v>7095</v>
      </c>
      <c r="AL34" s="49">
        <v>10456</v>
      </c>
      <c r="AM34" s="49">
        <v>-9335</v>
      </c>
      <c r="AN34" s="49">
        <v>3532</v>
      </c>
      <c r="AO34" s="49">
        <v>12090</v>
      </c>
      <c r="AP34" s="49">
        <v>13084</v>
      </c>
      <c r="AQ34" s="49">
        <v>-8714</v>
      </c>
      <c r="AR34" s="49">
        <v>-12220</v>
      </c>
      <c r="AS34" s="49">
        <v>4158</v>
      </c>
      <c r="AT34" s="49">
        <v>11261</v>
      </c>
      <c r="AU34" s="49">
        <v>6286</v>
      </c>
      <c r="AW34" s="49">
        <v>15067.077000000001</v>
      </c>
      <c r="AX34" s="49">
        <v>-13503.077000000001</v>
      </c>
      <c r="AY34" s="49">
        <v>14501</v>
      </c>
      <c r="AZ34" s="49">
        <v>228</v>
      </c>
      <c r="BA34" s="49">
        <v>-24886</v>
      </c>
    </row>
    <row r="35" spans="2:53" ht="15" customHeight="1" x14ac:dyDescent="0.45">
      <c r="B35" s="7" t="s">
        <v>260</v>
      </c>
      <c r="C35" s="49">
        <v>4203</v>
      </c>
      <c r="D35" s="49">
        <v>17382.400000000001</v>
      </c>
      <c r="E35" s="49">
        <v>6735.2418099999995</v>
      </c>
      <c r="F35" s="49">
        <v>6397</v>
      </c>
      <c r="G35" s="49">
        <v>19117.004540000002</v>
      </c>
      <c r="H35" s="49">
        <v>12377.22625</v>
      </c>
      <c r="I35" s="49">
        <v>7424</v>
      </c>
      <c r="J35" s="49">
        <v>15602</v>
      </c>
      <c r="K35" s="49">
        <v>-22193.651070000004</v>
      </c>
      <c r="L35" s="49">
        <v>4026</v>
      </c>
      <c r="M35" s="49">
        <v>-7751</v>
      </c>
      <c r="N35" s="49">
        <v>303</v>
      </c>
      <c r="O35" s="49">
        <v>-30706</v>
      </c>
      <c r="P35" s="32">
        <v>-98364</v>
      </c>
      <c r="Q35" s="32">
        <v>-65462</v>
      </c>
      <c r="R35" s="32">
        <v>-160179</v>
      </c>
      <c r="S35" s="49">
        <v>-250194</v>
      </c>
      <c r="T35" s="49">
        <v>-241521</v>
      </c>
      <c r="U35" s="49">
        <v>-49216</v>
      </c>
      <c r="V35" s="49">
        <v>2758</v>
      </c>
      <c r="W35" s="49">
        <v>6025</v>
      </c>
      <c r="X35" s="49">
        <v>-6365</v>
      </c>
      <c r="Y35" s="49">
        <v>7599</v>
      </c>
      <c r="AA35" s="49">
        <v>6735.2418099999995</v>
      </c>
      <c r="AB35" s="49">
        <v>-338.24180999999953</v>
      </c>
      <c r="AC35" s="49">
        <v>12720.004540000002</v>
      </c>
      <c r="AD35" s="49">
        <v>-6739.778290000002</v>
      </c>
      <c r="AE35" s="49">
        <v>7424</v>
      </c>
      <c r="AF35" s="49">
        <v>8178</v>
      </c>
      <c r="AG35" s="49">
        <v>-37795.651070000007</v>
      </c>
      <c r="AH35" s="49">
        <v>26219.651070000004</v>
      </c>
      <c r="AI35" s="49">
        <v>-7751</v>
      </c>
      <c r="AJ35" s="49">
        <v>8054</v>
      </c>
      <c r="AK35" s="49">
        <v>-31009</v>
      </c>
      <c r="AL35" s="49">
        <v>-67658</v>
      </c>
      <c r="AM35" s="49">
        <v>-65462</v>
      </c>
      <c r="AN35" s="49">
        <v>-94717</v>
      </c>
      <c r="AO35" s="49">
        <v>-90015</v>
      </c>
      <c r="AP35" s="49">
        <v>8673</v>
      </c>
      <c r="AQ35" s="49">
        <v>-49216</v>
      </c>
      <c r="AR35" s="49">
        <v>51974</v>
      </c>
      <c r="AS35" s="49">
        <v>3267</v>
      </c>
      <c r="AT35" s="49">
        <v>-12390</v>
      </c>
      <c r="AU35" s="49">
        <v>7599</v>
      </c>
      <c r="AW35" s="49">
        <v>-5005.1737500000017</v>
      </c>
      <c r="AX35" s="49">
        <v>-8351.2262499999997</v>
      </c>
      <c r="AY35" s="49">
        <v>-102390</v>
      </c>
      <c r="AZ35" s="49">
        <v>-143157</v>
      </c>
      <c r="BA35" s="49">
        <v>235156</v>
      </c>
    </row>
    <row r="36" spans="2:53" ht="15" customHeight="1" x14ac:dyDescent="0.45">
      <c r="B36" s="7" t="s">
        <v>261</v>
      </c>
      <c r="C36" s="49">
        <v>1146</v>
      </c>
      <c r="D36" s="49">
        <v>-2547.6</v>
      </c>
      <c r="E36" s="49">
        <v>340.10523999999896</v>
      </c>
      <c r="F36" s="49">
        <v>-4513.5230000000001</v>
      </c>
      <c r="G36" s="49">
        <v>-16352.446</v>
      </c>
      <c r="H36" s="49">
        <v>-16577.414209999995</v>
      </c>
      <c r="I36" s="49">
        <v>-4175</v>
      </c>
      <c r="J36" s="49">
        <v>-7088.4474899999968</v>
      </c>
      <c r="K36" s="49">
        <v>-1350</v>
      </c>
      <c r="L36" s="49">
        <v>-23101</v>
      </c>
      <c r="M36" s="49">
        <v>-11326</v>
      </c>
      <c r="N36" s="49">
        <v>-45645.685774689322</v>
      </c>
      <c r="O36" s="49">
        <v>-34380</v>
      </c>
      <c r="P36" s="32">
        <v>-20489.74131999999</v>
      </c>
      <c r="Q36" s="32">
        <v>-16667</v>
      </c>
      <c r="R36" s="32">
        <v>-66423</v>
      </c>
      <c r="S36" s="49">
        <v>40297</v>
      </c>
      <c r="T36" s="49">
        <v>-14604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AA36" s="49">
        <v>340.10523999999896</v>
      </c>
      <c r="AB36" s="49">
        <v>-4853.6282399999991</v>
      </c>
      <c r="AC36" s="49">
        <v>-11838.922999999999</v>
      </c>
      <c r="AD36" s="49">
        <v>-224.96820999999545</v>
      </c>
      <c r="AE36" s="49">
        <v>-4175</v>
      </c>
      <c r="AF36" s="49">
        <v>-2913.4474899999968</v>
      </c>
      <c r="AG36" s="49">
        <v>5738.4474899999968</v>
      </c>
      <c r="AH36" s="49">
        <v>-21751</v>
      </c>
      <c r="AI36" s="49">
        <v>-11326</v>
      </c>
      <c r="AJ36" s="49">
        <v>-34319.685774689322</v>
      </c>
      <c r="AK36" s="49">
        <v>11265.685774689322</v>
      </c>
      <c r="AL36" s="49">
        <v>13890.25868000001</v>
      </c>
      <c r="AM36" s="49">
        <v>-16667</v>
      </c>
      <c r="AN36" s="49">
        <v>-49756</v>
      </c>
      <c r="AO36" s="49">
        <v>106720</v>
      </c>
      <c r="AP36" s="49">
        <v>-54901</v>
      </c>
      <c r="AQ36" s="49">
        <v>0</v>
      </c>
      <c r="AR36" s="49">
        <v>0</v>
      </c>
      <c r="AS36" s="49">
        <v>0</v>
      </c>
      <c r="AT36" s="49">
        <v>0</v>
      </c>
      <c r="AU36" s="49">
        <v>0</v>
      </c>
      <c r="AW36" s="49">
        <v>-14029.814209999995</v>
      </c>
      <c r="AX36" s="49">
        <v>-6523.5857900000046</v>
      </c>
      <c r="AY36" s="49">
        <v>2611.2586800000099</v>
      </c>
      <c r="AZ36" s="49">
        <v>5885.7413199999901</v>
      </c>
      <c r="BA36" s="49">
        <v>14604</v>
      </c>
    </row>
    <row r="37" spans="2:53" ht="15" customHeight="1" x14ac:dyDescent="0.45">
      <c r="B37" s="6" t="s">
        <v>381</v>
      </c>
      <c r="C37" s="49">
        <v>-2593</v>
      </c>
      <c r="D37" s="49">
        <v>-27155</v>
      </c>
      <c r="E37" s="49">
        <v>-12931.99907</v>
      </c>
      <c r="F37" s="49">
        <v>-57648.482967850061</v>
      </c>
      <c r="G37" s="49">
        <v>-58680.413747850056</v>
      </c>
      <c r="H37" s="49">
        <v>-146780.21611284997</v>
      </c>
      <c r="I37" s="49">
        <v>-77469</v>
      </c>
      <c r="J37" s="49">
        <v>-144287.84698000003</v>
      </c>
      <c r="K37" s="49">
        <v>-243088.01243</v>
      </c>
      <c r="L37" s="49">
        <v>-289537</v>
      </c>
      <c r="M37" s="49">
        <v>-340001.08909090911</v>
      </c>
      <c r="N37" s="49">
        <v>-363844.07817090908</v>
      </c>
      <c r="O37" s="49">
        <v>-791033.9232575756</v>
      </c>
      <c r="P37" s="32">
        <v>-845530</v>
      </c>
      <c r="Q37" s="32">
        <v>-214319</v>
      </c>
      <c r="R37" s="32">
        <v>-349212</v>
      </c>
      <c r="S37" s="49">
        <v>-643421</v>
      </c>
      <c r="T37" s="49">
        <v>-630474</v>
      </c>
      <c r="U37" s="49">
        <v>0</v>
      </c>
      <c r="V37" s="49">
        <v>-492577</v>
      </c>
      <c r="W37" s="49">
        <v>-873999</v>
      </c>
      <c r="X37" s="49">
        <v>-1186174</v>
      </c>
      <c r="Y37" s="49">
        <v>-253010</v>
      </c>
      <c r="AA37" s="49">
        <v>-12931.99907</v>
      </c>
      <c r="AB37" s="49">
        <v>-44716.483897850063</v>
      </c>
      <c r="AC37" s="49">
        <v>-1031.9307799999951</v>
      </c>
      <c r="AD37" s="49">
        <v>-88099.802364999923</v>
      </c>
      <c r="AE37" s="49">
        <v>-77469</v>
      </c>
      <c r="AF37" s="49">
        <v>-66818.846980000031</v>
      </c>
      <c r="AG37" s="49">
        <v>-98800.165449999971</v>
      </c>
      <c r="AH37" s="49">
        <v>-46448.987569999998</v>
      </c>
      <c r="AI37" s="49">
        <v>-340001.08909090911</v>
      </c>
      <c r="AJ37" s="49">
        <v>-23842.98907999997</v>
      </c>
      <c r="AK37" s="49">
        <v>-427189.84508666652</v>
      </c>
      <c r="AL37" s="49">
        <v>-54496.076742424397</v>
      </c>
      <c r="AM37" s="49">
        <v>-214319</v>
      </c>
      <c r="AN37" s="49">
        <v>-134893</v>
      </c>
      <c r="AO37" s="49">
        <v>-294209</v>
      </c>
      <c r="AP37" s="49">
        <v>12947</v>
      </c>
      <c r="AQ37" s="49">
        <v>0</v>
      </c>
      <c r="AR37" s="49">
        <v>-492577</v>
      </c>
      <c r="AS37" s="49">
        <v>-381422</v>
      </c>
      <c r="AT37" s="49">
        <v>-312175</v>
      </c>
      <c r="AU37" s="49">
        <v>-253010</v>
      </c>
      <c r="AW37" s="49">
        <v>-119625.21611284997</v>
      </c>
      <c r="AX37" s="49">
        <v>-142756.78388715003</v>
      </c>
      <c r="AY37" s="49">
        <v>-555993</v>
      </c>
      <c r="AZ37" s="49">
        <v>215056</v>
      </c>
      <c r="BA37" s="49">
        <v>-555700</v>
      </c>
    </row>
    <row r="38" spans="2:53" ht="15" customHeight="1" x14ac:dyDescent="0.45">
      <c r="B38" s="6" t="s">
        <v>382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-197317</v>
      </c>
      <c r="U38" s="49">
        <v>-214151</v>
      </c>
      <c r="V38" s="49">
        <v>0</v>
      </c>
      <c r="W38" s="49">
        <v>0</v>
      </c>
      <c r="X38" s="49">
        <v>-350903</v>
      </c>
      <c r="Y38" s="49">
        <v>-79351</v>
      </c>
      <c r="AA38" s="49">
        <v>0</v>
      </c>
      <c r="AB38" s="49">
        <v>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0</v>
      </c>
      <c r="AI38" s="49">
        <v>0</v>
      </c>
      <c r="AJ38" s="49">
        <v>0</v>
      </c>
      <c r="AK38" s="49">
        <v>0</v>
      </c>
      <c r="AL38" s="49">
        <v>0</v>
      </c>
      <c r="AM38" s="49">
        <v>0</v>
      </c>
      <c r="AN38" s="49">
        <v>0</v>
      </c>
      <c r="AO38" s="49">
        <v>0</v>
      </c>
      <c r="AP38" s="49">
        <v>-197317</v>
      </c>
      <c r="AQ38" s="49">
        <v>-214151</v>
      </c>
      <c r="AR38" s="49">
        <v>214151</v>
      </c>
      <c r="AS38" s="49">
        <v>0</v>
      </c>
      <c r="AT38" s="49">
        <v>-350903</v>
      </c>
      <c r="AU38" s="49">
        <v>-79351</v>
      </c>
      <c r="AW38" s="49">
        <v>0</v>
      </c>
      <c r="AX38" s="49">
        <v>0</v>
      </c>
      <c r="AY38" s="49">
        <v>0</v>
      </c>
      <c r="AZ38" s="49">
        <v>-197317</v>
      </c>
      <c r="BA38" s="49">
        <v>-153586</v>
      </c>
    </row>
    <row r="39" spans="2:53" ht="15" customHeight="1" x14ac:dyDescent="0.45">
      <c r="B39" s="6" t="s">
        <v>383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49">
        <v>160304.08909090911</v>
      </c>
      <c r="N39" s="49">
        <v>160304.08909090905</v>
      </c>
      <c r="O39" s="49">
        <v>339976.60659090901</v>
      </c>
      <c r="P39" s="49">
        <v>339977</v>
      </c>
      <c r="Q39" s="49">
        <v>151040</v>
      </c>
      <c r="R39" s="49">
        <v>151040</v>
      </c>
      <c r="S39" s="49">
        <v>308380</v>
      </c>
      <c r="T39" s="49">
        <v>146855</v>
      </c>
      <c r="U39" s="49">
        <v>145407</v>
      </c>
      <c r="V39" s="49">
        <v>512104</v>
      </c>
      <c r="W39" s="49">
        <v>629593</v>
      </c>
      <c r="X39" s="49">
        <v>781099</v>
      </c>
      <c r="Y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160304.08909090911</v>
      </c>
      <c r="AJ39" s="49">
        <v>0</v>
      </c>
      <c r="AK39" s="49">
        <v>179672.51749999996</v>
      </c>
      <c r="AL39" s="49">
        <v>0.39340909098973498</v>
      </c>
      <c r="AM39" s="49">
        <v>151040</v>
      </c>
      <c r="AN39" s="49">
        <v>0</v>
      </c>
      <c r="AO39" s="49">
        <v>157340</v>
      </c>
      <c r="AP39" s="49">
        <v>-161525</v>
      </c>
      <c r="AQ39" s="49">
        <v>145407</v>
      </c>
      <c r="AR39" s="49">
        <v>366697</v>
      </c>
      <c r="AS39" s="49">
        <v>117489</v>
      </c>
      <c r="AT39" s="49">
        <v>151506</v>
      </c>
      <c r="AU39" s="49">
        <v>0</v>
      </c>
      <c r="AW39" s="49">
        <v>0</v>
      </c>
      <c r="AX39" s="49">
        <v>0</v>
      </c>
      <c r="AY39" s="49">
        <v>339977</v>
      </c>
      <c r="AZ39" s="49">
        <v>-193122</v>
      </c>
      <c r="BA39" s="49">
        <v>634244</v>
      </c>
    </row>
    <row r="40" spans="2:53" ht="15" customHeight="1" x14ac:dyDescent="0.45">
      <c r="B40" s="6" t="s">
        <v>384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52124</v>
      </c>
      <c r="V40" s="49">
        <v>0</v>
      </c>
      <c r="W40" s="49">
        <v>0</v>
      </c>
      <c r="X40" s="49">
        <v>0</v>
      </c>
      <c r="Y40" s="49">
        <v>23619</v>
      </c>
      <c r="AA40" s="49">
        <v>0</v>
      </c>
      <c r="AB40" s="49">
        <v>0</v>
      </c>
      <c r="AC40" s="49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0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  <c r="AO40" s="49">
        <v>0</v>
      </c>
      <c r="AP40" s="49">
        <v>0</v>
      </c>
      <c r="AQ40" s="49">
        <v>0</v>
      </c>
      <c r="AR40" s="49">
        <v>0</v>
      </c>
      <c r="AS40" s="49">
        <v>0</v>
      </c>
      <c r="AT40" s="49">
        <v>0</v>
      </c>
      <c r="AU40" s="49">
        <v>0</v>
      </c>
      <c r="AW40" s="49">
        <v>0</v>
      </c>
      <c r="AX40" s="49">
        <v>0</v>
      </c>
      <c r="AY40" s="49">
        <v>0</v>
      </c>
      <c r="AZ40" s="49">
        <v>0</v>
      </c>
      <c r="BA40" s="49">
        <v>0</v>
      </c>
    </row>
    <row r="41" spans="2:53" ht="15" customHeight="1" x14ac:dyDescent="0.45">
      <c r="B41" s="6" t="s">
        <v>262</v>
      </c>
      <c r="C41" s="6">
        <v>0</v>
      </c>
      <c r="D41" s="6">
        <v>-16446</v>
      </c>
      <c r="E41" s="6">
        <v>-7672.8398099999995</v>
      </c>
      <c r="F41" s="6">
        <v>-7672</v>
      </c>
      <c r="G41" s="6">
        <v>-8441.5875400000004</v>
      </c>
      <c r="H41" s="6">
        <v>-8445.8092500000002</v>
      </c>
      <c r="I41" s="6">
        <v>0</v>
      </c>
      <c r="J41" s="6">
        <v>0</v>
      </c>
      <c r="K41" s="6">
        <v>0</v>
      </c>
      <c r="L41" s="6">
        <v>0</v>
      </c>
      <c r="M41" s="49">
        <v>-25867</v>
      </c>
      <c r="N41" s="49">
        <v>-49042</v>
      </c>
      <c r="O41" s="49">
        <v>-63895</v>
      </c>
      <c r="P41" s="49">
        <v>-87860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  <c r="AA41" s="49">
        <v>0</v>
      </c>
      <c r="AB41" s="49">
        <v>0</v>
      </c>
      <c r="AC41" s="49">
        <v>0</v>
      </c>
      <c r="AD41" s="49">
        <v>0</v>
      </c>
      <c r="AE41" s="49">
        <v>0</v>
      </c>
      <c r="AF41" s="49">
        <v>0</v>
      </c>
      <c r="AG41" s="49">
        <v>0</v>
      </c>
      <c r="AH41" s="49">
        <v>0</v>
      </c>
      <c r="AI41" s="49">
        <v>0</v>
      </c>
      <c r="AJ41" s="49">
        <v>0</v>
      </c>
      <c r="AK41" s="49">
        <v>0</v>
      </c>
      <c r="AL41" s="49">
        <v>0</v>
      </c>
      <c r="AM41" s="49">
        <v>0</v>
      </c>
      <c r="AN41" s="49">
        <v>0</v>
      </c>
      <c r="AO41" s="49">
        <v>0</v>
      </c>
      <c r="AP41" s="49">
        <v>0</v>
      </c>
      <c r="AQ41" s="49">
        <v>0</v>
      </c>
      <c r="AR41" s="49">
        <v>0</v>
      </c>
      <c r="AS41" s="49">
        <v>0</v>
      </c>
      <c r="AT41" s="49">
        <v>0</v>
      </c>
      <c r="AU41" s="49">
        <v>0</v>
      </c>
      <c r="AW41" s="49">
        <v>0</v>
      </c>
      <c r="AX41" s="49">
        <v>0</v>
      </c>
      <c r="AY41" s="49">
        <v>0</v>
      </c>
      <c r="AZ41" s="49">
        <v>0</v>
      </c>
      <c r="BA41" s="49">
        <v>0</v>
      </c>
    </row>
    <row r="42" spans="2:53" ht="14.25" customHeight="1" x14ac:dyDescent="0.45">
      <c r="B42" s="5" t="s">
        <v>385</v>
      </c>
      <c r="C42" s="33">
        <v>11156.622999999992</v>
      </c>
      <c r="D42" s="33">
        <v>72188.799999999988</v>
      </c>
      <c r="E42" s="33">
        <v>92390.721768714648</v>
      </c>
      <c r="F42" s="33">
        <v>-73367.394797386864</v>
      </c>
      <c r="G42" s="33">
        <v>-182384.12456836391</v>
      </c>
      <c r="H42" s="33">
        <v>-36288.755463826157</v>
      </c>
      <c r="I42" s="33">
        <v>348284.91057923285</v>
      </c>
      <c r="J42" s="33">
        <v>400995.62941497378</v>
      </c>
      <c r="K42" s="33">
        <v>-466123.68483057164</v>
      </c>
      <c r="L42" s="33">
        <v>67250</v>
      </c>
      <c r="M42" s="33">
        <v>563369</v>
      </c>
      <c r="N42" s="33">
        <v>-36248.677904689393</v>
      </c>
      <c r="O42" s="33">
        <v>640560.68333333335</v>
      </c>
      <c r="P42" s="33">
        <v>1449619.25868</v>
      </c>
      <c r="Q42" s="33">
        <v>1185266.5362064</v>
      </c>
      <c r="R42" s="33">
        <v>496294.84663999965</v>
      </c>
      <c r="S42" s="33">
        <v>300599.83363000024</v>
      </c>
      <c r="T42" s="33">
        <v>320777.18451000005</v>
      </c>
      <c r="U42" s="33">
        <v>1538207</v>
      </c>
      <c r="V42" s="33">
        <v>1620331</v>
      </c>
      <c r="W42" s="33">
        <v>1838745</v>
      </c>
      <c r="X42" s="33">
        <v>1702095</v>
      </c>
      <c r="Y42" s="33">
        <v>-548900</v>
      </c>
      <c r="AA42" s="33">
        <v>100063.56157871465</v>
      </c>
      <c r="AB42" s="33">
        <v>-165758.95637610153</v>
      </c>
      <c r="AC42" s="33">
        <v>-108247.14223097706</v>
      </c>
      <c r="AD42" s="33">
        <v>146099.59081453778</v>
      </c>
      <c r="AE42" s="33">
        <v>348284.91057923285</v>
      </c>
      <c r="AF42" s="33">
        <v>52710.71883574099</v>
      </c>
      <c r="AG42" s="33">
        <v>-867119.31424554554</v>
      </c>
      <c r="AH42" s="33">
        <v>533373.68483057176</v>
      </c>
      <c r="AI42" s="33">
        <v>589236</v>
      </c>
      <c r="AJ42" s="33">
        <v>-576442.67790468934</v>
      </c>
      <c r="AK42" s="33">
        <v>691662.36123802268</v>
      </c>
      <c r="AL42" s="33">
        <v>833023.57534666662</v>
      </c>
      <c r="AM42" s="33">
        <v>1185266.5362064</v>
      </c>
      <c r="AN42" s="33">
        <v>-688971.68956640025</v>
      </c>
      <c r="AO42" s="33">
        <v>-195695.01300999941</v>
      </c>
      <c r="AP42" s="33">
        <v>20177.350879999809</v>
      </c>
      <c r="AQ42" s="33">
        <v>1486083</v>
      </c>
      <c r="AR42" s="33">
        <v>134248</v>
      </c>
      <c r="AS42" s="33">
        <v>218414</v>
      </c>
      <c r="AT42" s="33">
        <v>-136650</v>
      </c>
      <c r="AU42" s="33">
        <v>-548900</v>
      </c>
      <c r="AV42" s="58"/>
      <c r="AW42" s="33">
        <v>-116477.74621382615</v>
      </c>
      <c r="AX42" s="33">
        <v>95092.94621382613</v>
      </c>
      <c r="AY42" s="33">
        <v>1470229.25868</v>
      </c>
      <c r="AZ42" s="33">
        <v>-1216702.0741699999</v>
      </c>
      <c r="BA42" s="33">
        <v>1381317.8154899999</v>
      </c>
    </row>
    <row r="43" spans="2:53" ht="14.25" customHeight="1" x14ac:dyDescent="0.45">
      <c r="B43" s="5" t="s">
        <v>386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>
        <v>0</v>
      </c>
      <c r="X43">
        <v>0</v>
      </c>
      <c r="Y43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>
        <v>0</v>
      </c>
      <c r="AL43">
        <v>0</v>
      </c>
      <c r="AM4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3">
        <v>0</v>
      </c>
      <c r="AU43" s="33">
        <v>0</v>
      </c>
      <c r="AW43" s="33">
        <v>0</v>
      </c>
      <c r="AX43" s="33">
        <v>0</v>
      </c>
      <c r="AY43" s="33">
        <v>0</v>
      </c>
      <c r="AZ43" s="33">
        <v>0</v>
      </c>
      <c r="BA43" s="33">
        <v>0</v>
      </c>
    </row>
    <row r="44" spans="2:53" ht="14.25" customHeight="1" x14ac:dyDescent="0.45">
      <c r="B44" s="7" t="s">
        <v>265</v>
      </c>
      <c r="C44" s="49">
        <v>-109254</v>
      </c>
      <c r="D44" s="49">
        <v>-383316</v>
      </c>
      <c r="E44" s="49">
        <v>-278594.58790825098</v>
      </c>
      <c r="F44" s="49">
        <v>-609587.22970596002</v>
      </c>
      <c r="G44" s="49">
        <v>-872364</v>
      </c>
      <c r="H44" s="49">
        <v>-1136347.22409285</v>
      </c>
      <c r="I44" s="49">
        <v>-280286.13901000004</v>
      </c>
      <c r="J44" s="49">
        <v>-426714.90081497381</v>
      </c>
      <c r="K44" s="49">
        <v>-507690.18094791751</v>
      </c>
      <c r="L44" s="49">
        <v>-615111</v>
      </c>
      <c r="M44" s="49">
        <v>-143572</v>
      </c>
      <c r="N44" s="49">
        <v>-273294</v>
      </c>
      <c r="O44" s="49">
        <v>-396315</v>
      </c>
      <c r="P44" s="49">
        <v>-609335</v>
      </c>
      <c r="Q44" s="49">
        <v>-282108</v>
      </c>
      <c r="R44" s="74">
        <v>-764164</v>
      </c>
      <c r="S44" s="7">
        <v>-890809</v>
      </c>
      <c r="T44" s="49">
        <v>-1243126</v>
      </c>
      <c r="U44" s="49">
        <v>-716737</v>
      </c>
      <c r="V44" s="49">
        <v>-533613</v>
      </c>
      <c r="W44" s="49">
        <v>-731477</v>
      </c>
      <c r="X44" s="49">
        <v>-854514</v>
      </c>
      <c r="Y44" s="49">
        <v>-101207</v>
      </c>
      <c r="AA44" s="49">
        <v>-278594.58790825098</v>
      </c>
      <c r="AB44" s="49">
        <v>-330992.64179770905</v>
      </c>
      <c r="AC44" s="49">
        <v>-262776.77029403998</v>
      </c>
      <c r="AD44" s="49">
        <v>-263983.22409285</v>
      </c>
      <c r="AE44" s="49">
        <v>-280286.13901000004</v>
      </c>
      <c r="AF44" s="49">
        <v>-146428.76180497376</v>
      </c>
      <c r="AG44" s="49">
        <v>-80975.280132943706</v>
      </c>
      <c r="AH44" s="49">
        <v>-107420.81905208249</v>
      </c>
      <c r="AI44" s="49">
        <v>-143572</v>
      </c>
      <c r="AJ44" s="49">
        <v>-129722</v>
      </c>
      <c r="AK44" s="49">
        <v>-123021</v>
      </c>
      <c r="AL44" s="49">
        <v>-213020</v>
      </c>
      <c r="AM44" s="49">
        <v>-282108</v>
      </c>
      <c r="AN44" s="49">
        <v>-482056</v>
      </c>
      <c r="AO44" s="49">
        <v>-126645</v>
      </c>
      <c r="AP44" s="49">
        <v>-352317</v>
      </c>
      <c r="AQ44" s="49">
        <v>-716737</v>
      </c>
      <c r="AR44" s="49">
        <v>183124</v>
      </c>
      <c r="AS44" s="49">
        <v>218414</v>
      </c>
      <c r="AT44" s="49">
        <v>-123037</v>
      </c>
      <c r="AU44" s="49">
        <v>-101207</v>
      </c>
      <c r="AW44" s="49">
        <v>-753031.22409285</v>
      </c>
      <c r="AX44" s="49">
        <v>521236.22409285</v>
      </c>
      <c r="AY44" s="49">
        <v>5776</v>
      </c>
      <c r="AZ44" s="49">
        <v>-633791</v>
      </c>
      <c r="BA44" s="49">
        <v>388612</v>
      </c>
    </row>
    <row r="45" spans="2:53" ht="14.25" customHeight="1" x14ac:dyDescent="0.45">
      <c r="B45" s="7" t="s">
        <v>248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49">
        <v>2797.3728000000119</v>
      </c>
      <c r="U45" s="49">
        <v>54030</v>
      </c>
      <c r="V45" s="49">
        <v>0</v>
      </c>
      <c r="W45" s="49">
        <v>0</v>
      </c>
      <c r="X45" s="49">
        <v>0</v>
      </c>
      <c r="Y45" s="49">
        <v>0</v>
      </c>
      <c r="AA45" s="49">
        <v>0</v>
      </c>
      <c r="AB45" s="49">
        <v>0</v>
      </c>
      <c r="AC45" s="49">
        <v>0</v>
      </c>
      <c r="AD45" s="49">
        <v>0</v>
      </c>
      <c r="AE45" s="49">
        <v>0</v>
      </c>
      <c r="AF45" s="49">
        <v>0</v>
      </c>
      <c r="AG45" s="49">
        <v>0</v>
      </c>
      <c r="AH45" s="49">
        <v>0</v>
      </c>
      <c r="AI45" s="49">
        <v>0</v>
      </c>
      <c r="AJ45" s="49">
        <v>0</v>
      </c>
      <c r="AK45" s="49">
        <v>0</v>
      </c>
      <c r="AL45" s="49">
        <v>0</v>
      </c>
      <c r="AM45" s="49">
        <v>0</v>
      </c>
      <c r="AN45" s="49">
        <v>0</v>
      </c>
      <c r="AO45" s="49">
        <v>0</v>
      </c>
      <c r="AP45" s="49">
        <v>0</v>
      </c>
      <c r="AQ45" s="49">
        <v>0</v>
      </c>
      <c r="AR45" s="49">
        <v>0</v>
      </c>
      <c r="AS45" s="49">
        <v>0</v>
      </c>
      <c r="AT45" s="49">
        <v>0</v>
      </c>
      <c r="AU45" s="49">
        <v>0</v>
      </c>
      <c r="AW45" s="49">
        <v>0</v>
      </c>
      <c r="AX45" s="49">
        <v>0</v>
      </c>
      <c r="AY45" s="49">
        <v>0</v>
      </c>
      <c r="AZ45" s="49">
        <v>2797.3728000000119</v>
      </c>
      <c r="BA45" s="49">
        <v>-2797.3728000000119</v>
      </c>
    </row>
    <row r="46" spans="2:53" ht="15" customHeight="1" x14ac:dyDescent="0.45">
      <c r="B46" s="7" t="s">
        <v>364</v>
      </c>
      <c r="C46" s="7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74">
        <v>295185</v>
      </c>
      <c r="S46" s="7">
        <v>305177</v>
      </c>
      <c r="T46" s="49">
        <v>574575.22147999995</v>
      </c>
      <c r="U46" s="49">
        <v>367</v>
      </c>
      <c r="V46" s="49">
        <v>142030</v>
      </c>
      <c r="W46" s="49">
        <v>142030</v>
      </c>
      <c r="X46" s="49">
        <v>142030</v>
      </c>
      <c r="Y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295185</v>
      </c>
      <c r="AO46" s="49">
        <v>9992</v>
      </c>
      <c r="AP46" s="49">
        <v>269398.22147999995</v>
      </c>
      <c r="AQ46" s="49">
        <v>367</v>
      </c>
      <c r="AR46" s="49">
        <v>141663</v>
      </c>
      <c r="AS46" s="49">
        <v>-197864</v>
      </c>
      <c r="AT46" s="49">
        <v>0</v>
      </c>
      <c r="AU46" s="49">
        <v>0</v>
      </c>
      <c r="AW46" s="49">
        <v>0</v>
      </c>
      <c r="AX46" s="49">
        <v>0</v>
      </c>
      <c r="AY46" s="49">
        <v>0</v>
      </c>
      <c r="AZ46" s="49">
        <v>574575.22147999995</v>
      </c>
      <c r="BA46" s="49">
        <v>-432545.22147999995</v>
      </c>
    </row>
    <row r="47" spans="2:53" ht="15" customHeight="1" x14ac:dyDescent="0.45">
      <c r="B47" s="7" t="s">
        <v>91</v>
      </c>
      <c r="C47" s="49">
        <v>-15465</v>
      </c>
      <c r="D47" s="49">
        <v>-42862</v>
      </c>
      <c r="E47" s="49">
        <v>-9984.7356400000008</v>
      </c>
      <c r="F47" s="49">
        <v>-26470.612252149935</v>
      </c>
      <c r="G47" s="49">
        <v>-30275.26325214994</v>
      </c>
      <c r="H47" s="49">
        <v>-65408.434077150014</v>
      </c>
      <c r="I47" s="49">
        <v>-17131</v>
      </c>
      <c r="J47" s="49">
        <v>-36971</v>
      </c>
      <c r="K47" s="49">
        <v>-55060</v>
      </c>
      <c r="L47" s="49">
        <v>-72259</v>
      </c>
      <c r="M47" s="49">
        <v>-751</v>
      </c>
      <c r="N47" s="49">
        <v>-874</v>
      </c>
      <c r="O47" s="49">
        <v>-918</v>
      </c>
      <c r="P47" s="49">
        <v>-1499</v>
      </c>
      <c r="Q47" s="49">
        <v>-58</v>
      </c>
      <c r="R47" s="74">
        <v>29030</v>
      </c>
      <c r="S47" s="7">
        <v>95926</v>
      </c>
      <c r="T47" s="49">
        <v>21621</v>
      </c>
      <c r="U47" s="49">
        <v>-15995</v>
      </c>
      <c r="V47" s="49">
        <v>-15995</v>
      </c>
      <c r="W47" s="49">
        <v>-15995</v>
      </c>
      <c r="X47" s="49">
        <v>-15995</v>
      </c>
      <c r="Y47" s="49">
        <v>0</v>
      </c>
      <c r="AA47" s="49">
        <v>-9984.7356400000008</v>
      </c>
      <c r="AB47" s="49">
        <v>-16485.876612149936</v>
      </c>
      <c r="AC47" s="49">
        <v>-3804.6510000000053</v>
      </c>
      <c r="AD47" s="49">
        <v>-35133.170825000074</v>
      </c>
      <c r="AE47" s="49">
        <v>-17131</v>
      </c>
      <c r="AF47" s="49">
        <v>-19840</v>
      </c>
      <c r="AG47" s="49">
        <v>-18089</v>
      </c>
      <c r="AH47" s="49">
        <v>-17199</v>
      </c>
      <c r="AI47" s="49">
        <v>-751</v>
      </c>
      <c r="AJ47" s="49">
        <v>-123</v>
      </c>
      <c r="AK47" s="49">
        <v>-44</v>
      </c>
      <c r="AL47" s="49">
        <v>-581</v>
      </c>
      <c r="AM47" s="49">
        <v>-58</v>
      </c>
      <c r="AN47" s="49">
        <v>29088</v>
      </c>
      <c r="AO47" s="49">
        <v>66896</v>
      </c>
      <c r="AP47" s="49">
        <v>-74305</v>
      </c>
      <c r="AQ47" s="49">
        <v>-15995</v>
      </c>
      <c r="AR47" s="49">
        <v>0</v>
      </c>
      <c r="AS47" s="49">
        <v>0</v>
      </c>
      <c r="AT47" s="49">
        <v>0</v>
      </c>
      <c r="AU47" s="49">
        <v>0</v>
      </c>
      <c r="AW47" s="49">
        <v>-22546.434077150014</v>
      </c>
      <c r="AX47" s="49">
        <v>-6850.5659228499862</v>
      </c>
      <c r="AY47" s="49">
        <v>70760</v>
      </c>
      <c r="AZ47" s="49">
        <v>23120</v>
      </c>
      <c r="BA47" s="49">
        <v>-37616</v>
      </c>
    </row>
    <row r="48" spans="2:53" ht="14.25" customHeight="1" x14ac:dyDescent="0.45">
      <c r="B48" s="7" t="s">
        <v>387</v>
      </c>
      <c r="C48" s="7">
        <v>0</v>
      </c>
      <c r="D48" s="49">
        <v>-3536</v>
      </c>
      <c r="E48" s="49">
        <v>-2226.9593300000001</v>
      </c>
      <c r="F48" s="49">
        <v>-2879.6559600000001</v>
      </c>
      <c r="G48" s="49">
        <v>-4069.9750899999999</v>
      </c>
      <c r="H48" s="49">
        <v>-7261.8072499999998</v>
      </c>
      <c r="I48" s="49">
        <v>-1114</v>
      </c>
      <c r="J48" s="49">
        <v>-1020.5442499999999</v>
      </c>
      <c r="K48" s="49">
        <v>-6190.7838200000006</v>
      </c>
      <c r="L48" s="49">
        <v>-4550</v>
      </c>
      <c r="M48" s="49">
        <v>-1143</v>
      </c>
      <c r="N48" s="49">
        <v>-3806</v>
      </c>
      <c r="O48" s="49">
        <v>-5164</v>
      </c>
      <c r="P48" s="49">
        <v>-7433</v>
      </c>
      <c r="Q48" s="49">
        <v>0</v>
      </c>
      <c r="R48" s="74">
        <v>0</v>
      </c>
      <c r="S48" s="7">
        <v>0</v>
      </c>
      <c r="T48" s="49">
        <v>-14811</v>
      </c>
      <c r="U48" s="49">
        <v>0</v>
      </c>
      <c r="V48" s="49">
        <v>0</v>
      </c>
      <c r="W48" s="49">
        <v>0</v>
      </c>
      <c r="X48" s="49">
        <v>-25845</v>
      </c>
      <c r="Y48" s="49">
        <v>0</v>
      </c>
      <c r="AA48" s="49">
        <v>-2226.9593300000001</v>
      </c>
      <c r="AB48" s="49">
        <v>-652.69662999999991</v>
      </c>
      <c r="AC48" s="49">
        <v>-1190.3191299999999</v>
      </c>
      <c r="AD48" s="49">
        <v>-3191.8321599999999</v>
      </c>
      <c r="AE48" s="49">
        <v>-1114</v>
      </c>
      <c r="AF48" s="49">
        <v>93.45575000000008</v>
      </c>
      <c r="AG48" s="49">
        <v>-5170.2395700000006</v>
      </c>
      <c r="AH48" s="49">
        <v>1640.7838200000006</v>
      </c>
      <c r="AI48" s="49">
        <v>-1143</v>
      </c>
      <c r="AJ48" s="49">
        <v>-2663</v>
      </c>
      <c r="AK48" s="49">
        <v>-1358</v>
      </c>
      <c r="AL48" s="49">
        <v>-2269</v>
      </c>
      <c r="AM48" s="49">
        <v>0</v>
      </c>
      <c r="AN48" s="49">
        <v>0</v>
      </c>
      <c r="AO48" s="49">
        <v>0</v>
      </c>
      <c r="AP48" s="49">
        <v>-14811</v>
      </c>
      <c r="AQ48" s="49">
        <v>0</v>
      </c>
      <c r="AR48" s="49">
        <v>0</v>
      </c>
      <c r="AS48" s="49">
        <v>0</v>
      </c>
      <c r="AT48" s="49">
        <v>-25845</v>
      </c>
      <c r="AU48" s="49">
        <v>0</v>
      </c>
      <c r="AW48" s="49">
        <v>-3725.8072499999998</v>
      </c>
      <c r="AX48" s="49">
        <v>0</v>
      </c>
      <c r="AY48" s="49">
        <v>-2883</v>
      </c>
      <c r="AZ48" s="49">
        <v>-7378</v>
      </c>
      <c r="BA48" s="49">
        <v>-11034</v>
      </c>
    </row>
    <row r="49" spans="2:53" ht="14.25" customHeight="1" x14ac:dyDescent="0.45">
      <c r="B49" s="7" t="s">
        <v>263</v>
      </c>
      <c r="C49" s="49">
        <v>-207121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-276759.52380952385</v>
      </c>
      <c r="P49" s="49">
        <v>-276760</v>
      </c>
      <c r="Q49" s="49">
        <v>0</v>
      </c>
      <c r="R49" s="74">
        <v>0</v>
      </c>
      <c r="S49" s="7">
        <v>0</v>
      </c>
      <c r="T49" s="49">
        <v>0</v>
      </c>
      <c r="U49" s="49">
        <v>11096</v>
      </c>
      <c r="V49" s="49">
        <v>0</v>
      </c>
      <c r="W49" s="49">
        <v>-5953</v>
      </c>
      <c r="X49" s="49">
        <v>0</v>
      </c>
      <c r="Y49" s="49">
        <v>0</v>
      </c>
      <c r="AA49" s="49">
        <v>0</v>
      </c>
      <c r="AB49" s="49">
        <v>0</v>
      </c>
      <c r="AC49" s="49">
        <v>0</v>
      </c>
      <c r="AD49" s="49">
        <v>0</v>
      </c>
      <c r="AE49" s="49">
        <v>0</v>
      </c>
      <c r="AF49" s="49">
        <v>0</v>
      </c>
      <c r="AG49" s="49">
        <v>0</v>
      </c>
      <c r="AH49" s="49">
        <v>0</v>
      </c>
      <c r="AI49" s="49">
        <v>0</v>
      </c>
      <c r="AJ49" s="49">
        <v>0</v>
      </c>
      <c r="AK49" s="49">
        <v>-276759.52380952385</v>
      </c>
      <c r="AL49" s="49">
        <v>-0.47619047615444288</v>
      </c>
      <c r="AM49" s="49">
        <v>0</v>
      </c>
      <c r="AN49" s="49">
        <v>0</v>
      </c>
      <c r="AO49" s="49">
        <v>0</v>
      </c>
      <c r="AP49" s="49">
        <v>11096</v>
      </c>
      <c r="AQ49" s="49">
        <v>11096</v>
      </c>
      <c r="AR49" s="49">
        <v>-11096</v>
      </c>
      <c r="AS49" s="49">
        <v>0</v>
      </c>
      <c r="AT49" s="49">
        <v>5953</v>
      </c>
      <c r="AU49" s="49">
        <v>0</v>
      </c>
      <c r="AV49" s="49"/>
      <c r="AW49" s="49">
        <v>0</v>
      </c>
      <c r="AX49" s="49">
        <v>0</v>
      </c>
      <c r="AY49" s="49">
        <v>-276760</v>
      </c>
      <c r="AZ49" s="49">
        <v>276760</v>
      </c>
      <c r="BA49" s="49">
        <v>0</v>
      </c>
    </row>
    <row r="50" spans="2:53" ht="14.25" customHeight="1" x14ac:dyDescent="0.45">
      <c r="B50" s="7" t="s">
        <v>388</v>
      </c>
      <c r="C50" s="49">
        <v>-12252</v>
      </c>
      <c r="D50" s="49">
        <v>192617</v>
      </c>
      <c r="E50" s="49">
        <v>-10603.062</v>
      </c>
      <c r="F50" s="49">
        <v>-32492</v>
      </c>
      <c r="G50" s="49">
        <v>-112407.77800000001</v>
      </c>
      <c r="H50" s="49">
        <v>-62772.035000000003</v>
      </c>
      <c r="I50" s="49">
        <v>79545</v>
      </c>
      <c r="J50" s="49">
        <v>79505</v>
      </c>
      <c r="K50" s="49">
        <v>-2697772</v>
      </c>
      <c r="L50" s="49">
        <v>-3011242</v>
      </c>
      <c r="M50" s="49">
        <v>8630</v>
      </c>
      <c r="N50" s="49">
        <v>18768</v>
      </c>
      <c r="O50" s="49">
        <v>30319</v>
      </c>
      <c r="P50" s="49">
        <v>-96476</v>
      </c>
      <c r="Q50" s="49">
        <v>138371</v>
      </c>
      <c r="R50" s="74">
        <v>138371</v>
      </c>
      <c r="S50" s="7">
        <v>-1459782</v>
      </c>
      <c r="T50" s="49">
        <v>-1895651</v>
      </c>
      <c r="U50" s="49">
        <v>-19662</v>
      </c>
      <c r="V50" s="49">
        <v>26458</v>
      </c>
      <c r="W50" s="49">
        <v>2362783</v>
      </c>
      <c r="X50" s="49">
        <v>-1258023</v>
      </c>
      <c r="Y50" s="49">
        <v>-296952</v>
      </c>
      <c r="AA50" s="49">
        <v>-10603.062</v>
      </c>
      <c r="AB50" s="49">
        <v>-21888.938000000002</v>
      </c>
      <c r="AC50" s="49">
        <v>-79915.778000000006</v>
      </c>
      <c r="AD50" s="49">
        <v>49635.743000000002</v>
      </c>
      <c r="AE50" s="49">
        <v>79545</v>
      </c>
      <c r="AF50" s="49">
        <v>-40</v>
      </c>
      <c r="AG50" s="49">
        <v>-2777277</v>
      </c>
      <c r="AH50" s="49">
        <v>-313470</v>
      </c>
      <c r="AI50" s="49">
        <v>8630</v>
      </c>
      <c r="AJ50" s="49">
        <v>10138</v>
      </c>
      <c r="AK50" s="49">
        <v>11551</v>
      </c>
      <c r="AL50" s="49">
        <v>-126795</v>
      </c>
      <c r="AM50" s="49">
        <v>138371</v>
      </c>
      <c r="AN50" s="49">
        <v>0</v>
      </c>
      <c r="AO50" s="49">
        <v>-1598153</v>
      </c>
      <c r="AP50" s="49">
        <v>1459782</v>
      </c>
      <c r="AQ50" s="49">
        <v>-19662</v>
      </c>
      <c r="AR50" s="49">
        <v>46120</v>
      </c>
      <c r="AS50" s="49">
        <v>0</v>
      </c>
      <c r="AT50" s="49">
        <v>-3620806</v>
      </c>
      <c r="AU50" s="49">
        <v>-296952</v>
      </c>
      <c r="AW50" s="49">
        <v>-255389.035</v>
      </c>
      <c r="AX50" s="49">
        <v>-2948469.9649999999</v>
      </c>
      <c r="AY50" s="49">
        <v>2914766</v>
      </c>
      <c r="AZ50" s="49">
        <v>-1799175</v>
      </c>
      <c r="BA50" s="49">
        <v>637628</v>
      </c>
    </row>
    <row r="51" spans="2:53" ht="14.25" customHeight="1" x14ac:dyDescent="0.45">
      <c r="B51" s="7" t="s">
        <v>389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74">
        <v>0</v>
      </c>
      <c r="S51" s="7">
        <v>0</v>
      </c>
      <c r="T51" s="49">
        <v>522081</v>
      </c>
      <c r="U51" s="49">
        <v>1236775</v>
      </c>
      <c r="V51" s="49">
        <v>0</v>
      </c>
      <c r="W51" s="49">
        <v>0</v>
      </c>
      <c r="X51" s="49">
        <v>5182113</v>
      </c>
      <c r="Y51" s="49">
        <v>720394</v>
      </c>
      <c r="AA51" s="49">
        <v>0</v>
      </c>
      <c r="AB51" s="49">
        <v>0</v>
      </c>
      <c r="AC51" s="49">
        <v>0</v>
      </c>
      <c r="AD51" s="49">
        <v>0</v>
      </c>
      <c r="AE51" s="49">
        <v>0</v>
      </c>
      <c r="AF51" s="49">
        <v>0</v>
      </c>
      <c r="AG51" s="49">
        <v>0</v>
      </c>
      <c r="AH51" s="49">
        <v>0</v>
      </c>
      <c r="AI51" s="49">
        <v>0</v>
      </c>
      <c r="AJ51" s="49">
        <v>0</v>
      </c>
      <c r="AK51" s="49">
        <v>0</v>
      </c>
      <c r="AL51" s="49">
        <v>0</v>
      </c>
      <c r="AM51" s="49">
        <v>0</v>
      </c>
      <c r="AN51" s="49">
        <v>0</v>
      </c>
      <c r="AO51" s="49">
        <v>0</v>
      </c>
      <c r="AP51" s="49">
        <v>522081</v>
      </c>
      <c r="AQ51" s="49">
        <v>1236775</v>
      </c>
      <c r="AR51" s="49">
        <v>-1236775</v>
      </c>
      <c r="AS51" s="49">
        <v>-5953</v>
      </c>
      <c r="AT51" s="49">
        <v>5182113</v>
      </c>
      <c r="AU51" s="49">
        <v>720394</v>
      </c>
      <c r="AW51" s="49">
        <v>0</v>
      </c>
      <c r="AX51" s="49">
        <v>0</v>
      </c>
      <c r="AY51" s="49">
        <v>0</v>
      </c>
      <c r="AZ51" s="49">
        <v>522081</v>
      </c>
      <c r="BA51" s="49">
        <v>4660032</v>
      </c>
    </row>
    <row r="52" spans="2:53" ht="15" customHeight="1" x14ac:dyDescent="0.45">
      <c r="B52" s="7" t="s">
        <v>365</v>
      </c>
      <c r="C52" s="49">
        <v>-537</v>
      </c>
      <c r="D52" s="49">
        <v>-6948</v>
      </c>
      <c r="E52" s="49">
        <v>-4701.0050000000001</v>
      </c>
      <c r="F52" s="49">
        <v>-20391.112000000001</v>
      </c>
      <c r="G52" s="49">
        <v>-38201.574999999997</v>
      </c>
      <c r="H52" s="49">
        <v>-53355.574999999997</v>
      </c>
      <c r="I52" s="49">
        <v>-589716</v>
      </c>
      <c r="J52" s="49">
        <v>-175226</v>
      </c>
      <c r="K52" s="49">
        <v>-28066.034520000005</v>
      </c>
      <c r="L52" s="49">
        <v>46942</v>
      </c>
      <c r="M52" s="49">
        <v>-142229</v>
      </c>
      <c r="N52" s="49">
        <v>-86741</v>
      </c>
      <c r="O52" s="49">
        <v>-63776</v>
      </c>
      <c r="P52" s="49">
        <v>-371647</v>
      </c>
      <c r="Q52" s="49">
        <v>41086</v>
      </c>
      <c r="R52" s="74">
        <v>-1668125</v>
      </c>
      <c r="S52" s="7">
        <v>0</v>
      </c>
      <c r="T52" s="49">
        <v>0</v>
      </c>
      <c r="U52" s="49">
        <v>0</v>
      </c>
      <c r="V52" s="49">
        <v>1473133</v>
      </c>
      <c r="W52" s="49">
        <v>0</v>
      </c>
      <c r="X52" s="49">
        <v>0</v>
      </c>
      <c r="Y52" s="49">
        <v>0</v>
      </c>
      <c r="AA52" s="49">
        <v>-4701.0050000000001</v>
      </c>
      <c r="AB52" s="49">
        <v>-15690.107</v>
      </c>
      <c r="AC52" s="49">
        <v>-17810.462999999996</v>
      </c>
      <c r="AD52" s="49">
        <v>-15154</v>
      </c>
      <c r="AE52" s="49">
        <v>-589716</v>
      </c>
      <c r="AF52" s="49">
        <v>414490</v>
      </c>
      <c r="AG52" s="49">
        <v>147159.96547999998</v>
      </c>
      <c r="AH52" s="49">
        <v>75008.034520000001</v>
      </c>
      <c r="AI52" s="49">
        <v>-142229</v>
      </c>
      <c r="AJ52" s="49">
        <v>55488</v>
      </c>
      <c r="AK52" s="49">
        <v>22965</v>
      </c>
      <c r="AL52" s="49">
        <v>-307871</v>
      </c>
      <c r="AM52" s="49">
        <v>41086</v>
      </c>
      <c r="AN52" s="49">
        <v>-1709211</v>
      </c>
      <c r="AO52" s="49">
        <v>1668125</v>
      </c>
      <c r="AP52" s="49">
        <v>0</v>
      </c>
      <c r="AQ52" s="49">
        <v>0</v>
      </c>
      <c r="AR52" s="49">
        <v>1473133</v>
      </c>
      <c r="AS52" s="49">
        <v>2336325</v>
      </c>
      <c r="AT52" s="49">
        <v>0</v>
      </c>
      <c r="AU52" s="49">
        <v>0</v>
      </c>
      <c r="AW52" s="49">
        <v>-46407.574999999997</v>
      </c>
      <c r="AX52" s="49">
        <v>100297.575</v>
      </c>
      <c r="AY52" s="49">
        <v>-418589</v>
      </c>
      <c r="AZ52" s="49">
        <v>371647</v>
      </c>
      <c r="BA52" s="49">
        <v>0</v>
      </c>
    </row>
    <row r="53" spans="2:53" ht="15" customHeight="1" x14ac:dyDescent="0.45">
      <c r="B53" s="7" t="s">
        <v>266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-9918</v>
      </c>
      <c r="I53" s="49">
        <v>0</v>
      </c>
      <c r="J53" s="49">
        <v>3659</v>
      </c>
      <c r="K53" s="49">
        <v>5165.8732199999986</v>
      </c>
      <c r="L53" s="49">
        <v>4742</v>
      </c>
      <c r="M53" s="49">
        <v>-848</v>
      </c>
      <c r="N53" s="49">
        <v>-1238</v>
      </c>
      <c r="O53" s="49">
        <v>-2301</v>
      </c>
      <c r="P53" s="49">
        <v>-2724</v>
      </c>
      <c r="Q53" s="49">
        <v>213</v>
      </c>
      <c r="R53" s="74">
        <v>-10666</v>
      </c>
      <c r="S53" s="7">
        <v>0</v>
      </c>
      <c r="T53" s="49">
        <v>0</v>
      </c>
      <c r="U53" s="49">
        <v>0</v>
      </c>
      <c r="V53" s="49">
        <v>0</v>
      </c>
      <c r="W53" s="49">
        <v>0</v>
      </c>
      <c r="X53" s="49">
        <v>0</v>
      </c>
      <c r="Y53" s="49">
        <v>0</v>
      </c>
      <c r="AA53" s="49">
        <v>0</v>
      </c>
      <c r="AB53" s="49">
        <v>0</v>
      </c>
      <c r="AC53" s="49">
        <v>0</v>
      </c>
      <c r="AD53" s="49">
        <v>-9918</v>
      </c>
      <c r="AE53" s="49">
        <v>0</v>
      </c>
      <c r="AF53" s="49">
        <v>3659</v>
      </c>
      <c r="AG53" s="49">
        <v>1506.8732199999986</v>
      </c>
      <c r="AH53" s="49">
        <v>-423.87321999999858</v>
      </c>
      <c r="AI53" s="49">
        <v>-848</v>
      </c>
      <c r="AJ53" s="49">
        <v>-390</v>
      </c>
      <c r="AK53" s="49">
        <v>-1063</v>
      </c>
      <c r="AL53" s="49">
        <v>-423</v>
      </c>
      <c r="AM53" s="49">
        <v>213</v>
      </c>
      <c r="AN53" s="49">
        <v>-10879</v>
      </c>
      <c r="AO53" s="49">
        <v>10666</v>
      </c>
      <c r="AP53" s="49">
        <v>0</v>
      </c>
      <c r="AQ53" s="49">
        <v>0</v>
      </c>
      <c r="AR53" s="49">
        <v>0</v>
      </c>
      <c r="AS53" s="49">
        <v>0</v>
      </c>
      <c r="AT53" s="49">
        <v>0</v>
      </c>
      <c r="AU53" s="49">
        <v>0</v>
      </c>
      <c r="AW53" s="49">
        <v>-9918</v>
      </c>
      <c r="AX53" s="49">
        <v>14660</v>
      </c>
      <c r="AY53" s="49">
        <v>-7466</v>
      </c>
      <c r="AZ53" s="49">
        <v>2724</v>
      </c>
      <c r="BA53" s="49">
        <v>0</v>
      </c>
    </row>
    <row r="54" spans="2:53" ht="15" customHeight="1" x14ac:dyDescent="0.45">
      <c r="B54" s="7" t="s">
        <v>267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-77</v>
      </c>
      <c r="K54" s="49">
        <v>-79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74">
        <v>0</v>
      </c>
      <c r="S54" s="7">
        <v>0</v>
      </c>
      <c r="T54" s="49">
        <v>0</v>
      </c>
      <c r="U54" s="49">
        <v>0</v>
      </c>
      <c r="V54" s="49">
        <v>0</v>
      </c>
      <c r="W54" s="49">
        <v>0</v>
      </c>
      <c r="X54" s="49">
        <v>0</v>
      </c>
      <c r="Y54" s="49">
        <v>0</v>
      </c>
      <c r="AA54" s="49">
        <v>0</v>
      </c>
      <c r="AB54" s="49">
        <v>0</v>
      </c>
      <c r="AC54" s="49">
        <v>0</v>
      </c>
      <c r="AD54" s="49">
        <v>0</v>
      </c>
      <c r="AE54" s="49">
        <v>0</v>
      </c>
      <c r="AF54" s="49">
        <v>0</v>
      </c>
      <c r="AG54" s="49">
        <v>0</v>
      </c>
      <c r="AH54" s="49">
        <v>0</v>
      </c>
      <c r="AI54" s="49">
        <v>0</v>
      </c>
      <c r="AJ54" s="49">
        <v>0</v>
      </c>
      <c r="AK54" s="49">
        <v>0</v>
      </c>
      <c r="AL54" s="49">
        <v>0</v>
      </c>
      <c r="AM54" s="49">
        <v>0</v>
      </c>
      <c r="AN54" s="49">
        <v>0</v>
      </c>
      <c r="AO54" s="49">
        <v>0</v>
      </c>
      <c r="AP54" s="49">
        <v>0</v>
      </c>
      <c r="AQ54" s="49">
        <v>0</v>
      </c>
      <c r="AR54" s="49">
        <v>0</v>
      </c>
      <c r="AS54" s="49">
        <v>0</v>
      </c>
      <c r="AT54" s="49">
        <v>0</v>
      </c>
      <c r="AU54" s="49">
        <v>0</v>
      </c>
      <c r="AW54" s="49">
        <v>0</v>
      </c>
      <c r="AX54" s="49">
        <v>0</v>
      </c>
      <c r="AY54" s="49">
        <v>0</v>
      </c>
      <c r="AZ54" s="49">
        <v>0</v>
      </c>
      <c r="BA54" s="49">
        <v>0</v>
      </c>
    </row>
    <row r="55" spans="2:53" ht="14.25" customHeight="1" x14ac:dyDescent="0.45">
      <c r="B55" s="5" t="s">
        <v>390</v>
      </c>
      <c r="C55" s="33">
        <v>-344629</v>
      </c>
      <c r="D55" s="33">
        <v>-244045</v>
      </c>
      <c r="E55" s="33">
        <v>-306110.34987825097</v>
      </c>
      <c r="F55" s="33">
        <v>-691820.60991810996</v>
      </c>
      <c r="G55" s="33">
        <v>-1057318.59134215</v>
      </c>
      <c r="H55" s="33">
        <v>-1335063.0754199999</v>
      </c>
      <c r="I55" s="33">
        <v>-808702.13901000004</v>
      </c>
      <c r="J55" s="33">
        <v>-556845.44506497378</v>
      </c>
      <c r="K55" s="33">
        <v>-3289692.1260679178</v>
      </c>
      <c r="L55" s="33">
        <v>-3651478</v>
      </c>
      <c r="M55" s="33">
        <v>-279913</v>
      </c>
      <c r="N55" s="33">
        <v>-347185</v>
      </c>
      <c r="O55" s="33">
        <v>-714914.52380952379</v>
      </c>
      <c r="P55" s="33">
        <v>-1365874</v>
      </c>
      <c r="Q55" s="33">
        <v>-102496</v>
      </c>
      <c r="R55" s="33">
        <v>-1980369</v>
      </c>
      <c r="S55" s="33">
        <v>-1949488</v>
      </c>
      <c r="T55" s="33">
        <v>-2032513.4057200002</v>
      </c>
      <c r="U55" s="33">
        <v>549874</v>
      </c>
      <c r="V55" s="33">
        <v>1092013</v>
      </c>
      <c r="W55" s="33">
        <v>1751388</v>
      </c>
      <c r="X55" s="33">
        <v>3169766</v>
      </c>
      <c r="Y55" s="33">
        <v>322235</v>
      </c>
      <c r="AA55" s="70">
        <v>-306110.34987825097</v>
      </c>
      <c r="AB55" s="70">
        <v>-385710.26003985904</v>
      </c>
      <c r="AC55" s="70">
        <v>-365497.98142403999</v>
      </c>
      <c r="AD55" s="70">
        <v>-277744.48407785007</v>
      </c>
      <c r="AE55" s="70">
        <v>-808702.13901000004</v>
      </c>
      <c r="AF55" s="70">
        <v>251933.69394502623</v>
      </c>
      <c r="AG55" s="70">
        <v>-2732844.6810029438</v>
      </c>
      <c r="AH55" s="70">
        <v>-361864.8739320825</v>
      </c>
      <c r="AI55" s="70">
        <v>-279913</v>
      </c>
      <c r="AJ55" s="70">
        <v>-67272</v>
      </c>
      <c r="AK55" s="70">
        <v>-367729.52380952385</v>
      </c>
      <c r="AL55" s="70">
        <v>-650959.47619047621</v>
      </c>
      <c r="AM55" s="70">
        <v>-102496</v>
      </c>
      <c r="AN55" s="70">
        <v>-1877873</v>
      </c>
      <c r="AO55" s="70">
        <v>30881</v>
      </c>
      <c r="AP55" s="70">
        <v>1820924.2214799998</v>
      </c>
      <c r="AQ55" s="70">
        <v>495844</v>
      </c>
      <c r="AR55" s="70">
        <v>596169</v>
      </c>
      <c r="AS55" s="70">
        <v>2350922</v>
      </c>
      <c r="AT55" s="70">
        <v>1418378</v>
      </c>
      <c r="AU55" s="70">
        <v>322235</v>
      </c>
      <c r="AW55" s="70">
        <v>-1091018.0754199999</v>
      </c>
      <c r="AX55" s="70">
        <v>-2319126.7318299995</v>
      </c>
      <c r="AY55" s="70">
        <v>2285604</v>
      </c>
      <c r="AZ55" s="70">
        <v>-666639.40572000016</v>
      </c>
      <c r="BA55" s="70">
        <v>5202279.4057200002</v>
      </c>
    </row>
    <row r="56" spans="2:53" ht="14.25" customHeight="1" x14ac:dyDescent="0.45">
      <c r="B56" s="5" t="s">
        <v>181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0</v>
      </c>
      <c r="AA56" s="33">
        <v>0</v>
      </c>
      <c r="AB56" s="33">
        <v>0</v>
      </c>
      <c r="AC56" s="33">
        <v>0</v>
      </c>
      <c r="AD56" s="33">
        <v>0</v>
      </c>
      <c r="AE56" s="33">
        <v>0</v>
      </c>
      <c r="AF56" s="33">
        <v>0</v>
      </c>
      <c r="AG56" s="33">
        <v>0</v>
      </c>
      <c r="AH56" s="33">
        <v>0</v>
      </c>
      <c r="AI56" s="33">
        <v>0</v>
      </c>
      <c r="AJ56" s="33">
        <v>0</v>
      </c>
      <c r="AK56">
        <v>0</v>
      </c>
      <c r="AL56">
        <v>0</v>
      </c>
      <c r="AM56">
        <v>0</v>
      </c>
      <c r="AN56" s="33">
        <v>0</v>
      </c>
      <c r="AO56" s="33">
        <v>0</v>
      </c>
      <c r="AP56" s="33">
        <v>0</v>
      </c>
      <c r="AQ56" s="33">
        <v>0</v>
      </c>
      <c r="AR56" s="33">
        <v>0</v>
      </c>
      <c r="AS56" s="33">
        <v>0</v>
      </c>
      <c r="AT56" s="33">
        <v>0</v>
      </c>
      <c r="AU56" s="33">
        <v>0</v>
      </c>
      <c r="AW56" s="33">
        <v>0</v>
      </c>
      <c r="AX56" s="33">
        <v>0</v>
      </c>
      <c r="AY56" s="33">
        <v>0</v>
      </c>
      <c r="AZ56" s="33">
        <v>0</v>
      </c>
      <c r="BA56" s="33">
        <v>0</v>
      </c>
    </row>
    <row r="57" spans="2:53" ht="14.25" customHeight="1" x14ac:dyDescent="0.45">
      <c r="B57" s="7" t="s">
        <v>338</v>
      </c>
      <c r="C57" s="49">
        <v>280224</v>
      </c>
      <c r="D57" s="49">
        <v>257821</v>
      </c>
      <c r="E57" s="49">
        <v>296603.58</v>
      </c>
      <c r="F57" s="49">
        <v>844272.08</v>
      </c>
      <c r="G57" s="49">
        <v>1341886.486</v>
      </c>
      <c r="H57" s="49">
        <v>1833282</v>
      </c>
      <c r="I57" s="49">
        <v>575453</v>
      </c>
      <c r="J57" s="49">
        <v>671185.772</v>
      </c>
      <c r="K57" s="49">
        <v>6368059.33005</v>
      </c>
      <c r="L57" s="49">
        <v>6963799</v>
      </c>
      <c r="M57" s="49">
        <v>80000</v>
      </c>
      <c r="N57" s="49">
        <v>820848</v>
      </c>
      <c r="O57" s="49">
        <v>1319440</v>
      </c>
      <c r="P57" s="49">
        <v>2627332</v>
      </c>
      <c r="Q57" s="49">
        <v>1294711</v>
      </c>
      <c r="R57" s="74">
        <v>3184638</v>
      </c>
      <c r="S57" s="7">
        <v>3311587</v>
      </c>
      <c r="T57" s="49">
        <v>4199271</v>
      </c>
      <c r="U57" s="49">
        <v>2330852</v>
      </c>
      <c r="V57" s="49">
        <v>2408825</v>
      </c>
      <c r="W57" s="49">
        <v>3696923</v>
      </c>
      <c r="X57" s="49">
        <v>7530453</v>
      </c>
      <c r="Y57" s="49">
        <v>71669</v>
      </c>
      <c r="AA57" s="49">
        <v>296603.58</v>
      </c>
      <c r="AB57" s="49">
        <v>547668.5</v>
      </c>
      <c r="AC57" s="49">
        <v>497614.40600000008</v>
      </c>
      <c r="AD57" s="49">
        <v>491395.51399999997</v>
      </c>
      <c r="AE57" s="49">
        <v>575453</v>
      </c>
      <c r="AF57" s="49">
        <v>95732.771999999997</v>
      </c>
      <c r="AG57" s="49">
        <v>5696873.5580500001</v>
      </c>
      <c r="AH57" s="49">
        <v>595739.66995000001</v>
      </c>
      <c r="AI57" s="49">
        <v>80000</v>
      </c>
      <c r="AJ57" s="49">
        <v>740848</v>
      </c>
      <c r="AK57" s="49">
        <v>498592</v>
      </c>
      <c r="AL57" s="49">
        <v>1307892</v>
      </c>
      <c r="AM57" s="49">
        <v>1294711</v>
      </c>
      <c r="AN57" s="49">
        <v>1889927</v>
      </c>
      <c r="AO57" s="49">
        <v>126949</v>
      </c>
      <c r="AP57" s="49">
        <v>887684</v>
      </c>
      <c r="AQ57" s="49">
        <v>2330852</v>
      </c>
      <c r="AR57" s="49">
        <v>77973</v>
      </c>
      <c r="AS57" s="49">
        <v>0</v>
      </c>
      <c r="AT57" s="49">
        <v>3833530</v>
      </c>
      <c r="AU57" s="49">
        <v>71669</v>
      </c>
      <c r="AV57" s="105"/>
      <c r="AW57" s="49">
        <v>1575461</v>
      </c>
      <c r="AX57" s="49">
        <v>5130517</v>
      </c>
      <c r="AY57" s="49">
        <v>-4336467</v>
      </c>
      <c r="AZ57" s="49">
        <v>1571939</v>
      </c>
      <c r="BA57" s="49">
        <v>3331182</v>
      </c>
    </row>
    <row r="58" spans="2:53" ht="13.5" customHeight="1" x14ac:dyDescent="0.45">
      <c r="B58" s="7" t="s">
        <v>366</v>
      </c>
      <c r="C58" s="49">
        <v>-2000</v>
      </c>
      <c r="D58" s="49">
        <v>-28581</v>
      </c>
      <c r="E58" s="49">
        <v>-36624.249000000003</v>
      </c>
      <c r="F58" s="49">
        <v>-39624.249000000003</v>
      </c>
      <c r="G58" s="49">
        <v>-46390.555</v>
      </c>
      <c r="H58" s="49">
        <v>-68291</v>
      </c>
      <c r="I58" s="49">
        <v>-194624</v>
      </c>
      <c r="J58" s="49">
        <v>-325700.30429</v>
      </c>
      <c r="K58" s="49">
        <v>-2279823</v>
      </c>
      <c r="L58" s="49">
        <v>-2690840</v>
      </c>
      <c r="M58" s="49">
        <v>-159130</v>
      </c>
      <c r="N58" s="49">
        <v>-180340</v>
      </c>
      <c r="O58" s="49">
        <v>-194630</v>
      </c>
      <c r="P58" s="49">
        <v>-657047</v>
      </c>
      <c r="Q58" s="49">
        <v>-520174</v>
      </c>
      <c r="R58" s="74">
        <v>-842938.508161376</v>
      </c>
      <c r="S58" s="49">
        <v>-1300740</v>
      </c>
      <c r="T58" s="49">
        <v>-1589516</v>
      </c>
      <c r="U58" s="49">
        <v>-2191672</v>
      </c>
      <c r="V58" s="49">
        <v>-3720180</v>
      </c>
      <c r="W58" s="49">
        <v>-5413804</v>
      </c>
      <c r="X58" s="49">
        <v>-9159939</v>
      </c>
      <c r="Y58" s="49">
        <v>-259144</v>
      </c>
      <c r="AA58" s="49">
        <v>-36624.249000000003</v>
      </c>
      <c r="AB58" s="49">
        <v>-3000</v>
      </c>
      <c r="AC58" s="49">
        <v>-6766.3059999999969</v>
      </c>
      <c r="AD58" s="49">
        <v>-21900.445</v>
      </c>
      <c r="AE58" s="49">
        <v>-194624</v>
      </c>
      <c r="AF58" s="49">
        <v>-131076.30429</v>
      </c>
      <c r="AG58" s="49">
        <v>-1954122.6957100001</v>
      </c>
      <c r="AH58" s="49">
        <v>-411017</v>
      </c>
      <c r="AI58" s="49">
        <v>-159130</v>
      </c>
      <c r="AJ58" s="49">
        <v>-21210</v>
      </c>
      <c r="AK58" s="49">
        <v>-14290</v>
      </c>
      <c r="AL58" s="49">
        <v>-462417</v>
      </c>
      <c r="AM58" s="49">
        <v>-520174</v>
      </c>
      <c r="AN58" s="49">
        <v>-322764.508161376</v>
      </c>
      <c r="AO58" s="49">
        <v>-457801.491838624</v>
      </c>
      <c r="AP58" s="49">
        <v>-288776</v>
      </c>
      <c r="AQ58" s="49">
        <v>-2191672</v>
      </c>
      <c r="AR58" s="49">
        <v>-1528508</v>
      </c>
      <c r="AS58" s="49">
        <v>659375</v>
      </c>
      <c r="AT58" s="49">
        <v>-3746135</v>
      </c>
      <c r="AU58" s="49">
        <v>-259144</v>
      </c>
      <c r="AW58" s="49">
        <v>-39710</v>
      </c>
      <c r="AX58" s="49">
        <v>-2622549</v>
      </c>
      <c r="AY58" s="49">
        <v>2033793</v>
      </c>
      <c r="AZ58" s="49">
        <v>-932469</v>
      </c>
      <c r="BA58" s="49">
        <v>-7570423</v>
      </c>
    </row>
    <row r="59" spans="2:53" ht="13.5" customHeight="1" x14ac:dyDescent="0.45">
      <c r="B59" s="7" t="s">
        <v>269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74">
        <v>0</v>
      </c>
      <c r="S59" s="7">
        <v>0</v>
      </c>
      <c r="T59" s="49">
        <v>0</v>
      </c>
      <c r="U59" s="49">
        <v>-521391</v>
      </c>
      <c r="V59" s="49">
        <v>0</v>
      </c>
      <c r="W59" s="49">
        <v>0</v>
      </c>
      <c r="X59" s="49">
        <v>0</v>
      </c>
      <c r="Y59" s="49">
        <v>0</v>
      </c>
      <c r="AA59" s="49">
        <v>0</v>
      </c>
      <c r="AB59" s="49">
        <v>0</v>
      </c>
      <c r="AC59" s="49">
        <v>0</v>
      </c>
      <c r="AD59" s="49">
        <v>0</v>
      </c>
      <c r="AE59" s="49">
        <v>0</v>
      </c>
      <c r="AF59" s="49">
        <v>0</v>
      </c>
      <c r="AG59" s="49">
        <v>0</v>
      </c>
      <c r="AH59" s="49">
        <v>0</v>
      </c>
      <c r="AI59" s="49">
        <v>0</v>
      </c>
      <c r="AJ59" s="49">
        <v>0</v>
      </c>
      <c r="AK59" s="49">
        <v>0</v>
      </c>
      <c r="AL59" s="49">
        <v>0</v>
      </c>
      <c r="AM59" s="49">
        <v>0</v>
      </c>
      <c r="AN59" s="49">
        <v>0</v>
      </c>
      <c r="AO59" s="49">
        <v>0</v>
      </c>
      <c r="AP59" s="49">
        <v>0</v>
      </c>
      <c r="AQ59" s="49">
        <v>-521391</v>
      </c>
      <c r="AR59" s="49">
        <v>521391</v>
      </c>
      <c r="AS59" s="49">
        <v>0</v>
      </c>
      <c r="AT59" s="49">
        <v>0</v>
      </c>
      <c r="AU59" s="49">
        <v>0</v>
      </c>
      <c r="AW59" s="49">
        <v>0</v>
      </c>
      <c r="AX59" s="49">
        <v>0</v>
      </c>
      <c r="AY59" s="49">
        <v>0</v>
      </c>
      <c r="AZ59" s="49">
        <v>0</v>
      </c>
      <c r="BA59" s="49">
        <v>0</v>
      </c>
    </row>
    <row r="60" spans="2:53" ht="13.5" customHeight="1" x14ac:dyDescent="0.45">
      <c r="B60" s="7" t="s">
        <v>367</v>
      </c>
      <c r="C60" s="49">
        <v>0</v>
      </c>
      <c r="D60" s="49">
        <v>-16031</v>
      </c>
      <c r="E60" s="49">
        <v>0</v>
      </c>
      <c r="F60" s="49">
        <v>0</v>
      </c>
      <c r="G60" s="49">
        <v>0</v>
      </c>
      <c r="H60" s="49">
        <v>-31318</v>
      </c>
      <c r="I60" s="49">
        <v>0</v>
      </c>
      <c r="J60" s="49">
        <v>0</v>
      </c>
      <c r="K60" s="49">
        <v>0</v>
      </c>
      <c r="L60" s="49">
        <v>0</v>
      </c>
      <c r="M60" s="49">
        <v>-254275</v>
      </c>
      <c r="N60" s="49">
        <v>-513720</v>
      </c>
      <c r="O60" s="49">
        <v>-856023</v>
      </c>
      <c r="P60" s="49">
        <v>-1143720</v>
      </c>
      <c r="Q60" s="49">
        <v>-377500</v>
      </c>
      <c r="R60" s="74">
        <v>-702500</v>
      </c>
      <c r="S60" s="7">
        <v>-712900</v>
      </c>
      <c r="T60" s="49">
        <v>-712900</v>
      </c>
      <c r="U60" s="49">
        <v>-645384</v>
      </c>
      <c r="V60" s="49">
        <v>-645384</v>
      </c>
      <c r="W60" s="49">
        <v>-665909</v>
      </c>
      <c r="X60" s="49">
        <v>-665909</v>
      </c>
      <c r="Y60" s="49">
        <v>0</v>
      </c>
      <c r="AA60" s="49">
        <v>0</v>
      </c>
      <c r="AB60" s="49">
        <v>0</v>
      </c>
      <c r="AC60" s="49">
        <v>0</v>
      </c>
      <c r="AD60" s="49">
        <v>-31318</v>
      </c>
      <c r="AE60" s="49">
        <v>0</v>
      </c>
      <c r="AF60" s="49">
        <v>0</v>
      </c>
      <c r="AG60" s="49">
        <v>0</v>
      </c>
      <c r="AH60" s="49">
        <v>0</v>
      </c>
      <c r="AI60" s="49">
        <v>-254275</v>
      </c>
      <c r="AJ60" s="49">
        <v>-259445</v>
      </c>
      <c r="AK60" s="49">
        <v>-342303</v>
      </c>
      <c r="AL60" s="49">
        <v>-287697</v>
      </c>
      <c r="AM60" s="49">
        <v>-377500</v>
      </c>
      <c r="AN60" s="49">
        <v>-325000</v>
      </c>
      <c r="AO60" s="49">
        <v>-10400</v>
      </c>
      <c r="AP60" s="49">
        <v>0</v>
      </c>
      <c r="AQ60" s="49">
        <v>-645384</v>
      </c>
      <c r="AR60" s="49">
        <v>0</v>
      </c>
      <c r="AS60" s="49">
        <v>1288098</v>
      </c>
      <c r="AT60" s="49">
        <v>0</v>
      </c>
      <c r="AU60" s="49">
        <v>0</v>
      </c>
      <c r="AW60" s="49">
        <v>-15287</v>
      </c>
      <c r="AX60" s="49">
        <v>31318</v>
      </c>
      <c r="AY60" s="49">
        <v>-1143720</v>
      </c>
      <c r="AZ60" s="49">
        <v>430820</v>
      </c>
      <c r="BA60" s="49">
        <v>46991</v>
      </c>
    </row>
    <row r="61" spans="2:53" ht="13.5" customHeight="1" x14ac:dyDescent="0.45">
      <c r="B61" s="7" t="s">
        <v>339</v>
      </c>
      <c r="C61" s="49">
        <v>35368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-693</v>
      </c>
      <c r="J61" s="49">
        <v>-693</v>
      </c>
      <c r="K61" s="49">
        <v>-4193</v>
      </c>
      <c r="L61" s="49">
        <v>-4725</v>
      </c>
      <c r="M61" s="49">
        <v>-893</v>
      </c>
      <c r="N61" s="49">
        <v>-2538</v>
      </c>
      <c r="O61" s="49">
        <v>-5061</v>
      </c>
      <c r="P61" s="49">
        <v>-14729</v>
      </c>
      <c r="Q61" s="49">
        <v>-11519</v>
      </c>
      <c r="R61" s="74">
        <v>-12389</v>
      </c>
      <c r="S61" s="7">
        <v>-16836</v>
      </c>
      <c r="T61" s="49">
        <v>-22418</v>
      </c>
      <c r="U61" s="49">
        <v>-19262</v>
      </c>
      <c r="V61" s="49">
        <v>-43404</v>
      </c>
      <c r="W61" s="49">
        <v>-62299</v>
      </c>
      <c r="X61" s="49">
        <v>-96727</v>
      </c>
      <c r="Y61" s="49">
        <v>-11587</v>
      </c>
      <c r="AA61" s="49">
        <v>0</v>
      </c>
      <c r="AB61" s="49">
        <v>0</v>
      </c>
      <c r="AC61" s="49">
        <v>0</v>
      </c>
      <c r="AD61" s="49">
        <v>0</v>
      </c>
      <c r="AE61" s="49">
        <v>-693</v>
      </c>
      <c r="AF61" s="49">
        <v>0</v>
      </c>
      <c r="AG61" s="49">
        <v>-3500</v>
      </c>
      <c r="AH61" s="49">
        <v>-532</v>
      </c>
      <c r="AI61" s="49">
        <v>-893</v>
      </c>
      <c r="AJ61" s="49">
        <v>-1645</v>
      </c>
      <c r="AK61" s="49">
        <v>-2523</v>
      </c>
      <c r="AL61" s="49">
        <v>-9668</v>
      </c>
      <c r="AM61" s="49">
        <v>-11519</v>
      </c>
      <c r="AN61" s="49">
        <v>-870</v>
      </c>
      <c r="AO61" s="49">
        <v>-4447</v>
      </c>
      <c r="AP61" s="49">
        <v>-5582</v>
      </c>
      <c r="AQ61" s="49">
        <v>-19262</v>
      </c>
      <c r="AR61" s="49">
        <v>-24142</v>
      </c>
      <c r="AS61" s="49">
        <v>-1693624</v>
      </c>
      <c r="AT61" s="49">
        <v>-34428</v>
      </c>
      <c r="AU61" s="49">
        <v>-11587</v>
      </c>
      <c r="AW61" s="49">
        <v>0</v>
      </c>
      <c r="AX61" s="49">
        <v>-4725</v>
      </c>
      <c r="AY61" s="49">
        <v>-10004</v>
      </c>
      <c r="AZ61" s="49">
        <v>-7689</v>
      </c>
      <c r="BA61" s="49">
        <v>-74309</v>
      </c>
    </row>
    <row r="62" spans="2:53" ht="13.5" customHeight="1" x14ac:dyDescent="0.45">
      <c r="B62" s="7" t="s">
        <v>270</v>
      </c>
      <c r="C62" s="49">
        <v>5026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4504</v>
      </c>
      <c r="L62" s="49">
        <v>4425</v>
      </c>
      <c r="M62" s="49">
        <v>0</v>
      </c>
      <c r="N62" s="49">
        <v>0</v>
      </c>
      <c r="O62" s="49">
        <v>0</v>
      </c>
      <c r="P62" s="49">
        <v>0</v>
      </c>
      <c r="Q62" s="49">
        <v>37</v>
      </c>
      <c r="R62" s="74">
        <v>194.93987730238587</v>
      </c>
      <c r="S62" s="7">
        <v>4731</v>
      </c>
      <c r="T62" s="49">
        <v>4731</v>
      </c>
      <c r="U62" s="49">
        <v>47</v>
      </c>
      <c r="V62" s="49">
        <v>47</v>
      </c>
      <c r="W62" s="49">
        <v>46</v>
      </c>
      <c r="X62" s="49">
        <v>46</v>
      </c>
      <c r="Y62" s="49">
        <v>0</v>
      </c>
      <c r="AA62" s="49">
        <v>0</v>
      </c>
      <c r="AB62" s="49">
        <v>0</v>
      </c>
      <c r="AC62" s="49">
        <v>0</v>
      </c>
      <c r="AD62" s="49">
        <v>0</v>
      </c>
      <c r="AE62" s="49">
        <v>0</v>
      </c>
      <c r="AF62" s="49">
        <v>0</v>
      </c>
      <c r="AG62" s="49">
        <v>4504</v>
      </c>
      <c r="AH62" s="49">
        <v>-79</v>
      </c>
      <c r="AI62" s="49">
        <v>0</v>
      </c>
      <c r="AJ62" s="49">
        <v>0</v>
      </c>
      <c r="AK62" s="49">
        <v>0</v>
      </c>
      <c r="AL62" s="49">
        <v>0</v>
      </c>
      <c r="AM62" s="49">
        <v>37</v>
      </c>
      <c r="AN62" s="49">
        <v>157.93987730238587</v>
      </c>
      <c r="AO62" s="49">
        <v>4536.0601226976141</v>
      </c>
      <c r="AP62" s="49">
        <v>0</v>
      </c>
      <c r="AQ62" s="49">
        <v>47</v>
      </c>
      <c r="AR62" s="49">
        <v>0</v>
      </c>
      <c r="AS62" s="49">
        <v>0</v>
      </c>
      <c r="AT62" s="49">
        <v>0</v>
      </c>
      <c r="AU62" s="49">
        <v>0</v>
      </c>
      <c r="AW62" s="49">
        <v>0</v>
      </c>
      <c r="AX62" s="49">
        <v>0</v>
      </c>
      <c r="AY62" s="49">
        <v>0</v>
      </c>
      <c r="AZ62" s="49">
        <v>4731</v>
      </c>
      <c r="BA62" s="49">
        <v>-4685</v>
      </c>
    </row>
    <row r="63" spans="2:53" ht="14.25" customHeight="1" x14ac:dyDescent="0.45">
      <c r="B63" s="7" t="s">
        <v>368</v>
      </c>
      <c r="C63" s="49">
        <v>22660</v>
      </c>
      <c r="D63" s="49">
        <v>0</v>
      </c>
      <c r="E63" s="49">
        <v>-11744.802</v>
      </c>
      <c r="F63" s="49">
        <v>0</v>
      </c>
      <c r="G63" s="49">
        <v>-170.41500000000087</v>
      </c>
      <c r="H63" s="49">
        <v>0</v>
      </c>
      <c r="I63" s="49">
        <v>1273</v>
      </c>
      <c r="J63" s="49">
        <v>0</v>
      </c>
      <c r="K63" s="49">
        <v>-1314.5032500000016</v>
      </c>
      <c r="L63" s="49">
        <v>-1410</v>
      </c>
      <c r="M63" s="49">
        <v>-37758</v>
      </c>
      <c r="N63" s="49">
        <v>98</v>
      </c>
      <c r="O63" s="49">
        <v>-82461</v>
      </c>
      <c r="P63" s="49">
        <v>-103236</v>
      </c>
      <c r="Q63" s="49">
        <v>-272182</v>
      </c>
      <c r="R63" s="74">
        <v>-286488</v>
      </c>
      <c r="S63" s="7">
        <v>-521961</v>
      </c>
      <c r="T63" s="49">
        <v>-529481</v>
      </c>
      <c r="U63" s="49">
        <v>-251659</v>
      </c>
      <c r="V63" s="49">
        <v>-251701</v>
      </c>
      <c r="W63" s="49">
        <v>-486181</v>
      </c>
      <c r="X63" s="49">
        <v>-519092</v>
      </c>
      <c r="Y63" s="49">
        <v>-51220</v>
      </c>
      <c r="AA63" s="49">
        <v>-11744.802</v>
      </c>
      <c r="AB63" s="49">
        <v>11744.802</v>
      </c>
      <c r="AC63" s="49">
        <v>-170.41500000000087</v>
      </c>
      <c r="AD63" s="49">
        <v>170.41500000000087</v>
      </c>
      <c r="AE63" s="49">
        <v>1273</v>
      </c>
      <c r="AF63" s="49">
        <v>-1273</v>
      </c>
      <c r="AG63" s="49">
        <v>-1314.5032500000016</v>
      </c>
      <c r="AH63" s="49">
        <v>-95.496749999998428</v>
      </c>
      <c r="AI63" s="49">
        <v>-37758</v>
      </c>
      <c r="AJ63" s="49">
        <v>37856</v>
      </c>
      <c r="AK63" s="49">
        <v>-82559</v>
      </c>
      <c r="AL63" s="49">
        <v>-20775</v>
      </c>
      <c r="AM63" s="49">
        <v>-272182</v>
      </c>
      <c r="AN63" s="49">
        <v>-14306</v>
      </c>
      <c r="AO63" s="49">
        <v>-235473</v>
      </c>
      <c r="AP63" s="49">
        <v>-7520</v>
      </c>
      <c r="AQ63" s="49">
        <v>-251659</v>
      </c>
      <c r="AR63" s="49">
        <v>-42</v>
      </c>
      <c r="AS63" s="49">
        <v>-20525</v>
      </c>
      <c r="AT63" s="49">
        <v>-32911</v>
      </c>
      <c r="AU63" s="49">
        <v>-51220</v>
      </c>
      <c r="AW63" s="49">
        <v>0</v>
      </c>
      <c r="AX63" s="49">
        <v>-1410</v>
      </c>
      <c r="AY63" s="49">
        <v>-101826</v>
      </c>
      <c r="AZ63" s="49">
        <v>-426245</v>
      </c>
      <c r="BA63" s="49">
        <v>10389</v>
      </c>
    </row>
    <row r="64" spans="2:53" ht="13.5" customHeight="1" x14ac:dyDescent="0.45">
      <c r="B64" s="7" t="s">
        <v>268</v>
      </c>
      <c r="C64" s="49">
        <v>0</v>
      </c>
      <c r="D64" s="49">
        <v>-39591</v>
      </c>
      <c r="E64" s="49">
        <v>-4505.8090000000002</v>
      </c>
      <c r="F64" s="49">
        <v>-19048</v>
      </c>
      <c r="G64" s="49">
        <v>-48133.31</v>
      </c>
      <c r="H64" s="49">
        <v>-63602.681969999998</v>
      </c>
      <c r="I64" s="49">
        <v>0</v>
      </c>
      <c r="J64" s="49">
        <v>0</v>
      </c>
      <c r="K64" s="49">
        <v>-47586</v>
      </c>
      <c r="L64" s="49">
        <v>-48560</v>
      </c>
      <c r="M64" s="49">
        <v>0</v>
      </c>
      <c r="N64" s="49">
        <v>0</v>
      </c>
      <c r="O64" s="49">
        <v>0</v>
      </c>
      <c r="P64" s="49">
        <v>0</v>
      </c>
      <c r="Q64" s="49">
        <v>-27127</v>
      </c>
      <c r="R64" s="74">
        <v>0</v>
      </c>
      <c r="S64" s="7">
        <v>0</v>
      </c>
      <c r="T64" s="49">
        <v>0</v>
      </c>
      <c r="U64" s="49">
        <v>0</v>
      </c>
      <c r="V64" s="49">
        <v>0</v>
      </c>
      <c r="W64" s="49">
        <v>0</v>
      </c>
      <c r="X64" s="49">
        <v>-1</v>
      </c>
      <c r="Y64" s="49">
        <v>0</v>
      </c>
      <c r="AA64" s="49">
        <v>-4505.8090000000002</v>
      </c>
      <c r="AB64" s="49">
        <v>-14542.190999999999</v>
      </c>
      <c r="AC64" s="49">
        <v>-29085.309999999998</v>
      </c>
      <c r="AD64" s="49">
        <v>-15469.37197</v>
      </c>
      <c r="AE64" s="49">
        <v>0</v>
      </c>
      <c r="AF64" s="49">
        <v>0</v>
      </c>
      <c r="AG64" s="49">
        <v>-47586</v>
      </c>
      <c r="AH64" s="49">
        <v>-974</v>
      </c>
      <c r="AI64" s="49">
        <v>0</v>
      </c>
      <c r="AJ64" s="49">
        <v>0</v>
      </c>
      <c r="AK64" s="49">
        <v>0</v>
      </c>
      <c r="AL64" s="49">
        <v>0</v>
      </c>
      <c r="AM64" s="49">
        <v>-27127</v>
      </c>
      <c r="AN64" s="49">
        <v>27127</v>
      </c>
      <c r="AO64" s="49">
        <v>0</v>
      </c>
      <c r="AP64" s="49">
        <v>0</v>
      </c>
      <c r="AQ64" s="49">
        <v>0</v>
      </c>
      <c r="AR64" s="49">
        <v>0</v>
      </c>
      <c r="AS64" s="49">
        <v>-18895</v>
      </c>
      <c r="AT64" s="49">
        <v>-1</v>
      </c>
      <c r="AU64" s="49">
        <v>0</v>
      </c>
      <c r="AW64" s="49">
        <v>-24011.681969999998</v>
      </c>
      <c r="AX64" s="49">
        <v>15042.681969999998</v>
      </c>
      <c r="AY64" s="49">
        <v>48560</v>
      </c>
      <c r="AZ64" s="49">
        <v>0</v>
      </c>
      <c r="BA64" s="49">
        <v>-1</v>
      </c>
    </row>
    <row r="65" spans="2:53" ht="14.25" customHeight="1" x14ac:dyDescent="0.45">
      <c r="B65" s="5" t="s">
        <v>271</v>
      </c>
      <c r="C65" s="33">
        <v>341278</v>
      </c>
      <c r="D65" s="33">
        <v>173618</v>
      </c>
      <c r="E65" s="33">
        <v>243728.72</v>
      </c>
      <c r="F65" s="33">
        <v>785599.83100000001</v>
      </c>
      <c r="G65" s="33">
        <v>1247192.206</v>
      </c>
      <c r="H65" s="33">
        <v>1670070.31803</v>
      </c>
      <c r="I65" s="33">
        <v>381409</v>
      </c>
      <c r="J65" s="33">
        <v>344792.46771</v>
      </c>
      <c r="K65" s="33">
        <v>4039646.8267999999</v>
      </c>
      <c r="L65" s="33">
        <v>4222689</v>
      </c>
      <c r="M65" s="33">
        <v>-372056</v>
      </c>
      <c r="N65" s="33">
        <v>124348</v>
      </c>
      <c r="O65" s="33">
        <v>181265</v>
      </c>
      <c r="P65" s="33">
        <v>708600</v>
      </c>
      <c r="Q65" s="33">
        <v>86246</v>
      </c>
      <c r="R65" s="33">
        <v>1340517.4317159262</v>
      </c>
      <c r="S65" s="33">
        <v>763881</v>
      </c>
      <c r="T65" s="33">
        <v>1349687</v>
      </c>
      <c r="U65" s="33">
        <v>-1298469</v>
      </c>
      <c r="V65" s="33">
        <v>-2251797</v>
      </c>
      <c r="W65" s="33">
        <v>-2931224</v>
      </c>
      <c r="X65" s="33">
        <v>-2911169</v>
      </c>
      <c r="Y65" s="33">
        <v>-250282</v>
      </c>
      <c r="AA65" s="33">
        <v>243728.72</v>
      </c>
      <c r="AB65" s="33">
        <v>541871.11100000003</v>
      </c>
      <c r="AC65" s="33">
        <v>461592.37500000012</v>
      </c>
      <c r="AD65" s="33">
        <v>422878.11202999996</v>
      </c>
      <c r="AE65" s="33">
        <v>381409</v>
      </c>
      <c r="AF65" s="33">
        <v>-36616.532290000003</v>
      </c>
      <c r="AG65" s="33">
        <v>3694854.3590899999</v>
      </c>
      <c r="AH65" s="33">
        <v>183042.17320000002</v>
      </c>
      <c r="AI65" s="33">
        <v>-372056</v>
      </c>
      <c r="AJ65" s="33">
        <v>496404</v>
      </c>
      <c r="AK65" s="33">
        <v>56917</v>
      </c>
      <c r="AL65" s="33">
        <v>527335</v>
      </c>
      <c r="AM65" s="33">
        <v>86246</v>
      </c>
      <c r="AN65" s="33">
        <v>1254271.4317159264</v>
      </c>
      <c r="AO65" s="33">
        <v>-576636.43171592639</v>
      </c>
      <c r="AP65" s="33">
        <v>585806</v>
      </c>
      <c r="AQ65" s="33">
        <v>-1298469</v>
      </c>
      <c r="AR65" s="33">
        <v>-953328</v>
      </c>
      <c r="AS65" s="33">
        <v>214429</v>
      </c>
      <c r="AT65" s="33">
        <v>20055</v>
      </c>
      <c r="AU65" s="33">
        <v>-250282</v>
      </c>
      <c r="AW65" s="33">
        <v>1496452.31803</v>
      </c>
      <c r="AX65" s="33">
        <v>2548193.6819699998</v>
      </c>
      <c r="AY65" s="33">
        <v>-3509664</v>
      </c>
      <c r="AZ65" s="33">
        <v>641087</v>
      </c>
      <c r="BA65" s="33">
        <v>-4260856</v>
      </c>
    </row>
    <row r="66" spans="2:53" ht="14.25" customHeight="1" thickBot="1" x14ac:dyDescent="0.5">
      <c r="B66" s="5" t="s">
        <v>272</v>
      </c>
      <c r="C66" s="33">
        <v>0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151</v>
      </c>
      <c r="M66" s="49">
        <v>-195</v>
      </c>
      <c r="N66" s="49">
        <v>-89</v>
      </c>
      <c r="O66" s="49">
        <v>1798</v>
      </c>
      <c r="P66" s="49">
        <v>-21764</v>
      </c>
      <c r="Q66" s="49">
        <v>3611</v>
      </c>
      <c r="R66" s="74">
        <v>14215.941747429433</v>
      </c>
      <c r="S66" s="7">
        <v>9985</v>
      </c>
      <c r="T66" s="49">
        <v>17710</v>
      </c>
      <c r="U66" s="49">
        <v>-5390</v>
      </c>
      <c r="V66" s="49">
        <v>-21358</v>
      </c>
      <c r="W66" s="49">
        <v>-119164</v>
      </c>
      <c r="X66" s="49">
        <v>-7314</v>
      </c>
      <c r="Y66" s="49">
        <v>103906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151</v>
      </c>
      <c r="AI66" s="33">
        <v>-195</v>
      </c>
      <c r="AJ66" s="33">
        <v>106</v>
      </c>
      <c r="AK66" s="33">
        <v>1887</v>
      </c>
      <c r="AL66" s="33">
        <v>-23562</v>
      </c>
      <c r="AM66" s="33">
        <v>3611</v>
      </c>
      <c r="AN66" s="33">
        <v>10604.941747429433</v>
      </c>
      <c r="AO66" s="33">
        <v>-4230.9417474294332</v>
      </c>
      <c r="AP66" s="33">
        <v>7725</v>
      </c>
      <c r="AQ66" s="33">
        <v>-5390</v>
      </c>
      <c r="AR66" s="33">
        <v>-15968</v>
      </c>
      <c r="AS66" s="33">
        <v>-97806</v>
      </c>
      <c r="AT66" s="33">
        <v>111850</v>
      </c>
      <c r="AU66" s="33">
        <v>103906</v>
      </c>
      <c r="AW66" s="33">
        <v>0</v>
      </c>
      <c r="AX66" s="33">
        <v>151</v>
      </c>
      <c r="AY66" s="33">
        <v>-21915</v>
      </c>
      <c r="AZ66" s="33">
        <v>39474</v>
      </c>
      <c r="BA66" s="33">
        <v>-25024</v>
      </c>
    </row>
    <row r="67" spans="2:53" ht="14.25" customHeight="1" thickBot="1" x14ac:dyDescent="0.5">
      <c r="B67" s="9" t="s">
        <v>273</v>
      </c>
      <c r="C67" s="31">
        <v>7805.6229999999923</v>
      </c>
      <c r="D67" s="31">
        <v>1761.7999999999884</v>
      </c>
      <c r="E67" s="31">
        <v>30009.091890463693</v>
      </c>
      <c r="F67" s="31">
        <v>20411.826284503215</v>
      </c>
      <c r="G67" s="31">
        <v>7489.4900894861203</v>
      </c>
      <c r="H67" s="31">
        <v>298718.48714617384</v>
      </c>
      <c r="I67" s="31">
        <v>-79008.228430767194</v>
      </c>
      <c r="J67" s="31">
        <v>188942.65205999999</v>
      </c>
      <c r="K67" s="31">
        <v>283831.0159015106</v>
      </c>
      <c r="L67" s="31">
        <v>638612</v>
      </c>
      <c r="M67" s="31">
        <v>-88795</v>
      </c>
      <c r="N67" s="31">
        <v>-259174.67790468939</v>
      </c>
      <c r="O67" s="31">
        <v>108709.15952380956</v>
      </c>
      <c r="P67" s="31">
        <v>770581.25867999997</v>
      </c>
      <c r="Q67" s="31">
        <v>1172627.5362064</v>
      </c>
      <c r="R67" s="31">
        <v>-129340.77989664476</v>
      </c>
      <c r="S67" s="31">
        <v>-875022.16636999976</v>
      </c>
      <c r="T67" s="31">
        <v>-344339.22121000011</v>
      </c>
      <c r="U67" s="31">
        <v>784222</v>
      </c>
      <c r="V67" s="31">
        <v>439189</v>
      </c>
      <c r="W67" s="31">
        <v>539745</v>
      </c>
      <c r="X67" s="31">
        <v>1953378</v>
      </c>
      <c r="Y67" s="31">
        <v>-373041</v>
      </c>
      <c r="AA67" s="31">
        <v>37681.931700463669</v>
      </c>
      <c r="AB67" s="31">
        <v>-9598.105415960541</v>
      </c>
      <c r="AC67" s="31">
        <v>-12152.748655016941</v>
      </c>
      <c r="AD67" s="31">
        <v>291233.21876668767</v>
      </c>
      <c r="AE67" s="31">
        <v>-79008.228430767194</v>
      </c>
      <c r="AF67" s="31">
        <v>268027.88049076719</v>
      </c>
      <c r="AG67" s="31">
        <v>94890.363841510843</v>
      </c>
      <c r="AH67" s="31">
        <v>354701.98409848928</v>
      </c>
      <c r="AI67" s="31">
        <v>-62928</v>
      </c>
      <c r="AJ67" s="31">
        <v>-147204.67790468934</v>
      </c>
      <c r="AK67" s="31">
        <v>382736.83742849884</v>
      </c>
      <c r="AL67" s="31">
        <v>685837.09915619041</v>
      </c>
      <c r="AM67" s="31">
        <v>1172627.5362064</v>
      </c>
      <c r="AN67" s="31">
        <v>-1301968.3161030444</v>
      </c>
      <c r="AO67" s="31">
        <v>-745681.38647335523</v>
      </c>
      <c r="AP67" s="31">
        <v>2434632.5723599996</v>
      </c>
      <c r="AQ67" s="31">
        <v>678068</v>
      </c>
      <c r="AR67" s="31">
        <v>-238879</v>
      </c>
      <c r="AS67" s="31">
        <v>2685959</v>
      </c>
      <c r="AT67" s="31">
        <v>1413633</v>
      </c>
      <c r="AU67" s="31">
        <v>-373041</v>
      </c>
      <c r="AW67" s="31">
        <v>288956.49639617396</v>
      </c>
      <c r="AX67" s="31">
        <v>324310.89635382639</v>
      </c>
      <c r="AY67" s="31">
        <v>224254.25867999997</v>
      </c>
      <c r="AZ67" s="31">
        <v>-1202780.4798900001</v>
      </c>
      <c r="BA67" s="31">
        <v>2297717.2212100001</v>
      </c>
    </row>
    <row r="68" spans="2:53" ht="14.15" customHeight="1" x14ac:dyDescent="0.45">
      <c r="B68" s="6" t="s">
        <v>274</v>
      </c>
      <c r="C68" s="32">
        <v>6403</v>
      </c>
      <c r="D68" s="49">
        <v>9521</v>
      </c>
      <c r="E68" s="32">
        <v>11282.829</v>
      </c>
      <c r="F68" s="32">
        <v>11282.829</v>
      </c>
      <c r="G68" s="32">
        <v>11282.829</v>
      </c>
      <c r="H68" s="32">
        <v>11282.829</v>
      </c>
      <c r="I68" s="32">
        <v>310001.31614617386</v>
      </c>
      <c r="J68" s="32">
        <v>310001.31614617386</v>
      </c>
      <c r="K68" s="32">
        <v>310001.31614617386</v>
      </c>
      <c r="L68" s="32">
        <v>310001.31614617386</v>
      </c>
      <c r="M68" s="32">
        <v>948613</v>
      </c>
      <c r="N68" s="32">
        <v>948613</v>
      </c>
      <c r="O68" s="32">
        <v>948612.664924877</v>
      </c>
      <c r="P68" s="32">
        <v>948613</v>
      </c>
      <c r="Q68" s="32">
        <v>1719194.25868</v>
      </c>
      <c r="R68" s="74">
        <v>1719194.25868</v>
      </c>
      <c r="S68" s="32">
        <v>1719194.25868</v>
      </c>
      <c r="T68" s="32">
        <v>1719194.25868</v>
      </c>
      <c r="U68" s="32">
        <v>1374855.0374699999</v>
      </c>
      <c r="V68" s="32">
        <v>1374855.0374699999</v>
      </c>
      <c r="W68" s="32">
        <v>1374855.0374699999</v>
      </c>
      <c r="X68" s="32">
        <v>1374855.0374699999</v>
      </c>
      <c r="Y68" s="32">
        <v>3328233.0374699999</v>
      </c>
      <c r="AQ68" s="58"/>
      <c r="AR68" s="58"/>
      <c r="AS68" s="58"/>
      <c r="AT68" s="58"/>
      <c r="AU68" s="58"/>
      <c r="AW68">
        <v>0</v>
      </c>
      <c r="AX68">
        <v>0</v>
      </c>
      <c r="AY68">
        <v>0</v>
      </c>
      <c r="AZ68">
        <v>0</v>
      </c>
      <c r="BA68">
        <v>0</v>
      </c>
    </row>
    <row r="69" spans="2:53" ht="14.25" customHeight="1" thickBot="1" x14ac:dyDescent="0.5">
      <c r="B69" s="8" t="s">
        <v>275</v>
      </c>
      <c r="C69" s="37">
        <v>14208.622999999992</v>
      </c>
      <c r="D69" s="37">
        <v>11283</v>
      </c>
      <c r="E69" s="37">
        <v>41291.920890463691</v>
      </c>
      <c r="F69" s="37">
        <v>31694.655284503213</v>
      </c>
      <c r="G69" s="37">
        <v>18772.319089486118</v>
      </c>
      <c r="H69" s="37">
        <v>310001.31614617386</v>
      </c>
      <c r="I69" s="37">
        <v>230993.08771540667</v>
      </c>
      <c r="J69" s="37">
        <v>498943.96820617386</v>
      </c>
      <c r="K69" s="37">
        <v>593832.33204768447</v>
      </c>
      <c r="L69" s="37">
        <v>948613.31614617386</v>
      </c>
      <c r="M69" s="37">
        <v>859818</v>
      </c>
      <c r="N69" s="37">
        <v>689438.32209531055</v>
      </c>
      <c r="O69" s="37">
        <v>1057321.8244486866</v>
      </c>
      <c r="P69" s="37">
        <v>1719194.25868</v>
      </c>
      <c r="Q69" s="37">
        <v>2891821.7948864</v>
      </c>
      <c r="R69" s="37">
        <v>1589853.4787833551</v>
      </c>
      <c r="S69" s="37">
        <v>844172.09231000021</v>
      </c>
      <c r="T69" s="37">
        <v>1374855.0374699999</v>
      </c>
      <c r="U69" s="37">
        <v>2159077.0374699999</v>
      </c>
      <c r="V69" s="37">
        <v>1814044.0374699999</v>
      </c>
      <c r="W69" s="37">
        <v>1914600.0374699999</v>
      </c>
      <c r="X69" s="37">
        <v>3328233.0374699999</v>
      </c>
      <c r="Y69" s="37">
        <v>2955192.0374699999</v>
      </c>
      <c r="AQ69" s="58"/>
      <c r="AR69" s="58"/>
      <c r="AS69" s="58"/>
      <c r="AT69" s="58"/>
      <c r="AU69" s="58"/>
      <c r="AW69">
        <v>0</v>
      </c>
      <c r="AX69">
        <v>0</v>
      </c>
      <c r="AY69">
        <v>0</v>
      </c>
      <c r="AZ69">
        <v>0</v>
      </c>
      <c r="BA69">
        <v>0</v>
      </c>
    </row>
    <row r="70" spans="2:53" ht="14.25" customHeight="1" x14ac:dyDescent="0.45">
      <c r="B70" s="1"/>
      <c r="C70" s="1"/>
      <c r="D70" s="1"/>
      <c r="E70" s="1"/>
      <c r="F70" s="1"/>
      <c r="G70" s="1"/>
      <c r="H70" s="1"/>
      <c r="I70" s="1"/>
      <c r="J70" s="1"/>
      <c r="K70" s="1"/>
      <c r="AQ70" s="58"/>
      <c r="AR70" s="58"/>
      <c r="AS70" s="58"/>
      <c r="AT70" s="58"/>
      <c r="AU70" s="58"/>
      <c r="AW70">
        <v>0</v>
      </c>
      <c r="AX70">
        <v>0</v>
      </c>
      <c r="AY70">
        <v>0</v>
      </c>
      <c r="AZ70">
        <v>0</v>
      </c>
      <c r="BA70">
        <v>0</v>
      </c>
    </row>
    <row r="71" spans="2:53" ht="14.25" customHeight="1" thickBot="1" x14ac:dyDescent="0.5">
      <c r="B71" s="8" t="s">
        <v>249</v>
      </c>
      <c r="C71" s="37">
        <v>-60682</v>
      </c>
      <c r="D71" s="37">
        <v>-98244.200000000012</v>
      </c>
      <c r="E71" s="37">
        <v>50079.180179999996</v>
      </c>
      <c r="F71" s="37">
        <v>-122693.39400000003</v>
      </c>
      <c r="G71" s="37">
        <v>-305377.39951000002</v>
      </c>
      <c r="H71" s="37">
        <v>-254875.62831297409</v>
      </c>
      <c r="I71" s="37">
        <v>298785.13901000004</v>
      </c>
      <c r="J71" s="37">
        <v>101413.93145000009</v>
      </c>
      <c r="K71" s="37">
        <v>-340490.9047500001</v>
      </c>
      <c r="L71" s="37">
        <v>-163737</v>
      </c>
      <c r="M71" s="37">
        <v>237992</v>
      </c>
      <c r="N71" s="37">
        <v>-799320.68577468931</v>
      </c>
      <c r="O71" s="37">
        <v>-711011</v>
      </c>
      <c r="P71" s="37">
        <v>-288439.74131999997</v>
      </c>
      <c r="Q71" s="37">
        <v>552534</v>
      </c>
      <c r="R71" s="37">
        <v>-490776</v>
      </c>
      <c r="S71" s="37">
        <v>-737998</v>
      </c>
      <c r="T71" s="37">
        <v>-481930</v>
      </c>
      <c r="U71" s="37">
        <v>1117673</v>
      </c>
      <c r="V71" s="37">
        <v>1109262</v>
      </c>
      <c r="W71" s="37">
        <v>1403832</v>
      </c>
      <c r="X71" s="37">
        <v>1761205</v>
      </c>
      <c r="Y71" s="37">
        <v>-688111</v>
      </c>
      <c r="AA71" s="37">
        <v>50079.180179999996</v>
      </c>
      <c r="AB71" s="37">
        <v>-172772.57418000003</v>
      </c>
      <c r="AC71" s="37">
        <v>-182684.00550999999</v>
      </c>
      <c r="AD71" s="37">
        <v>50501.771197025941</v>
      </c>
      <c r="AE71" s="37">
        <v>298785.13901000004</v>
      </c>
      <c r="AF71" s="37">
        <v>-197371.20755999995</v>
      </c>
      <c r="AG71" s="37">
        <v>-441904.83620000014</v>
      </c>
      <c r="AH71" s="37">
        <v>176753.90474999999</v>
      </c>
      <c r="AI71" s="37">
        <v>237992</v>
      </c>
      <c r="AJ71" s="37">
        <v>-1037312.6857746893</v>
      </c>
      <c r="AK71" s="37">
        <v>88309.685774689322</v>
      </c>
      <c r="AL71" s="37">
        <v>422571.25868000003</v>
      </c>
      <c r="AM71" s="37">
        <v>552534</v>
      </c>
      <c r="AN71" s="37">
        <v>-1043310</v>
      </c>
      <c r="AO71" s="37">
        <v>-247222</v>
      </c>
      <c r="AP71" s="37">
        <v>256068</v>
      </c>
      <c r="AQ71" s="37">
        <v>1117673</v>
      </c>
      <c r="AR71" s="37">
        <v>-8411</v>
      </c>
      <c r="AS71" s="37">
        <v>294570</v>
      </c>
      <c r="AT71" s="37">
        <v>357373</v>
      </c>
      <c r="AU71" s="37">
        <v>-688111</v>
      </c>
      <c r="AW71" s="37">
        <v>-156631.42831297405</v>
      </c>
      <c r="AX71" s="37">
        <v>91138.628312974033</v>
      </c>
      <c r="AY71" s="37">
        <v>-124702.74131999999</v>
      </c>
      <c r="AZ71" s="37">
        <v>-193490.25868</v>
      </c>
      <c r="BA71" s="37">
        <v>2243135</v>
      </c>
    </row>
  </sheetData>
  <mergeCells count="50">
    <mergeCell ref="C5:C6"/>
    <mergeCell ref="AX5:AX6"/>
    <mergeCell ref="AA5:AA6"/>
    <mergeCell ref="AB5:AB6"/>
    <mergeCell ref="AC5:AC6"/>
    <mergeCell ref="AF5:AF6"/>
    <mergeCell ref="AG5:AG6"/>
    <mergeCell ref="AD5:AD6"/>
    <mergeCell ref="AW5:AW6"/>
    <mergeCell ref="AE5:AE6"/>
    <mergeCell ref="AH5:AH6"/>
    <mergeCell ref="AI5:AI6"/>
    <mergeCell ref="O5:O6"/>
    <mergeCell ref="AJ5:AJ6"/>
    <mergeCell ref="N5:N6"/>
    <mergeCell ref="AU5:AU6"/>
    <mergeCell ref="BA5:BA6"/>
    <mergeCell ref="X5:X6"/>
    <mergeCell ref="Y5:Y6"/>
    <mergeCell ref="L5:L6"/>
    <mergeCell ref="U5:U6"/>
    <mergeCell ref="V5:V6"/>
    <mergeCell ref="W5:W6"/>
    <mergeCell ref="AK5:AK6"/>
    <mergeCell ref="R5:R6"/>
    <mergeCell ref="S5:S6"/>
    <mergeCell ref="T5:T6"/>
    <mergeCell ref="AS5:AS6"/>
    <mergeCell ref="AR5:AR6"/>
    <mergeCell ref="AZ5:AZ6"/>
    <mergeCell ref="AL5:AL6"/>
    <mergeCell ref="AY5:AY6"/>
    <mergeCell ref="S2:Y3"/>
    <mergeCell ref="D5:D6"/>
    <mergeCell ref="E5:E6"/>
    <mergeCell ref="F5:F6"/>
    <mergeCell ref="I5:I6"/>
    <mergeCell ref="J5:J6"/>
    <mergeCell ref="G5:G6"/>
    <mergeCell ref="H5:H6"/>
    <mergeCell ref="AT5:AT6"/>
    <mergeCell ref="K5:K6"/>
    <mergeCell ref="M5:M6"/>
    <mergeCell ref="P5:P6"/>
    <mergeCell ref="Q5:Q6"/>
    <mergeCell ref="AM5:AM6"/>
    <mergeCell ref="AQ5:AQ6"/>
    <mergeCell ref="AN5:AN6"/>
    <mergeCell ref="AO5:AO6"/>
    <mergeCell ref="AP5:AP6"/>
  </mergeCells>
  <phoneticPr fontId="20" type="noConversion"/>
  <pageMargins left="0.7" right="0.7" top="0.75" bottom="0.75" header="0.3" footer="0.3"/>
  <pageSetup paperSize="9" orientation="portrait" r:id="rId1"/>
  <ignoredErrors>
    <ignoredError sqref="AE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E0FFB-193F-4268-BBCC-5650463E59F4}">
  <sheetPr>
    <tabColor rgb="FF1B7754"/>
  </sheetPr>
  <dimension ref="B2:AY63"/>
  <sheetViews>
    <sheetView showGridLines="0" zoomScaleNormal="100" zoomScaleSheetLayoutView="100" workbookViewId="0"/>
  </sheetViews>
  <sheetFormatPr defaultColWidth="9.1796875" defaultRowHeight="14.25" customHeight="1" x14ac:dyDescent="0.45"/>
  <cols>
    <col min="1" max="1" width="1.7265625" style="2" customWidth="1"/>
    <col min="2" max="2" width="55.54296875" style="2" customWidth="1"/>
    <col min="3" max="20" width="10.54296875" style="2" customWidth="1"/>
    <col min="21" max="26" width="10.54296875" customWidth="1"/>
    <col min="27" max="29" width="10.54296875" style="2" customWidth="1"/>
    <col min="30" max="30" width="10.7265625" customWidth="1"/>
    <col min="31" max="33" width="10.54296875" customWidth="1"/>
    <col min="34" max="50" width="10.54296875" style="2" customWidth="1"/>
    <col min="51" max="51" width="10.7265625" style="2" customWidth="1"/>
    <col min="52" max="16384" width="9.1796875" style="2"/>
  </cols>
  <sheetData>
    <row r="2" spans="2:51" ht="14.25" customHeight="1" x14ac:dyDescent="0.45">
      <c r="H2" s="61"/>
      <c r="X2" s="109" t="s">
        <v>205</v>
      </c>
      <c r="Y2" s="109"/>
      <c r="Z2" s="109"/>
      <c r="AA2" s="109"/>
      <c r="AB2" s="109"/>
      <c r="AC2" s="109"/>
      <c r="AD2" s="109"/>
    </row>
    <row r="3" spans="2:51" ht="14.25" customHeight="1" x14ac:dyDescent="0.45">
      <c r="H3" s="61"/>
      <c r="L3" s="61"/>
      <c r="X3" s="109"/>
      <c r="Y3" s="109"/>
      <c r="Z3" s="109"/>
      <c r="AA3" s="109"/>
      <c r="AB3" s="109"/>
      <c r="AC3" s="109"/>
      <c r="AD3" s="109"/>
    </row>
    <row r="5" spans="2:51" s="3" customFormat="1" ht="14.25" customHeight="1" x14ac:dyDescent="0.35">
      <c r="B5" s="76" t="s">
        <v>92</v>
      </c>
      <c r="C5" s="111" t="s">
        <v>18</v>
      </c>
      <c r="D5" s="111" t="s">
        <v>14</v>
      </c>
      <c r="E5" s="110" t="s">
        <v>23</v>
      </c>
      <c r="F5" s="110" t="s">
        <v>24</v>
      </c>
      <c r="G5" s="110" t="s">
        <v>25</v>
      </c>
      <c r="H5" s="110" t="s">
        <v>86</v>
      </c>
      <c r="I5" s="110" t="s">
        <v>12</v>
      </c>
      <c r="J5" s="110" t="s">
        <v>171</v>
      </c>
      <c r="K5" s="110" t="s">
        <v>172</v>
      </c>
      <c r="L5" s="110" t="s">
        <v>117</v>
      </c>
      <c r="M5" s="110" t="s">
        <v>173</v>
      </c>
      <c r="N5" s="110" t="s">
        <v>13</v>
      </c>
      <c r="O5" s="110" t="s">
        <v>29</v>
      </c>
      <c r="P5" s="110" t="s">
        <v>182</v>
      </c>
      <c r="Q5" s="110" t="s">
        <v>185</v>
      </c>
      <c r="R5" s="110" t="s">
        <v>201</v>
      </c>
      <c r="S5" s="110" t="s">
        <v>200</v>
      </c>
      <c r="T5" s="110" t="s">
        <v>204</v>
      </c>
      <c r="U5" s="110" t="s">
        <v>207</v>
      </c>
      <c r="V5" s="110" t="s">
        <v>238</v>
      </c>
      <c r="W5" s="110" t="s">
        <v>243</v>
      </c>
      <c r="X5" s="110" t="s">
        <v>244</v>
      </c>
      <c r="Y5" s="110" t="s">
        <v>250</v>
      </c>
      <c r="Z5" s="110" t="s">
        <v>325</v>
      </c>
      <c r="AA5" s="110" t="s">
        <v>361</v>
      </c>
      <c r="AB5" s="110" t="s">
        <v>370</v>
      </c>
      <c r="AC5" s="110" t="s">
        <v>369</v>
      </c>
      <c r="AD5" s="110" t="s">
        <v>374</v>
      </c>
      <c r="AE5"/>
      <c r="AF5" s="110" t="s">
        <v>18</v>
      </c>
      <c r="AG5" s="110" t="s">
        <v>14</v>
      </c>
      <c r="AH5" s="110" t="s">
        <v>12</v>
      </c>
      <c r="AI5" s="110" t="s">
        <v>98</v>
      </c>
      <c r="AJ5" s="110" t="s">
        <v>99</v>
      </c>
      <c r="AK5" s="110" t="s">
        <v>100</v>
      </c>
      <c r="AL5" s="110" t="s">
        <v>13</v>
      </c>
      <c r="AM5" s="110" t="s">
        <v>180</v>
      </c>
      <c r="AN5" s="110" t="s">
        <v>184</v>
      </c>
      <c r="AO5" s="110" t="s">
        <v>187</v>
      </c>
      <c r="AP5" s="110" t="s">
        <v>200</v>
      </c>
      <c r="AQ5" s="110" t="s">
        <v>206</v>
      </c>
      <c r="AR5" s="110" t="s">
        <v>209</v>
      </c>
      <c r="AS5" s="110" t="s">
        <v>239</v>
      </c>
      <c r="AT5" s="110" t="s">
        <v>244</v>
      </c>
      <c r="AU5" s="110" t="s">
        <v>251</v>
      </c>
      <c r="AV5" s="110" t="s">
        <v>327</v>
      </c>
      <c r="AW5" s="110" t="s">
        <v>363</v>
      </c>
      <c r="AX5" s="110" t="s">
        <v>369</v>
      </c>
      <c r="AY5" s="110" t="s">
        <v>375</v>
      </c>
    </row>
    <row r="6" spans="2:51" s="3" customFormat="1" ht="14.25" customHeight="1" x14ac:dyDescent="0.35">
      <c r="B6" s="77" t="s">
        <v>22</v>
      </c>
      <c r="C6" s="111"/>
      <c r="D6" s="111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</row>
    <row r="7" spans="2:51" ht="14.25" customHeight="1" x14ac:dyDescent="0.45">
      <c r="B7" s="5" t="s">
        <v>93</v>
      </c>
      <c r="C7" s="4">
        <v>124424.59299999999</v>
      </c>
      <c r="D7" s="4">
        <v>203462.49800000002</v>
      </c>
      <c r="E7" s="4">
        <v>695926</v>
      </c>
      <c r="F7" s="4">
        <f>E17</f>
        <v>899861.06965999957</v>
      </c>
      <c r="G7" s="4">
        <f>F17</f>
        <v>1484148.90766596</v>
      </c>
      <c r="H7" s="4">
        <f>G17</f>
        <v>1872326.3255162083</v>
      </c>
      <c r="I7" s="4">
        <f>E7</f>
        <v>695926</v>
      </c>
      <c r="J7" s="4">
        <f>I17</f>
        <v>2571767.2724870322</v>
      </c>
      <c r="K7" s="4">
        <v>2650679.3780143848</v>
      </c>
      <c r="L7" s="4">
        <f>K17</f>
        <v>2839663.6040901258</v>
      </c>
      <c r="M7" s="4">
        <f>L17</f>
        <v>3071731.6040901258</v>
      </c>
      <c r="N7" s="4">
        <v>2571767.3780143848</v>
      </c>
      <c r="O7" s="4">
        <f>M17</f>
        <v>2972112.382277118</v>
      </c>
      <c r="P7" s="4">
        <f>O17</f>
        <v>2333440.2409462091</v>
      </c>
      <c r="Q7" s="4">
        <f>P17</f>
        <v>3615196.3304708982</v>
      </c>
      <c r="R7" s="4">
        <f>Q17</f>
        <v>3768506.5426257327</v>
      </c>
      <c r="S7" s="4">
        <f>O7</f>
        <v>2972112.382277118</v>
      </c>
      <c r="T7" s="4">
        <f>S17</f>
        <v>3041555.8872371181</v>
      </c>
      <c r="U7" s="4">
        <f>T17</f>
        <v>3294535.2986371182</v>
      </c>
      <c r="V7" s="4">
        <f>U17</f>
        <v>4615242.6484571183</v>
      </c>
      <c r="W7" s="4">
        <f>V17</f>
        <v>5066502.8495326154</v>
      </c>
      <c r="X7" s="4">
        <f>T7</f>
        <v>3041555.8872371181</v>
      </c>
      <c r="Y7" s="4">
        <f>X17</f>
        <v>4842116.8695511948</v>
      </c>
      <c r="Z7" s="4">
        <f>Y17</f>
        <v>5034357.1523066396</v>
      </c>
      <c r="AA7" s="4">
        <v>4945789</v>
      </c>
      <c r="AB7" s="4">
        <v>5185439</v>
      </c>
      <c r="AC7" s="4">
        <v>4842116.8695511948</v>
      </c>
      <c r="AD7" s="4">
        <v>5364567</v>
      </c>
      <c r="AF7" s="4">
        <f t="shared" ref="AF7:AK7" si="0">C7</f>
        <v>124424.59299999999</v>
      </c>
      <c r="AG7" s="4">
        <f t="shared" si="0"/>
        <v>203462.49800000002</v>
      </c>
      <c r="AH7" s="4">
        <f t="shared" si="0"/>
        <v>695926</v>
      </c>
      <c r="AI7" s="4">
        <f t="shared" si="0"/>
        <v>899861.06965999957</v>
      </c>
      <c r="AJ7" s="4">
        <f t="shared" si="0"/>
        <v>1484148.90766596</v>
      </c>
      <c r="AK7" s="4">
        <f t="shared" si="0"/>
        <v>1872326.3255162083</v>
      </c>
      <c r="AL7" s="4">
        <f>N7</f>
        <v>2571767.3780143848</v>
      </c>
      <c r="AM7" s="4">
        <f>K7</f>
        <v>2650679.3780143848</v>
      </c>
      <c r="AN7" s="4">
        <f>L7</f>
        <v>2839663.6040901258</v>
      </c>
      <c r="AO7" s="4">
        <f>M7</f>
        <v>3071731.6040901258</v>
      </c>
      <c r="AP7" s="4">
        <f t="shared" ref="AP7:AP16" si="1">S7</f>
        <v>2972112.382277118</v>
      </c>
      <c r="AQ7" s="4">
        <f>P7</f>
        <v>2333440.2409462091</v>
      </c>
      <c r="AR7" s="4">
        <f>Q7</f>
        <v>3615196.3304708982</v>
      </c>
      <c r="AS7" s="4">
        <f>R7</f>
        <v>3768506.5426257327</v>
      </c>
      <c r="AT7" s="4">
        <f>T7</f>
        <v>3041555.8872371181</v>
      </c>
      <c r="AU7" s="4">
        <f>U7</f>
        <v>3294535.2986371182</v>
      </c>
      <c r="AV7" s="4">
        <f>V7</f>
        <v>4615242.6484571183</v>
      </c>
      <c r="AW7" s="4">
        <v>5066502.8495326154</v>
      </c>
      <c r="AX7" s="4">
        <v>4842116.8695511948</v>
      </c>
      <c r="AY7" s="4">
        <v>5034357.1523066387</v>
      </c>
    </row>
    <row r="8" spans="2:51" ht="14.25" customHeight="1" x14ac:dyDescent="0.45">
      <c r="B8" s="7" t="s">
        <v>3</v>
      </c>
      <c r="C8" s="36">
        <v>78219</v>
      </c>
      <c r="D8" s="36">
        <v>212614.28200000001</v>
      </c>
      <c r="E8" s="36">
        <v>79381.493748251407</v>
      </c>
      <c r="F8" s="36">
        <v>86661.878251748567</v>
      </c>
      <c r="G8" s="36">
        <v>129484.73352735231</v>
      </c>
      <c r="H8" s="36">
        <v>184994</v>
      </c>
      <c r="I8" s="36">
        <v>480522.10552735231</v>
      </c>
      <c r="J8" s="36">
        <v>170731</v>
      </c>
      <c r="K8" s="36">
        <v>244134</v>
      </c>
      <c r="L8" s="36">
        <v>325091</v>
      </c>
      <c r="M8" s="36">
        <v>420123</v>
      </c>
      <c r="N8" s="36">
        <v>1160080</v>
      </c>
      <c r="O8" s="36">
        <v>526202</v>
      </c>
      <c r="P8" s="36">
        <v>616978</v>
      </c>
      <c r="Q8" s="36">
        <v>852664</v>
      </c>
      <c r="R8" s="36">
        <v>625924</v>
      </c>
      <c r="S8" s="36">
        <v>2621768</v>
      </c>
      <c r="T8" s="36">
        <v>675996.87303999986</v>
      </c>
      <c r="U8" s="36">
        <v>707433.84663999965</v>
      </c>
      <c r="V8" s="36">
        <v>519503.09030712384</v>
      </c>
      <c r="W8" s="36">
        <v>489163.37452287646</v>
      </c>
      <c r="X8" s="36">
        <v>2392097.1845100001</v>
      </c>
      <c r="Y8" s="36">
        <v>377102</v>
      </c>
      <c r="Z8" s="36">
        <v>218761</v>
      </c>
      <c r="AA8" s="36">
        <v>174637</v>
      </c>
      <c r="AB8" s="36">
        <v>75692</v>
      </c>
      <c r="AC8" s="36">
        <v>846192</v>
      </c>
      <c r="AD8" s="36">
        <v>398900</v>
      </c>
      <c r="AF8" s="36">
        <f t="shared" ref="AF8:AF16" si="2">C8</f>
        <v>78219</v>
      </c>
      <c r="AG8" s="36">
        <f t="shared" ref="AG8:AG16" si="3">D8</f>
        <v>212614.28200000001</v>
      </c>
      <c r="AH8" s="36">
        <v>480522.10552735231</v>
      </c>
      <c r="AI8" s="36">
        <f>SUM(F8:H8,J8)</f>
        <v>571871.61177910084</v>
      </c>
      <c r="AJ8" s="36">
        <f>SUM(G8:H8,J8:K8)</f>
        <v>729343.73352735233</v>
      </c>
      <c r="AK8" s="36">
        <f>SUM(H8,J8:L8)</f>
        <v>924950</v>
      </c>
      <c r="AL8" s="36">
        <f>N8</f>
        <v>1160080</v>
      </c>
      <c r="AM8" s="32">
        <f>SUM(O8,K8:M8)</f>
        <v>1515550</v>
      </c>
      <c r="AN8" s="32">
        <f>SUM(O8:P8,L8:M8)</f>
        <v>1888394</v>
      </c>
      <c r="AO8" s="32">
        <f>SUM(O8:Q8,M8)</f>
        <v>2415967</v>
      </c>
      <c r="AP8" s="32">
        <f t="shared" si="1"/>
        <v>2621768</v>
      </c>
      <c r="AQ8" s="32">
        <f>SUM(T8,P8:R8)</f>
        <v>2771562.87304</v>
      </c>
      <c r="AR8" s="32">
        <f>SUM(U8,T8,R8,Q8)</f>
        <v>2862018.7196799996</v>
      </c>
      <c r="AS8" s="32">
        <f>SUM(V8,U8,T8,R8)</f>
        <v>2528857.8099871236</v>
      </c>
      <c r="AT8" s="32">
        <f t="shared" ref="AT8:AT16" si="4">X8</f>
        <v>2392097.1845100001</v>
      </c>
      <c r="AU8" s="32">
        <f t="shared" ref="AU8:AU16" si="5">SUM(Y8,U8:W8)</f>
        <v>2093202.3114700001</v>
      </c>
      <c r="AV8" s="32">
        <f>SUM(Y8,W8,V8,Z8)</f>
        <v>1604529.4648300004</v>
      </c>
      <c r="AW8" s="32">
        <v>1259663.3745228765</v>
      </c>
      <c r="AX8" s="32">
        <v>846192</v>
      </c>
      <c r="AY8" s="32">
        <v>867990</v>
      </c>
    </row>
    <row r="9" spans="2:51" ht="14.25" customHeight="1" x14ac:dyDescent="0.45">
      <c r="B9" s="7" t="s">
        <v>193</v>
      </c>
      <c r="C9" s="49">
        <v>-13880.905000000001</v>
      </c>
      <c r="D9" s="49">
        <v>-98244.200000000012</v>
      </c>
      <c r="E9" s="49">
        <v>50079.180179999996</v>
      </c>
      <c r="F9" s="49">
        <v>-172772.57418000003</v>
      </c>
      <c r="G9" s="49">
        <v>-182684.00550999999</v>
      </c>
      <c r="H9" s="49">
        <v>50501.771197025941</v>
      </c>
      <c r="I9" s="49">
        <v>-254875.62831297409</v>
      </c>
      <c r="J9" s="49">
        <v>298785.13901000004</v>
      </c>
      <c r="K9" s="49">
        <v>-197371.20755999995</v>
      </c>
      <c r="L9" s="49">
        <v>-441904.83620000014</v>
      </c>
      <c r="M9" s="49">
        <v>176753.90474999999</v>
      </c>
      <c r="N9" s="49">
        <v>-163737</v>
      </c>
      <c r="O9" s="49">
        <v>237992</v>
      </c>
      <c r="P9" s="49">
        <v>-1037312.6857746893</v>
      </c>
      <c r="Q9" s="49">
        <v>88309.685774689322</v>
      </c>
      <c r="R9" s="49">
        <v>422571.25868000003</v>
      </c>
      <c r="S9" s="49">
        <v>-288439.74131999997</v>
      </c>
      <c r="T9" s="49">
        <v>552534</v>
      </c>
      <c r="U9" s="49">
        <v>-1043310</v>
      </c>
      <c r="V9" s="49">
        <v>-247222</v>
      </c>
      <c r="W9" s="49">
        <v>256067.94774999999</v>
      </c>
      <c r="X9" s="49">
        <v>-481930</v>
      </c>
      <c r="Y9" s="49">
        <v>1117724</v>
      </c>
      <c r="Z9" s="49">
        <v>-8462</v>
      </c>
      <c r="AA9" s="49">
        <v>294570</v>
      </c>
      <c r="AB9" s="49">
        <v>357373</v>
      </c>
      <c r="AC9" s="49">
        <v>1761205</v>
      </c>
      <c r="AD9" s="49">
        <v>-688111</v>
      </c>
      <c r="AF9" s="49">
        <f t="shared" si="2"/>
        <v>-13880.905000000001</v>
      </c>
      <c r="AG9" s="49">
        <f t="shared" si="3"/>
        <v>-98244.200000000012</v>
      </c>
      <c r="AH9" s="49">
        <v>-494065.91895345319</v>
      </c>
      <c r="AI9" s="49">
        <f>SUM(F9:H9,J9)</f>
        <v>-6169.6694829740445</v>
      </c>
      <c r="AJ9" s="49">
        <f>SUM(G9:H9,J9:K9)</f>
        <v>-30768.302862973942</v>
      </c>
      <c r="AK9" s="49">
        <f>SUM(H9,J9:L9)</f>
        <v>-289989.13355297409</v>
      </c>
      <c r="AL9" s="36">
        <f>N9</f>
        <v>-163737</v>
      </c>
      <c r="AM9" s="32">
        <f>SUM(O9,K9:M9)</f>
        <v>-224530.1390100001</v>
      </c>
      <c r="AN9" s="32">
        <f>SUM(O9:P9,L9:M9)</f>
        <v>-1064471.6172246893</v>
      </c>
      <c r="AO9" s="32">
        <f>SUM(O9:Q9,M9)</f>
        <v>-534257.09525000001</v>
      </c>
      <c r="AP9" s="32">
        <f t="shared" si="1"/>
        <v>-288439.74131999997</v>
      </c>
      <c r="AQ9" s="32">
        <f>SUM(T9,P9:R9)</f>
        <v>26102.258680000028</v>
      </c>
      <c r="AR9" s="32">
        <f>SUM(U9,T9,R9,Q9)</f>
        <v>20104.94445468935</v>
      </c>
      <c r="AS9" s="32">
        <f>SUM(V9,U9,T9,R9)</f>
        <v>-315426.74131999997</v>
      </c>
      <c r="AT9" s="32">
        <f t="shared" si="4"/>
        <v>-481930</v>
      </c>
      <c r="AU9" s="32">
        <f t="shared" si="5"/>
        <v>83259.947749999992</v>
      </c>
      <c r="AV9" s="32">
        <f>SUM(Y9,W9,V9,Z9)</f>
        <v>1118107.9477500001</v>
      </c>
      <c r="AW9" s="32">
        <v>1659899.9477500001</v>
      </c>
      <c r="AX9" s="32">
        <v>1761205</v>
      </c>
      <c r="AY9" s="32">
        <v>-44630</v>
      </c>
    </row>
    <row r="10" spans="2:51" ht="14.25" customHeight="1" x14ac:dyDescent="0.45">
      <c r="B10" s="7" t="s">
        <v>94</v>
      </c>
      <c r="C10" s="49">
        <v>0</v>
      </c>
      <c r="D10" s="49">
        <v>-16446</v>
      </c>
      <c r="E10" s="49">
        <v>-7672.8398099999995</v>
      </c>
      <c r="F10" s="49">
        <v>0.83980999999948835</v>
      </c>
      <c r="G10" s="49">
        <v>-769.58754000000044</v>
      </c>
      <c r="H10" s="49">
        <v>-4.2217099999998027</v>
      </c>
      <c r="I10" s="49">
        <v>-8445.8092500000002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-25867</v>
      </c>
      <c r="P10" s="49">
        <v>-23175</v>
      </c>
      <c r="Q10" s="49">
        <v>-14853</v>
      </c>
      <c r="R10" s="49">
        <v>-23965</v>
      </c>
      <c r="S10" s="49">
        <v>-87860</v>
      </c>
      <c r="T10" s="49">
        <v>0</v>
      </c>
      <c r="U10" s="49">
        <v>0</v>
      </c>
      <c r="V10" s="49">
        <v>0</v>
      </c>
      <c r="W10" s="49">
        <v>0</v>
      </c>
      <c r="X10" s="4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49">
        <v>0</v>
      </c>
      <c r="AF10" s="36">
        <f t="shared" si="2"/>
        <v>0</v>
      </c>
      <c r="AG10" s="36">
        <f t="shared" si="3"/>
        <v>-16446</v>
      </c>
      <c r="AH10" s="36">
        <v>-8445.8092500000002</v>
      </c>
      <c r="AI10" s="36">
        <f>SUM(F10:H10,J10)</f>
        <v>-772.96944000000076</v>
      </c>
      <c r="AJ10" s="36">
        <f>SUM(G10:H10,J10:K10)</f>
        <v>-773.80925000000025</v>
      </c>
      <c r="AK10" s="36">
        <f>SUM(H10,J10:L10)</f>
        <v>-4.2217099999998027</v>
      </c>
      <c r="AL10" s="36">
        <f>N10</f>
        <v>0</v>
      </c>
      <c r="AM10" s="32">
        <f>SUM(O10,K10:M10)</f>
        <v>-25867</v>
      </c>
      <c r="AN10" s="32">
        <f>SUM(O10:P10,L10:M10)</f>
        <v>-49042</v>
      </c>
      <c r="AO10" s="32">
        <f>SUM(O10:Q10,M10)</f>
        <v>-63895</v>
      </c>
      <c r="AP10" s="32">
        <f t="shared" si="1"/>
        <v>-87860</v>
      </c>
      <c r="AQ10" s="32">
        <f>SUM(T10,P10:R10)</f>
        <v>-61993</v>
      </c>
      <c r="AR10" s="32">
        <f>SUM(U10,T10,R10,Q10)</f>
        <v>-38818</v>
      </c>
      <c r="AS10" s="32">
        <f>SUM(V10,U10,T10,R10)</f>
        <v>-23965</v>
      </c>
      <c r="AT10" s="32">
        <f t="shared" si="4"/>
        <v>0</v>
      </c>
      <c r="AU10" s="32">
        <f t="shared" si="5"/>
        <v>0</v>
      </c>
      <c r="AV10" s="32">
        <f>SUM(Y10,W10,V10,Z10)</f>
        <v>0</v>
      </c>
      <c r="AW10" s="32">
        <v>0</v>
      </c>
      <c r="AX10" s="32">
        <v>0</v>
      </c>
      <c r="AY10" s="32">
        <v>0</v>
      </c>
    </row>
    <row r="11" spans="2:51" ht="14.25" customHeight="1" x14ac:dyDescent="0.45">
      <c r="B11" s="57" t="s">
        <v>11</v>
      </c>
      <c r="C11" s="33">
        <f t="shared" ref="C11:Y11" si="6">SUM(C8:C10)</f>
        <v>64338.095000000001</v>
      </c>
      <c r="D11" s="33">
        <f>SUM(D8:D10)</f>
        <v>97924.081999999995</v>
      </c>
      <c r="E11" s="33">
        <f t="shared" si="6"/>
        <v>121787.8341182514</v>
      </c>
      <c r="F11" s="33">
        <f t="shared" si="6"/>
        <v>-86109.856118251453</v>
      </c>
      <c r="G11" s="33">
        <f t="shared" si="6"/>
        <v>-53968.859522647683</v>
      </c>
      <c r="H11" s="33">
        <f t="shared" si="6"/>
        <v>235491.54948702594</v>
      </c>
      <c r="I11" s="33">
        <f t="shared" si="6"/>
        <v>217200.66796437823</v>
      </c>
      <c r="J11" s="33">
        <f t="shared" si="6"/>
        <v>469516.13901000004</v>
      </c>
      <c r="K11" s="33">
        <f t="shared" si="6"/>
        <v>46762.792440000048</v>
      </c>
      <c r="L11" s="33">
        <f t="shared" si="6"/>
        <v>-116813.83620000014</v>
      </c>
      <c r="M11" s="33">
        <f t="shared" si="6"/>
        <v>596876.90474999999</v>
      </c>
      <c r="N11" s="33">
        <f t="shared" si="6"/>
        <v>996343</v>
      </c>
      <c r="O11" s="33">
        <f t="shared" si="6"/>
        <v>738327</v>
      </c>
      <c r="P11" s="33">
        <f t="shared" si="6"/>
        <v>-443509.68577468931</v>
      </c>
      <c r="Q11" s="33">
        <f t="shared" si="6"/>
        <v>926120.68577468931</v>
      </c>
      <c r="R11" s="33">
        <f t="shared" si="6"/>
        <v>1024530.25868</v>
      </c>
      <c r="S11" s="33">
        <f t="shared" si="6"/>
        <v>2245468.25868</v>
      </c>
      <c r="T11" s="33">
        <f t="shared" si="6"/>
        <v>1228530.87304</v>
      </c>
      <c r="U11" s="33">
        <f t="shared" si="6"/>
        <v>-335876.15336000035</v>
      </c>
      <c r="V11" s="33">
        <f t="shared" si="6"/>
        <v>272281.09030712384</v>
      </c>
      <c r="W11" s="33">
        <f t="shared" si="6"/>
        <v>745231.32227287651</v>
      </c>
      <c r="X11" s="33">
        <f t="shared" si="6"/>
        <v>1910167.1845100001</v>
      </c>
      <c r="Y11" s="33">
        <f t="shared" si="6"/>
        <v>1494826</v>
      </c>
      <c r="Z11" s="33">
        <f t="shared" ref="Z11" si="7">SUM(Z8:Z10)</f>
        <v>210299</v>
      </c>
      <c r="AA11" s="33">
        <v>469207</v>
      </c>
      <c r="AB11" s="33">
        <v>433065</v>
      </c>
      <c r="AC11" s="33">
        <v>2607397</v>
      </c>
      <c r="AD11" s="33">
        <v>-289211</v>
      </c>
      <c r="AF11" s="33">
        <f t="shared" si="2"/>
        <v>64338.095000000001</v>
      </c>
      <c r="AG11" s="33">
        <f t="shared" si="3"/>
        <v>97924.081999999995</v>
      </c>
      <c r="AH11" s="33">
        <f t="shared" ref="AH11" si="8">SUM(AH8:AH10)</f>
        <v>-21989.62267610088</v>
      </c>
      <c r="AI11" s="33">
        <f t="shared" ref="AI11:AO11" si="9">SUM(AI8:AI10)</f>
        <v>564928.97285612684</v>
      </c>
      <c r="AJ11" s="33">
        <f t="shared" si="9"/>
        <v>697801.6214143784</v>
      </c>
      <c r="AK11" s="33">
        <f t="shared" si="9"/>
        <v>634956.64473702596</v>
      </c>
      <c r="AL11" s="33">
        <f t="shared" si="9"/>
        <v>996343</v>
      </c>
      <c r="AM11" s="33">
        <f t="shared" si="9"/>
        <v>1265152.86099</v>
      </c>
      <c r="AN11" s="33">
        <f t="shared" si="9"/>
        <v>774880.38277531066</v>
      </c>
      <c r="AO11" s="33">
        <f t="shared" si="9"/>
        <v>1817814.90475</v>
      </c>
      <c r="AP11" s="33">
        <f t="shared" si="1"/>
        <v>2245468.25868</v>
      </c>
      <c r="AQ11" s="33">
        <f t="shared" ref="AQ11:AS11" si="10">SUM(AQ8:AQ10)</f>
        <v>2735672.1317199999</v>
      </c>
      <c r="AR11" s="33">
        <f t="shared" si="10"/>
        <v>2843305.6641346891</v>
      </c>
      <c r="AS11" s="33">
        <f t="shared" si="10"/>
        <v>2189466.0686671236</v>
      </c>
      <c r="AT11" s="33">
        <f t="shared" si="4"/>
        <v>1910167.1845100001</v>
      </c>
      <c r="AU11" s="33">
        <f>Y11</f>
        <v>1494826</v>
      </c>
      <c r="AV11" s="33">
        <f>SUM(AV8:AV10)</f>
        <v>2722637.4125800002</v>
      </c>
      <c r="AW11" s="33">
        <v>2919563.3222728763</v>
      </c>
      <c r="AX11" s="33">
        <v>2607397</v>
      </c>
      <c r="AY11" s="33">
        <v>823360</v>
      </c>
    </row>
    <row r="12" spans="2:51" ht="14.25" customHeight="1" x14ac:dyDescent="0.45">
      <c r="B12" s="7" t="s">
        <v>95</v>
      </c>
      <c r="C12" s="49">
        <v>-109791</v>
      </c>
      <c r="D12" s="49">
        <v>-386852</v>
      </c>
      <c r="E12" s="49">
        <v>-280821.54723825096</v>
      </c>
      <c r="F12" s="49">
        <v>-331645.33842770907</v>
      </c>
      <c r="G12" s="49">
        <v>-263967.08942403994</v>
      </c>
      <c r="H12" s="49">
        <v>-277093.0562528501</v>
      </c>
      <c r="I12" s="49">
        <v>-1153527.0313428501</v>
      </c>
      <c r="J12" s="49">
        <v>-281400.13901000004</v>
      </c>
      <c r="K12" s="49">
        <v>-142676.30605497377</v>
      </c>
      <c r="L12" s="49">
        <v>-84638.646482943717</v>
      </c>
      <c r="M12" s="49">
        <v>-106203.90845208248</v>
      </c>
      <c r="N12" s="49">
        <v>-614919</v>
      </c>
      <c r="O12" s="49">
        <v>-145563</v>
      </c>
      <c r="P12" s="49">
        <v>-132775</v>
      </c>
      <c r="Q12" s="49">
        <v>-125442</v>
      </c>
      <c r="R12" s="49">
        <v>-215712</v>
      </c>
      <c r="S12" s="49">
        <v>-619492</v>
      </c>
      <c r="T12" s="49">
        <v>-281895</v>
      </c>
      <c r="U12" s="49">
        <v>-197750</v>
      </c>
      <c r="V12" s="49">
        <v>-105987</v>
      </c>
      <c r="W12" s="49">
        <v>-97730.088052876279</v>
      </c>
      <c r="X12" s="49">
        <v>-683361.77852000005</v>
      </c>
      <c r="Y12" s="49">
        <v>-332648.49566416751</v>
      </c>
      <c r="Z12" s="49">
        <v>-58934.504335832491</v>
      </c>
      <c r="AA12" s="49">
        <v>-197864</v>
      </c>
      <c r="AB12" s="49">
        <v>-148882</v>
      </c>
      <c r="AC12" s="49">
        <v>-738329</v>
      </c>
      <c r="AD12" s="49">
        <v>-101207</v>
      </c>
      <c r="AF12" s="36">
        <f t="shared" si="2"/>
        <v>-109791</v>
      </c>
      <c r="AG12" s="36">
        <f t="shared" si="3"/>
        <v>-386852</v>
      </c>
      <c r="AH12" s="36">
        <v>-1153527.0313428501</v>
      </c>
      <c r="AI12" s="36">
        <f>SUM(F12:H12,J12)</f>
        <v>-1154105.6231145991</v>
      </c>
      <c r="AJ12" s="36">
        <f>SUM(G12:H12,J12:K12)</f>
        <v>-965136.59074186382</v>
      </c>
      <c r="AK12" s="36">
        <f>SUM(H12,J12:L12)</f>
        <v>-785808.14780076756</v>
      </c>
      <c r="AL12" s="36">
        <f>N12</f>
        <v>-614919</v>
      </c>
      <c r="AM12" s="32">
        <f>SUM(O12,K12:M12)</f>
        <v>-479081.86098999996</v>
      </c>
      <c r="AN12" s="32">
        <f>SUM(O12:P12,L12:M12)</f>
        <v>-469180.55493502622</v>
      </c>
      <c r="AO12" s="32">
        <f>SUM(O12:Q12,M12)</f>
        <v>-509983.90845208248</v>
      </c>
      <c r="AP12" s="32">
        <f t="shared" si="1"/>
        <v>-619492</v>
      </c>
      <c r="AQ12" s="32">
        <f>SUM(T12,P12:R12)</f>
        <v>-755824</v>
      </c>
      <c r="AR12" s="32">
        <f>SUM(U12,T12,R12,Q12)</f>
        <v>-820799</v>
      </c>
      <c r="AS12" s="32">
        <f>SUM(V12,U12,T12,R12)</f>
        <v>-801344</v>
      </c>
      <c r="AT12" s="32">
        <f t="shared" si="4"/>
        <v>-683361.77852000005</v>
      </c>
      <c r="AU12" s="32">
        <f t="shared" si="5"/>
        <v>-734115.58371704374</v>
      </c>
      <c r="AV12" s="32">
        <f>SUM(Y12,W12,V12,Z12)</f>
        <v>-595300.08805287629</v>
      </c>
      <c r="AW12" s="32">
        <v>-687177.08805287629</v>
      </c>
      <c r="AX12" s="32">
        <v>-738329</v>
      </c>
      <c r="AY12" s="32">
        <v>-452857.50433583249</v>
      </c>
    </row>
    <row r="13" spans="2:51" ht="14.25" customHeight="1" x14ac:dyDescent="0.45">
      <c r="B13" s="7" t="s">
        <v>194</v>
      </c>
      <c r="C13" s="49">
        <v>-16216</v>
      </c>
      <c r="D13" s="49">
        <v>-29333</v>
      </c>
      <c r="E13" s="49">
        <v>-15875.356539999999</v>
      </c>
      <c r="F13" s="49">
        <v>-20141.643459999999</v>
      </c>
      <c r="G13" s="49">
        <v>-18847.468903560635</v>
      </c>
      <c r="H13" s="49">
        <v>-50812.440204999955</v>
      </c>
      <c r="I13" s="49">
        <v>-105676.90910856059</v>
      </c>
      <c r="J13" s="49">
        <v>-67693</v>
      </c>
      <c r="K13" s="49">
        <v>-76280.478819999989</v>
      </c>
      <c r="L13" s="49">
        <v>-71876.681080000009</v>
      </c>
      <c r="M13" s="49">
        <v>-168559.8401</v>
      </c>
      <c r="N13" s="49">
        <v>-384410</v>
      </c>
      <c r="O13" s="49">
        <v>-18075.91090909089</v>
      </c>
      <c r="P13" s="49">
        <v>-183666</v>
      </c>
      <c r="Q13" s="49">
        <v>-50578.482500000042</v>
      </c>
      <c r="R13" s="49">
        <v>-234282.60659090901</v>
      </c>
      <c r="S13" s="49">
        <v>-486603</v>
      </c>
      <c r="T13" s="49">
        <v>-113293</v>
      </c>
      <c r="U13" s="49">
        <v>-248938</v>
      </c>
      <c r="V13" s="49">
        <v>-111970</v>
      </c>
      <c r="W13" s="49">
        <v>-452620.84782608703</v>
      </c>
      <c r="X13" s="49">
        <v>-926822</v>
      </c>
      <c r="Y13" s="49">
        <v>-112416</v>
      </c>
      <c r="Z13" s="49">
        <v>-187133</v>
      </c>
      <c r="AA13" s="49">
        <v>-322785</v>
      </c>
      <c r="AB13" s="49">
        <v>-384723</v>
      </c>
      <c r="AC13" s="49">
        <v>-1007057</v>
      </c>
      <c r="AD13" s="49">
        <v>-328450</v>
      </c>
      <c r="AF13" s="36">
        <f t="shared" si="2"/>
        <v>-16216</v>
      </c>
      <c r="AG13" s="36">
        <f t="shared" si="3"/>
        <v>-29333</v>
      </c>
      <c r="AH13" s="36">
        <v>-105676.90910856059</v>
      </c>
      <c r="AI13" s="36">
        <f>SUM(F13:H13,J13)</f>
        <v>-157494.55256856058</v>
      </c>
      <c r="AJ13" s="36">
        <f>SUM(G13:H13,J13:K13)</f>
        <v>-213633.38792856058</v>
      </c>
      <c r="AK13" s="36">
        <f>SUM(H13,J13:L13)</f>
        <v>-266662.60010499996</v>
      </c>
      <c r="AL13" s="36">
        <f>N13</f>
        <v>-384410</v>
      </c>
      <c r="AM13" s="32">
        <f>SUM(O13,K13:M13)</f>
        <v>-334792.91090909089</v>
      </c>
      <c r="AN13" s="32">
        <f>SUM(O13:P13,L13:M13)</f>
        <v>-442178.43208909093</v>
      </c>
      <c r="AO13" s="32">
        <f>SUM(O13:Q13,M13)</f>
        <v>-420880.23350909096</v>
      </c>
      <c r="AP13" s="32">
        <f t="shared" si="1"/>
        <v>-486603</v>
      </c>
      <c r="AQ13" s="32">
        <f>SUM(T13,P13:R13)</f>
        <v>-581820.08909090911</v>
      </c>
      <c r="AR13" s="32">
        <f>SUM(U13,T13,R13,Q13)</f>
        <v>-647092.08909090899</v>
      </c>
      <c r="AS13" s="32">
        <f>SUM(V13,U13,T13,R13)</f>
        <v>-708483.60659090895</v>
      </c>
      <c r="AT13" s="32">
        <f t="shared" si="4"/>
        <v>-926822</v>
      </c>
      <c r="AU13" s="32">
        <f t="shared" si="5"/>
        <v>-925944.84782608703</v>
      </c>
      <c r="AV13" s="32">
        <f>SUM(Y13,W13,V13,Z13)</f>
        <v>-864139.84782608703</v>
      </c>
      <c r="AW13" s="32">
        <v>-1074954.8478260869</v>
      </c>
      <c r="AX13" s="32">
        <v>-1007057</v>
      </c>
      <c r="AY13" s="32">
        <v>-1223091</v>
      </c>
    </row>
    <row r="14" spans="2:51" ht="14.25" customHeight="1" x14ac:dyDescent="0.45">
      <c r="B14" s="7" t="s">
        <v>195</v>
      </c>
      <c r="C14" s="36">
        <v>-12681</v>
      </c>
      <c r="D14" s="36">
        <v>-158171</v>
      </c>
      <c r="E14" s="36">
        <v>-29026</v>
      </c>
      <c r="F14" s="36">
        <v>-146391</v>
      </c>
      <c r="G14" s="36">
        <v>-51394</v>
      </c>
      <c r="H14" s="36">
        <v>-575709</v>
      </c>
      <c r="I14" s="36">
        <v>-802520</v>
      </c>
      <c r="J14" s="36">
        <v>-199335</v>
      </c>
      <c r="K14" s="36">
        <v>-16790.233640767168</v>
      </c>
      <c r="L14" s="36">
        <v>41261.163762943819</v>
      </c>
      <c r="M14" s="36">
        <v>-222493.93438490998</v>
      </c>
      <c r="N14" s="36">
        <v>-397357.93438490998</v>
      </c>
      <c r="O14" s="36">
        <v>318259.05223999999</v>
      </c>
      <c r="P14" s="36">
        <v>-262360.40375</v>
      </c>
      <c r="Q14" s="36">
        <v>-284347.89162000001</v>
      </c>
      <c r="R14" s="36">
        <v>440113.47949</v>
      </c>
      <c r="S14" s="36">
        <v>211663.23636000004</v>
      </c>
      <c r="T14" s="36">
        <v>-708822.28444000008</v>
      </c>
      <c r="U14" s="36">
        <v>-213143.19646000001</v>
      </c>
      <c r="V14" s="36">
        <v>-495184.29138262058</v>
      </c>
      <c r="W14" s="36">
        <v>29505.593587507436</v>
      </c>
      <c r="X14" s="36">
        <v>-1387644.3883040764</v>
      </c>
      <c r="Y14" s="36">
        <v>-596617.78709127696</v>
      </c>
      <c r="Z14" s="36">
        <v>124336.65664247112</v>
      </c>
      <c r="AA14" s="36">
        <v>-161730.00000000047</v>
      </c>
      <c r="AB14" s="36">
        <v>-84540.999999999505</v>
      </c>
      <c r="AC14" s="36">
        <v>-718552.13044880494</v>
      </c>
      <c r="AD14" s="36">
        <v>-331322.99999999977</v>
      </c>
      <c r="AF14" s="36">
        <f t="shared" si="2"/>
        <v>-12681</v>
      </c>
      <c r="AG14" s="36">
        <f t="shared" si="3"/>
        <v>-158171</v>
      </c>
      <c r="AH14" s="36">
        <v>-563329.56000000006</v>
      </c>
      <c r="AI14" s="36">
        <f>SUM(F14:H14,J14)</f>
        <v>-972829</v>
      </c>
      <c r="AJ14" s="36">
        <f>SUM(G14:H14,J14:K14)</f>
        <v>-843228.23364076717</v>
      </c>
      <c r="AK14" s="36">
        <f>SUM(H14,J14:L14)</f>
        <v>-750573.06987782335</v>
      </c>
      <c r="AL14" s="36">
        <f>N14</f>
        <v>-397357.93438490998</v>
      </c>
      <c r="AM14" s="32">
        <f>SUM(O14,K14:M14)</f>
        <v>120236.04797726666</v>
      </c>
      <c r="AN14" s="32">
        <f>SUM(O14:P14,L14:M14)</f>
        <v>-125334.12213196617</v>
      </c>
      <c r="AO14" s="32">
        <f>SUM(O14:Q14,M14)</f>
        <v>-450943.17751491</v>
      </c>
      <c r="AP14" s="32">
        <f t="shared" si="1"/>
        <v>211663.23636000004</v>
      </c>
      <c r="AQ14" s="32">
        <f>SUM(T14,P14:R14)</f>
        <v>-815417.10031999997</v>
      </c>
      <c r="AR14" s="32">
        <f>SUM(U14,T14,R14,Q14)</f>
        <v>-766199.89303000015</v>
      </c>
      <c r="AS14" s="32">
        <f>SUM(V14,U14,T14,R14)</f>
        <v>-977036.2927926206</v>
      </c>
      <c r="AT14" s="32">
        <f t="shared" si="4"/>
        <v>-1387644.3883040764</v>
      </c>
      <c r="AU14" s="32">
        <f t="shared" si="5"/>
        <v>-1275439.6813463899</v>
      </c>
      <c r="AV14" s="32">
        <f>SUM(Y14,W14,V14,Z14)</f>
        <v>-937959.82824391907</v>
      </c>
      <c r="AW14" s="32">
        <v>-604505.53686129884</v>
      </c>
      <c r="AX14" s="32">
        <v>-718552.13044880494</v>
      </c>
      <c r="AY14" s="32">
        <v>-507338.34335752868</v>
      </c>
    </row>
    <row r="15" spans="2:51" ht="14.25" customHeight="1" x14ac:dyDescent="0.45">
      <c r="B15" s="7" t="s">
        <v>179</v>
      </c>
      <c r="C15" s="49">
        <v>0</v>
      </c>
      <c r="D15" s="49">
        <v>-16031</v>
      </c>
      <c r="E15" s="49">
        <v>0</v>
      </c>
      <c r="F15" s="49">
        <v>0</v>
      </c>
      <c r="G15" s="49">
        <v>0</v>
      </c>
      <c r="H15" s="49">
        <v>-31318</v>
      </c>
      <c r="I15" s="49">
        <v>-31318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-254275</v>
      </c>
      <c r="P15" s="49">
        <v>-259445</v>
      </c>
      <c r="Q15" s="49">
        <v>-342303</v>
      </c>
      <c r="R15" s="49">
        <v>-287697</v>
      </c>
      <c r="S15" s="49">
        <v>-1143720</v>
      </c>
      <c r="T15" s="49">
        <v>-377500</v>
      </c>
      <c r="U15" s="49">
        <v>-325000</v>
      </c>
      <c r="V15" s="49">
        <v>-10400</v>
      </c>
      <c r="W15" s="49">
        <v>0</v>
      </c>
      <c r="X15" s="49">
        <v>-712900</v>
      </c>
      <c r="Y15" s="49">
        <v>-645384</v>
      </c>
      <c r="Z15" s="49">
        <v>0</v>
      </c>
      <c r="AA15" s="49">
        <v>-20525</v>
      </c>
      <c r="AB15" s="49">
        <v>0</v>
      </c>
      <c r="AC15" s="49">
        <v>-665909</v>
      </c>
      <c r="AD15" s="49">
        <v>0</v>
      </c>
      <c r="AF15" s="36">
        <f t="shared" si="2"/>
        <v>0</v>
      </c>
      <c r="AG15" s="36">
        <f t="shared" si="3"/>
        <v>-16031</v>
      </c>
      <c r="AH15" s="36">
        <v>-68291</v>
      </c>
      <c r="AI15" s="36">
        <f>SUM(F15:H15,J15)</f>
        <v>-31318</v>
      </c>
      <c r="AJ15" s="36">
        <f>SUM(G15:H15,J15:K15)</f>
        <v>-31318</v>
      </c>
      <c r="AK15" s="36">
        <f>SUM(H15,J15:L15)</f>
        <v>-31318</v>
      </c>
      <c r="AL15" s="36">
        <f>N15</f>
        <v>0</v>
      </c>
      <c r="AM15" s="32">
        <f>SUM(O15,K15:M15)</f>
        <v>-254275</v>
      </c>
      <c r="AN15" s="32">
        <f>SUM(O15:P15,L15:M15)</f>
        <v>-513720</v>
      </c>
      <c r="AO15" s="32">
        <f>SUM(O15:Q15,M15)</f>
        <v>-856023</v>
      </c>
      <c r="AP15" s="32">
        <f t="shared" si="1"/>
        <v>-1143720</v>
      </c>
      <c r="AQ15" s="32">
        <f>SUM(T15,P15:R15)</f>
        <v>-1266945</v>
      </c>
      <c r="AR15" s="32">
        <f>SUM(U15,T15,R15,Q15)</f>
        <v>-1332500</v>
      </c>
      <c r="AS15" s="32">
        <f>SUM(V15,U15,T15,R15)</f>
        <v>-1000597</v>
      </c>
      <c r="AT15" s="32">
        <f t="shared" si="4"/>
        <v>-712900</v>
      </c>
      <c r="AU15" s="32">
        <f t="shared" si="5"/>
        <v>-980784</v>
      </c>
      <c r="AV15" s="32">
        <f>SUM(Y15,W15,V15,Z15)</f>
        <v>-655784</v>
      </c>
      <c r="AW15" s="32">
        <v>-665909</v>
      </c>
      <c r="AX15" s="32">
        <v>-665909</v>
      </c>
      <c r="AY15" s="32">
        <v>-20525</v>
      </c>
    </row>
    <row r="16" spans="2:51" ht="14.25" customHeight="1" x14ac:dyDescent="0.45">
      <c r="B16" s="7" t="s">
        <v>192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-276759.52380952385</v>
      </c>
      <c r="R16" s="49">
        <v>-0.47619047615444288</v>
      </c>
      <c r="S16" s="49">
        <v>-276760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-5953</v>
      </c>
      <c r="AB16" s="49">
        <v>5953</v>
      </c>
      <c r="AC16" s="49">
        <v>0</v>
      </c>
      <c r="AD16" s="49">
        <v>0</v>
      </c>
      <c r="AF16" s="36">
        <f t="shared" si="2"/>
        <v>0</v>
      </c>
      <c r="AG16" s="36">
        <f t="shared" si="3"/>
        <v>0</v>
      </c>
      <c r="AH16" s="36">
        <v>0</v>
      </c>
      <c r="AI16" s="36">
        <f>SUM(F16:H16,J16)</f>
        <v>0</v>
      </c>
      <c r="AJ16" s="36">
        <f>SUM(G16:H16,J16:K16)</f>
        <v>0</v>
      </c>
      <c r="AK16" s="36">
        <f>SUM(H16,J16:L16)</f>
        <v>0</v>
      </c>
      <c r="AL16" s="36">
        <f>N16</f>
        <v>0</v>
      </c>
      <c r="AM16" s="32">
        <f>SUM(O16,K16:M16)</f>
        <v>0</v>
      </c>
      <c r="AN16" s="32">
        <f>SUM(O16:P16,L16:M16)</f>
        <v>0</v>
      </c>
      <c r="AO16" s="32">
        <f>SUM(O16:Q16,M16)</f>
        <v>-276759.52380952385</v>
      </c>
      <c r="AP16" s="32">
        <f t="shared" si="1"/>
        <v>-276760</v>
      </c>
      <c r="AQ16" s="32">
        <f>SUM(T16,P16:R16)</f>
        <v>-276760</v>
      </c>
      <c r="AR16" s="32">
        <f>SUM(U16,T16,R16,Q16)</f>
        <v>-276760</v>
      </c>
      <c r="AS16" s="32">
        <f>SUM(V16,U16,T16,R16)</f>
        <v>-0.47619047615444288</v>
      </c>
      <c r="AT16" s="32">
        <f t="shared" si="4"/>
        <v>0</v>
      </c>
      <c r="AU16" s="32">
        <f t="shared" si="5"/>
        <v>0</v>
      </c>
      <c r="AV16" s="32">
        <f>SUM(Y16,W16,V16,Z16)</f>
        <v>0</v>
      </c>
      <c r="AW16" s="32">
        <v>-5953</v>
      </c>
      <c r="AX16" s="32">
        <v>0</v>
      </c>
      <c r="AY16" s="32">
        <v>0</v>
      </c>
    </row>
    <row r="17" spans="2:51" ht="14.25" customHeight="1" thickBot="1" x14ac:dyDescent="0.5">
      <c r="B17" s="8" t="s">
        <v>96</v>
      </c>
      <c r="C17" s="37">
        <f t="shared" ref="C17:Y17" si="11">C7-SUM(C8:C10,C12:C16)</f>
        <v>198774.49799999999</v>
      </c>
      <c r="D17" s="37">
        <f>D7-SUM(D8:D10,D12:D16)</f>
        <v>695925.41599999997</v>
      </c>
      <c r="E17" s="37">
        <f t="shared" si="11"/>
        <v>899861.06965999957</v>
      </c>
      <c r="F17" s="37">
        <f t="shared" si="11"/>
        <v>1484148.90766596</v>
      </c>
      <c r="G17" s="37">
        <f t="shared" si="11"/>
        <v>1872326.3255162083</v>
      </c>
      <c r="H17" s="37">
        <f t="shared" si="11"/>
        <v>2571767.2724870322</v>
      </c>
      <c r="I17" s="37">
        <f t="shared" si="11"/>
        <v>2571767.2724870322</v>
      </c>
      <c r="J17" s="37">
        <f t="shared" si="11"/>
        <v>2650679.2724870322</v>
      </c>
      <c r="K17" s="37">
        <f>K7-SUM(K8:K10,K12:K16)</f>
        <v>2839663.6040901258</v>
      </c>
      <c r="L17" s="37">
        <f t="shared" si="11"/>
        <v>3071731.6040901258</v>
      </c>
      <c r="M17" s="37">
        <f t="shared" si="11"/>
        <v>2972112.382277118</v>
      </c>
      <c r="N17" s="37">
        <f t="shared" si="11"/>
        <v>2972111.3123992947</v>
      </c>
      <c r="O17" s="37">
        <f t="shared" si="11"/>
        <v>2333440.2409462091</v>
      </c>
      <c r="P17" s="37">
        <f t="shared" si="11"/>
        <v>3615196.3304708982</v>
      </c>
      <c r="Q17" s="37">
        <f t="shared" si="11"/>
        <v>3768506.5426257327</v>
      </c>
      <c r="R17" s="37">
        <f t="shared" si="11"/>
        <v>3041554.8872371176</v>
      </c>
      <c r="S17" s="37">
        <f t="shared" si="11"/>
        <v>3041555.8872371181</v>
      </c>
      <c r="T17" s="37">
        <f t="shared" si="11"/>
        <v>3294535.2986371182</v>
      </c>
      <c r="U17" s="37">
        <f t="shared" si="11"/>
        <v>4615242.6484571183</v>
      </c>
      <c r="V17" s="37">
        <f t="shared" si="11"/>
        <v>5066502.8495326154</v>
      </c>
      <c r="W17" s="37">
        <f t="shared" si="11"/>
        <v>4842116.8695511948</v>
      </c>
      <c r="X17" s="37">
        <f t="shared" si="11"/>
        <v>4842116.8695511948</v>
      </c>
      <c r="Y17" s="37">
        <f t="shared" si="11"/>
        <v>5034357.1523066396</v>
      </c>
      <c r="Z17" s="37">
        <f t="shared" ref="Z17" si="12">Z7-SUM(Z8:Z10,Z12:Z16)</f>
        <v>4945789.0000000009</v>
      </c>
      <c r="AA17" s="37">
        <v>5185439</v>
      </c>
      <c r="AB17" s="37">
        <v>5364566.9999999991</v>
      </c>
      <c r="AC17" s="37">
        <v>5364567</v>
      </c>
      <c r="AD17" s="37">
        <v>6414758</v>
      </c>
      <c r="AF17" s="37">
        <f t="shared" ref="AF17:AS17" si="13">AF7-SUM(AF8:AF10,AF12:AF16)</f>
        <v>198774.49799999999</v>
      </c>
      <c r="AG17" s="37">
        <f t="shared" si="13"/>
        <v>695925.41599999997</v>
      </c>
      <c r="AH17" s="37">
        <f t="shared" si="13"/>
        <v>2608740.1231275117</v>
      </c>
      <c r="AI17" s="37">
        <f t="shared" si="13"/>
        <v>2650679.2724870322</v>
      </c>
      <c r="AJ17" s="37">
        <f t="shared" si="13"/>
        <v>2839663.4985627732</v>
      </c>
      <c r="AK17" s="37">
        <f t="shared" si="13"/>
        <v>3071731.4985627732</v>
      </c>
      <c r="AL17" s="37">
        <f t="shared" si="13"/>
        <v>2972111.3123992947</v>
      </c>
      <c r="AM17" s="37">
        <f t="shared" si="13"/>
        <v>2333440.2409462091</v>
      </c>
      <c r="AN17" s="37">
        <f t="shared" si="13"/>
        <v>3615196.3304708982</v>
      </c>
      <c r="AO17" s="37">
        <f t="shared" si="13"/>
        <v>3768506.5426257327</v>
      </c>
      <c r="AP17" s="37">
        <f t="shared" si="13"/>
        <v>3041555.8872371181</v>
      </c>
      <c r="AQ17" s="37">
        <f t="shared" si="13"/>
        <v>3294534.2986371182</v>
      </c>
      <c r="AR17" s="37">
        <f t="shared" si="13"/>
        <v>4615241.6484571183</v>
      </c>
      <c r="AS17" s="37">
        <f t="shared" si="13"/>
        <v>5066501.8495326154</v>
      </c>
      <c r="AT17" s="37">
        <f>AT7-SUM(AT8:AT10,AT12:AT16)</f>
        <v>4842116.8695511948</v>
      </c>
      <c r="AU17" s="37">
        <f>AU7-SUM(AU8:AU10,AU12:AU16)</f>
        <v>5034357.1523066387</v>
      </c>
      <c r="AV17" s="37">
        <f>AV7-SUM(AV8:AV10,AV12:AV16)</f>
        <v>4945789</v>
      </c>
      <c r="AW17" s="37">
        <v>5185439.0000000009</v>
      </c>
      <c r="AX17" s="37">
        <v>5364567</v>
      </c>
      <c r="AY17" s="37">
        <v>6414809</v>
      </c>
    </row>
    <row r="18" spans="2:51" ht="5.25" customHeight="1" x14ac:dyDescent="0.4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2:51" ht="14.25" customHeight="1" x14ac:dyDescent="0.45">
      <c r="B19" s="7" t="s">
        <v>97</v>
      </c>
      <c r="C19" s="35">
        <f t="shared" ref="C19:Y19" si="14">C17-C7</f>
        <v>74349.904999999999</v>
      </c>
      <c r="D19" s="35">
        <f t="shared" si="14"/>
        <v>492462.91799999995</v>
      </c>
      <c r="E19" s="35">
        <f t="shared" si="14"/>
        <v>203935.06965999957</v>
      </c>
      <c r="F19" s="35">
        <f t="shared" si="14"/>
        <v>584287.83800596045</v>
      </c>
      <c r="G19" s="35">
        <f>G17-G7</f>
        <v>388177.41785024828</v>
      </c>
      <c r="H19" s="35">
        <f t="shared" si="14"/>
        <v>699440.94697082392</v>
      </c>
      <c r="I19" s="35">
        <f t="shared" si="14"/>
        <v>1875841.2724870322</v>
      </c>
      <c r="J19" s="35">
        <f t="shared" si="14"/>
        <v>78912</v>
      </c>
      <c r="K19" s="35">
        <f t="shared" si="14"/>
        <v>188984.226075741</v>
      </c>
      <c r="L19" s="35">
        <f t="shared" si="14"/>
        <v>232068</v>
      </c>
      <c r="M19" s="35">
        <f t="shared" si="14"/>
        <v>-99619.221813007724</v>
      </c>
      <c r="N19" s="35">
        <f t="shared" si="14"/>
        <v>400343.93438490992</v>
      </c>
      <c r="O19" s="35">
        <f t="shared" si="14"/>
        <v>-638672.14133090898</v>
      </c>
      <c r="P19" s="35">
        <f t="shared" si="14"/>
        <v>1281756.0895246891</v>
      </c>
      <c r="Q19" s="35">
        <f t="shared" si="14"/>
        <v>153310.21215483453</v>
      </c>
      <c r="R19" s="35">
        <f t="shared" si="14"/>
        <v>-726951.65538861509</v>
      </c>
      <c r="S19" s="35">
        <f t="shared" si="14"/>
        <v>69443.504960000049</v>
      </c>
      <c r="T19" s="35">
        <f t="shared" si="14"/>
        <v>252979.4114000001</v>
      </c>
      <c r="U19" s="35">
        <f t="shared" si="14"/>
        <v>1320707.3498200001</v>
      </c>
      <c r="V19" s="35">
        <f t="shared" si="14"/>
        <v>451260.20107549708</v>
      </c>
      <c r="W19" s="35">
        <f t="shared" si="14"/>
        <v>-224385.97998142056</v>
      </c>
      <c r="X19" s="35">
        <f t="shared" si="14"/>
        <v>1800560.9823140767</v>
      </c>
      <c r="Y19" s="35">
        <f t="shared" si="14"/>
        <v>192240.28275544476</v>
      </c>
      <c r="Z19" s="35">
        <f t="shared" ref="Z19" si="15">Z17-Z7</f>
        <v>-88568.152306638658</v>
      </c>
      <c r="AA19" s="35">
        <v>239650</v>
      </c>
      <c r="AB19" s="35">
        <v>179127.99999999907</v>
      </c>
      <c r="AC19" s="35">
        <v>522450.13044880517</v>
      </c>
      <c r="AD19" s="35">
        <v>1050191</v>
      </c>
      <c r="AF19" s="35">
        <f t="shared" ref="AF19:AU19" si="16">(AF7-AF17)*-1</f>
        <v>74349.904999999999</v>
      </c>
      <c r="AG19" s="35">
        <f t="shared" si="16"/>
        <v>492462.91799999995</v>
      </c>
      <c r="AH19" s="35">
        <f t="shared" si="16"/>
        <v>1912814.1231275117</v>
      </c>
      <c r="AI19" s="35">
        <f t="shared" si="16"/>
        <v>1750818.2028270327</v>
      </c>
      <c r="AJ19" s="35">
        <f t="shared" si="16"/>
        <v>1355514.5908968132</v>
      </c>
      <c r="AK19" s="35">
        <f t="shared" si="16"/>
        <v>1199405.1730465649</v>
      </c>
      <c r="AL19" s="35">
        <f t="shared" si="16"/>
        <v>400343.93438490992</v>
      </c>
      <c r="AM19" s="35">
        <f t="shared" si="16"/>
        <v>-317239.13706817571</v>
      </c>
      <c r="AN19" s="35">
        <f t="shared" si="16"/>
        <v>775532.72638077242</v>
      </c>
      <c r="AO19" s="35">
        <f t="shared" si="16"/>
        <v>696774.93853560695</v>
      </c>
      <c r="AP19" s="35">
        <f t="shared" si="16"/>
        <v>69443.504960000049</v>
      </c>
      <c r="AQ19" s="35">
        <f t="shared" si="16"/>
        <v>961094.05769090913</v>
      </c>
      <c r="AR19" s="35">
        <f t="shared" si="16"/>
        <v>1000045.3179862201</v>
      </c>
      <c r="AS19" s="35">
        <f t="shared" si="16"/>
        <v>1297995.3069068827</v>
      </c>
      <c r="AT19" s="35">
        <f t="shared" si="16"/>
        <v>1800560.9823140767</v>
      </c>
      <c r="AU19" s="35">
        <f t="shared" si="16"/>
        <v>1739821.8536695205</v>
      </c>
      <c r="AV19" s="35">
        <f>(AV7-AV17)*-1</f>
        <v>330546.35154288169</v>
      </c>
      <c r="AW19" s="35">
        <v>118936.15046738554</v>
      </c>
      <c r="AX19" s="35">
        <v>522450.13044880517</v>
      </c>
      <c r="AY19" s="35">
        <v>1380451.8476933613</v>
      </c>
    </row>
    <row r="20" spans="2:51" ht="14.25" customHeight="1" x14ac:dyDescent="0.45">
      <c r="B20" s="7"/>
      <c r="C20" s="7"/>
      <c r="D20" s="7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AA20" s="49"/>
      <c r="AB20" s="49"/>
      <c r="AC20" s="49"/>
      <c r="AH20" s="49"/>
      <c r="AI20" s="49"/>
      <c r="AJ20" s="49"/>
      <c r="AK20" s="49"/>
    </row>
    <row r="21" spans="2:51" ht="14.25" customHeight="1" x14ac:dyDescent="0.45">
      <c r="B21" s="24" t="s">
        <v>196</v>
      </c>
      <c r="C21" s="24"/>
      <c r="D21" s="24"/>
      <c r="E21" s="49"/>
      <c r="F21" s="49"/>
      <c r="G21" s="49"/>
      <c r="H21" s="49"/>
      <c r="I21" s="73"/>
      <c r="AH21" s="49"/>
      <c r="AI21" s="49"/>
      <c r="AJ21" s="49"/>
      <c r="AK21" s="49"/>
    </row>
    <row r="22" spans="2:51" ht="14.25" customHeight="1" x14ac:dyDescent="0.45">
      <c r="B22" s="7"/>
      <c r="C22" s="7"/>
      <c r="D22" s="7"/>
      <c r="E22" s="49"/>
      <c r="F22" s="49"/>
      <c r="G22" s="49"/>
      <c r="H22" s="49"/>
      <c r="U22" s="58"/>
      <c r="V22" s="58"/>
      <c r="W22" s="58"/>
      <c r="X22" s="58"/>
      <c r="Y22" s="58"/>
      <c r="Z22" s="58"/>
      <c r="AH22" s="49"/>
      <c r="AI22" s="49"/>
      <c r="AJ22" s="49"/>
      <c r="AK22" s="49"/>
    </row>
    <row r="23" spans="2:51" ht="14.25" customHeight="1" x14ac:dyDescent="0.45">
      <c r="B23" s="6"/>
      <c r="C23" s="6"/>
      <c r="D23" s="6"/>
      <c r="E23" s="34"/>
      <c r="F23" s="32"/>
      <c r="G23" s="32"/>
      <c r="H23" s="32"/>
      <c r="I23" s="32"/>
      <c r="J23" s="34"/>
      <c r="K23" s="32"/>
      <c r="L23" s="32"/>
      <c r="M23" s="32"/>
      <c r="N23" s="49"/>
      <c r="O23"/>
      <c r="P23"/>
      <c r="Q23"/>
      <c r="R23"/>
      <c r="S23"/>
      <c r="T23"/>
      <c r="U23" s="6"/>
      <c r="V23" s="6"/>
      <c r="W23" s="6"/>
      <c r="X23" s="6"/>
      <c r="Y23" s="6"/>
      <c r="Z23" s="6"/>
      <c r="AA23"/>
      <c r="AB23"/>
      <c r="AC23"/>
      <c r="AH23" s="49"/>
      <c r="AI23" s="32"/>
      <c r="AJ23" s="32"/>
      <c r="AK23" s="32"/>
    </row>
    <row r="24" spans="2:51" ht="14.25" customHeight="1" x14ac:dyDescent="0.45">
      <c r="B24"/>
      <c r="C24"/>
      <c r="D24"/>
      <c r="E24"/>
      <c r="F24"/>
      <c r="G24"/>
      <c r="H24"/>
      <c r="I24"/>
      <c r="J24"/>
      <c r="K24"/>
      <c r="L24"/>
      <c r="M24"/>
      <c r="N24" s="49"/>
      <c r="O24"/>
      <c r="P24"/>
      <c r="Q24"/>
      <c r="R24"/>
      <c r="S24"/>
      <c r="T24"/>
      <c r="U24" s="6"/>
      <c r="V24" s="6"/>
      <c r="W24" s="6"/>
      <c r="X24" s="6"/>
      <c r="Y24" s="6"/>
      <c r="Z24" s="6"/>
      <c r="AA24"/>
      <c r="AB24"/>
      <c r="AC24"/>
      <c r="AH24" s="49"/>
      <c r="AI24"/>
      <c r="AJ24"/>
      <c r="AK24"/>
    </row>
    <row r="25" spans="2:51" ht="14.25" customHeight="1" x14ac:dyDescent="0.4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 s="6"/>
      <c r="V25" s="6"/>
      <c r="W25" s="6"/>
      <c r="X25" s="6"/>
      <c r="Y25" s="6"/>
      <c r="Z25" s="6"/>
      <c r="AA25"/>
      <c r="AB25"/>
      <c r="AC25"/>
      <c r="AH25" s="49"/>
      <c r="AI25"/>
      <c r="AJ25"/>
      <c r="AK25"/>
    </row>
    <row r="26" spans="2:51" ht="14.25" customHeight="1" x14ac:dyDescent="0.4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AA26"/>
      <c r="AB26"/>
      <c r="AC26"/>
      <c r="AH26" s="49"/>
      <c r="AI26"/>
      <c r="AJ26"/>
      <c r="AK26"/>
    </row>
    <row r="27" spans="2:51" ht="14.25" customHeight="1" x14ac:dyDescent="0.45">
      <c r="B27"/>
      <c r="C27"/>
      <c r="D27"/>
      <c r="E27"/>
      <c r="F27"/>
      <c r="M27"/>
      <c r="N27"/>
      <c r="O27"/>
      <c r="P27"/>
      <c r="Q27"/>
      <c r="R27"/>
      <c r="S27"/>
      <c r="T27"/>
      <c r="AA27"/>
      <c r="AB27"/>
      <c r="AC27"/>
      <c r="AH27" s="49"/>
      <c r="AI27"/>
      <c r="AJ27"/>
      <c r="AK27"/>
    </row>
    <row r="28" spans="2:51" ht="14.25" customHeight="1" x14ac:dyDescent="0.45">
      <c r="B28"/>
      <c r="C28"/>
      <c r="D28"/>
      <c r="E28"/>
      <c r="F28"/>
      <c r="M28"/>
      <c r="N28"/>
      <c r="O28"/>
      <c r="P28"/>
      <c r="Q28"/>
      <c r="R28"/>
      <c r="S28"/>
      <c r="T28"/>
      <c r="AA28"/>
      <c r="AB28"/>
      <c r="AC28"/>
      <c r="AH28" s="49"/>
      <c r="AI28"/>
      <c r="AJ28"/>
      <c r="AK28"/>
    </row>
    <row r="29" spans="2:51" ht="14.25" customHeight="1" x14ac:dyDescent="0.4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AA29"/>
      <c r="AB29"/>
      <c r="AC29"/>
      <c r="AH29" s="49"/>
      <c r="AI29"/>
      <c r="AJ29"/>
      <c r="AK29"/>
    </row>
    <row r="30" spans="2:51" ht="14.25" customHeight="1" x14ac:dyDescent="0.4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AA30"/>
      <c r="AB30"/>
      <c r="AC30"/>
      <c r="AH30" s="49"/>
      <c r="AI30"/>
      <c r="AJ30"/>
      <c r="AK30"/>
    </row>
    <row r="31" spans="2:51" ht="14.25" customHeight="1" x14ac:dyDescent="0.4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AA31"/>
      <c r="AB31"/>
      <c r="AC31"/>
      <c r="AH31" s="49"/>
      <c r="AI31"/>
      <c r="AJ31"/>
      <c r="AK31"/>
    </row>
    <row r="32" spans="2:51" ht="16.5" x14ac:dyDescent="0.4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AA32"/>
      <c r="AB32"/>
      <c r="AC32"/>
      <c r="AH32" s="49"/>
      <c r="AI32"/>
      <c r="AJ32"/>
      <c r="AK32"/>
    </row>
    <row r="33" spans="2:37" ht="16.5" x14ac:dyDescent="0.4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AA33"/>
      <c r="AB33"/>
      <c r="AC33"/>
      <c r="AH33" s="49"/>
      <c r="AI33"/>
      <c r="AJ33"/>
      <c r="AK33"/>
    </row>
    <row r="34" spans="2:37" ht="16.5" x14ac:dyDescent="0.4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AA34"/>
      <c r="AB34"/>
      <c r="AC34"/>
      <c r="AH34"/>
      <c r="AI34"/>
      <c r="AJ34"/>
      <c r="AK34"/>
    </row>
    <row r="35" spans="2:37" ht="16.5" x14ac:dyDescent="0.4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AA35"/>
      <c r="AB35"/>
      <c r="AC35"/>
      <c r="AH35"/>
      <c r="AI35"/>
      <c r="AJ35"/>
      <c r="AK35"/>
    </row>
    <row r="36" spans="2:37" ht="16.5" x14ac:dyDescent="0.4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AA36"/>
      <c r="AB36"/>
      <c r="AC36"/>
      <c r="AH36"/>
      <c r="AI36"/>
      <c r="AJ36"/>
      <c r="AK36"/>
    </row>
    <row r="37" spans="2:37" ht="16.5" x14ac:dyDescent="0.4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AA37"/>
      <c r="AB37"/>
      <c r="AC37"/>
      <c r="AH37"/>
      <c r="AI37"/>
      <c r="AJ37"/>
      <c r="AK37"/>
    </row>
    <row r="38" spans="2:37" ht="14.25" customHeight="1" x14ac:dyDescent="0.4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AA38"/>
      <c r="AB38"/>
      <c r="AC38"/>
      <c r="AH38"/>
      <c r="AI38"/>
      <c r="AJ38"/>
      <c r="AK38"/>
    </row>
    <row r="39" spans="2:37" ht="16.5" x14ac:dyDescent="0.4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AA39"/>
      <c r="AB39"/>
      <c r="AC39"/>
      <c r="AH39"/>
      <c r="AI39"/>
      <c r="AJ39"/>
      <c r="AK39"/>
    </row>
    <row r="40" spans="2:37" ht="14.25" customHeight="1" x14ac:dyDescent="0.4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AA40"/>
      <c r="AB40"/>
      <c r="AC40"/>
      <c r="AH40"/>
      <c r="AI40"/>
      <c r="AJ40"/>
      <c r="AK40"/>
    </row>
    <row r="41" spans="2:37" ht="14.25" customHeight="1" x14ac:dyDescent="0.4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AA41"/>
      <c r="AB41"/>
      <c r="AC41"/>
      <c r="AH41"/>
      <c r="AI41"/>
      <c r="AJ41"/>
      <c r="AK41"/>
    </row>
    <row r="42" spans="2:37" ht="14.25" customHeight="1" x14ac:dyDescent="0.4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AA42"/>
      <c r="AB42"/>
      <c r="AC42"/>
      <c r="AH42"/>
      <c r="AI42"/>
      <c r="AJ42"/>
      <c r="AK42"/>
    </row>
    <row r="43" spans="2:37" ht="14.25" customHeight="1" x14ac:dyDescent="0.4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AA43"/>
      <c r="AB43"/>
      <c r="AC43"/>
      <c r="AH43"/>
      <c r="AI43"/>
      <c r="AJ43"/>
      <c r="AK43"/>
    </row>
    <row r="44" spans="2:37" ht="15" customHeight="1" x14ac:dyDescent="0.4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AA44"/>
      <c r="AB44"/>
      <c r="AC44"/>
      <c r="AH44"/>
      <c r="AI44"/>
      <c r="AJ44"/>
      <c r="AK44"/>
    </row>
    <row r="45" spans="2:37" ht="15" customHeight="1" x14ac:dyDescent="0.4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AA45"/>
      <c r="AB45"/>
      <c r="AC45"/>
      <c r="AH45"/>
      <c r="AI45"/>
      <c r="AJ45"/>
      <c r="AK45"/>
    </row>
    <row r="46" spans="2:37" ht="15" customHeight="1" x14ac:dyDescent="0.4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AA46"/>
      <c r="AB46"/>
      <c r="AC46"/>
      <c r="AH46"/>
      <c r="AI46"/>
      <c r="AJ46"/>
      <c r="AK46"/>
    </row>
    <row r="47" spans="2:37" ht="15" customHeight="1" x14ac:dyDescent="0.4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AA47"/>
      <c r="AB47"/>
      <c r="AC47"/>
      <c r="AH47"/>
      <c r="AI47"/>
      <c r="AJ47"/>
      <c r="AK47"/>
    </row>
    <row r="48" spans="2:37" ht="14.25" customHeight="1" x14ac:dyDescent="0.4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AA48"/>
      <c r="AB48"/>
      <c r="AC48"/>
      <c r="AH48"/>
      <c r="AI48"/>
      <c r="AJ48"/>
      <c r="AK48"/>
    </row>
    <row r="49" spans="2:37" ht="14.25" customHeight="1" x14ac:dyDescent="0.4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AA49"/>
      <c r="AB49"/>
      <c r="AC49"/>
      <c r="AH49"/>
      <c r="AI49"/>
      <c r="AJ49"/>
      <c r="AK49"/>
    </row>
    <row r="50" spans="2:37" ht="14.25" customHeight="1" x14ac:dyDescent="0.4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AA50"/>
      <c r="AB50"/>
      <c r="AC50"/>
      <c r="AH50"/>
      <c r="AI50"/>
      <c r="AJ50"/>
      <c r="AK50"/>
    </row>
    <row r="51" spans="2:37" ht="14.25" customHeight="1" x14ac:dyDescent="0.4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AA51"/>
      <c r="AB51"/>
      <c r="AC51"/>
      <c r="AH51"/>
      <c r="AI51"/>
      <c r="AJ51"/>
      <c r="AK51"/>
    </row>
    <row r="52" spans="2:37" ht="14.25" customHeight="1" x14ac:dyDescent="0.4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AA52"/>
      <c r="AB52"/>
      <c r="AC52"/>
      <c r="AH52"/>
      <c r="AI52"/>
      <c r="AJ52"/>
      <c r="AK52"/>
    </row>
    <row r="53" spans="2:37" ht="13.5" customHeight="1" x14ac:dyDescent="0.4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AA53"/>
      <c r="AB53"/>
      <c r="AC53"/>
      <c r="AH53"/>
      <c r="AI53"/>
      <c r="AJ53"/>
      <c r="AK53"/>
    </row>
    <row r="54" spans="2:37" ht="13.5" customHeight="1" x14ac:dyDescent="0.4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AA54"/>
      <c r="AB54"/>
      <c r="AC54"/>
      <c r="AH54"/>
      <c r="AI54"/>
      <c r="AJ54"/>
      <c r="AK54"/>
    </row>
    <row r="55" spans="2:37" ht="13.5" customHeight="1" x14ac:dyDescent="0.4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AA55"/>
      <c r="AB55"/>
      <c r="AC55"/>
      <c r="AH55"/>
      <c r="AI55"/>
      <c r="AJ55"/>
      <c r="AK55"/>
    </row>
    <row r="56" spans="2:37" ht="13.5" customHeight="1" x14ac:dyDescent="0.4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AA56"/>
      <c r="AB56"/>
      <c r="AC56"/>
      <c r="AH56"/>
      <c r="AI56"/>
      <c r="AJ56"/>
      <c r="AK56"/>
    </row>
    <row r="57" spans="2:37" ht="13.5" customHeight="1" x14ac:dyDescent="0.4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AA57"/>
      <c r="AB57"/>
      <c r="AC57"/>
      <c r="AH57"/>
      <c r="AI57"/>
      <c r="AJ57"/>
      <c r="AK57"/>
    </row>
    <row r="58" spans="2:37" ht="14.25" customHeight="1" x14ac:dyDescent="0.4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AA58"/>
      <c r="AB58"/>
      <c r="AC58"/>
      <c r="AH58"/>
      <c r="AI58"/>
      <c r="AJ58"/>
      <c r="AK58"/>
    </row>
    <row r="59" spans="2:37" ht="14.25" customHeight="1" x14ac:dyDescent="0.4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AA59"/>
      <c r="AB59"/>
      <c r="AC59"/>
      <c r="AH59"/>
      <c r="AI59"/>
      <c r="AJ59"/>
      <c r="AK59"/>
    </row>
    <row r="60" spans="2:37" ht="14.25" customHeight="1" x14ac:dyDescent="0.4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AA60"/>
      <c r="AB60"/>
      <c r="AC60"/>
      <c r="AH60"/>
      <c r="AI60"/>
      <c r="AJ60"/>
      <c r="AK60"/>
    </row>
    <row r="61" spans="2:37" ht="14.25" customHeight="1" x14ac:dyDescent="0.4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AA61"/>
      <c r="AB61"/>
      <c r="AC61"/>
      <c r="AH61"/>
      <c r="AI61"/>
      <c r="AJ61"/>
      <c r="AK61"/>
    </row>
    <row r="62" spans="2:37" ht="14.25" customHeight="1" x14ac:dyDescent="0.4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AA62"/>
      <c r="AB62"/>
      <c r="AC62"/>
      <c r="AH62"/>
      <c r="AI62"/>
      <c r="AJ62"/>
      <c r="AK62"/>
    </row>
    <row r="63" spans="2:37" ht="14.25" customHeight="1" x14ac:dyDescent="0.4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AA63"/>
      <c r="AB63"/>
      <c r="AC63"/>
      <c r="AH63"/>
      <c r="AI63"/>
      <c r="AJ63"/>
      <c r="AK63"/>
    </row>
  </sheetData>
  <mergeCells count="49">
    <mergeCell ref="AH5:AH6"/>
    <mergeCell ref="AJ5:AJ6"/>
    <mergeCell ref="AM5:AM6"/>
    <mergeCell ref="C5:C6"/>
    <mergeCell ref="D5:D6"/>
    <mergeCell ref="AF5:AF6"/>
    <mergeCell ref="AG5:AG6"/>
    <mergeCell ref="K5:K6"/>
    <mergeCell ref="L5:L6"/>
    <mergeCell ref="V5:V6"/>
    <mergeCell ref="E5:E6"/>
    <mergeCell ref="F5:F6"/>
    <mergeCell ref="G5:G6"/>
    <mergeCell ref="H5:H6"/>
    <mergeCell ref="I5:I6"/>
    <mergeCell ref="J5:J6"/>
    <mergeCell ref="R5:R6"/>
    <mergeCell ref="AY5:AY6"/>
    <mergeCell ref="AX5:AX6"/>
    <mergeCell ref="N5:N6"/>
    <mergeCell ref="M5:M6"/>
    <mergeCell ref="AS5:AS6"/>
    <mergeCell ref="AI5:AI6"/>
    <mergeCell ref="O5:O6"/>
    <mergeCell ref="T5:T6"/>
    <mergeCell ref="U5:U6"/>
    <mergeCell ref="AQ5:AQ6"/>
    <mergeCell ref="S5:S6"/>
    <mergeCell ref="P5:P6"/>
    <mergeCell ref="AL5:AL6"/>
    <mergeCell ref="Q5:Q6"/>
    <mergeCell ref="AD5:AD6"/>
    <mergeCell ref="AN5:AN6"/>
    <mergeCell ref="X2:AD3"/>
    <mergeCell ref="AW5:AW6"/>
    <mergeCell ref="AV5:AV6"/>
    <mergeCell ref="W5:W6"/>
    <mergeCell ref="Y5:Y6"/>
    <mergeCell ref="Z5:Z6"/>
    <mergeCell ref="AU5:AU6"/>
    <mergeCell ref="X5:X6"/>
    <mergeCell ref="AT5:AT6"/>
    <mergeCell ref="AP5:AP6"/>
    <mergeCell ref="AO5:AO6"/>
    <mergeCell ref="AA5:AA6"/>
    <mergeCell ref="AB5:AB6"/>
    <mergeCell ref="AC5:AC6"/>
    <mergeCell ref="AR5:AR6"/>
    <mergeCell ref="AK5:AK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0AAB-C397-47C5-B2A3-43F440BA40B7}">
  <sheetPr>
    <tabColor rgb="FF1B7754"/>
    <outlinePr summaryRight="0"/>
  </sheetPr>
  <dimension ref="A2:Y50"/>
  <sheetViews>
    <sheetView showGridLines="0" zoomScaleNormal="100" workbookViewId="0"/>
  </sheetViews>
  <sheetFormatPr defaultColWidth="9.1796875" defaultRowHeight="14.25" customHeight="1" x14ac:dyDescent="0.45"/>
  <cols>
    <col min="1" max="1" width="1.7265625" style="2" customWidth="1"/>
    <col min="2" max="2" width="53.1796875" style="2" customWidth="1"/>
    <col min="3" max="8" width="10.81640625" style="2" customWidth="1"/>
    <col min="9" max="9" width="11.1796875" style="2" bestFit="1" customWidth="1"/>
    <col min="10" max="24" width="10.81640625" style="2" customWidth="1"/>
    <col min="25" max="25" width="10.7265625" style="2" customWidth="1"/>
    <col min="26" max="16384" width="9.1796875" style="2"/>
  </cols>
  <sheetData>
    <row r="2" spans="1:25" ht="14.25" customHeight="1" x14ac:dyDescent="0.45">
      <c r="S2" s="109" t="s">
        <v>205</v>
      </c>
      <c r="T2" s="109"/>
      <c r="U2" s="109"/>
      <c r="V2" s="109"/>
      <c r="W2" s="109"/>
      <c r="X2" s="109"/>
      <c r="Y2" s="109"/>
    </row>
    <row r="3" spans="1:25" ht="14.25" customHeight="1" x14ac:dyDescent="0.45">
      <c r="I3" s="61"/>
      <c r="S3" s="109"/>
      <c r="T3" s="109"/>
      <c r="U3" s="109"/>
      <c r="V3" s="109"/>
      <c r="W3" s="109"/>
      <c r="X3" s="109"/>
      <c r="Y3" s="109"/>
    </row>
    <row r="5" spans="1:25" s="11" customFormat="1" ht="14.25" customHeight="1" x14ac:dyDescent="0.4">
      <c r="B5" s="76" t="s">
        <v>101</v>
      </c>
      <c r="C5" s="110" t="s">
        <v>19</v>
      </c>
      <c r="D5" s="110" t="s">
        <v>9</v>
      </c>
      <c r="E5" s="110" t="s">
        <v>23</v>
      </c>
      <c r="F5" s="110" t="s">
        <v>24</v>
      </c>
      <c r="G5" s="110" t="s">
        <v>25</v>
      </c>
      <c r="H5" s="110" t="s">
        <v>86</v>
      </c>
      <c r="I5" s="110" t="s">
        <v>26</v>
      </c>
      <c r="J5" s="110" t="s">
        <v>27</v>
      </c>
      <c r="K5" s="110" t="s">
        <v>28</v>
      </c>
      <c r="L5" s="110" t="s">
        <v>87</v>
      </c>
      <c r="M5" s="110" t="s">
        <v>29</v>
      </c>
      <c r="N5" s="110" t="s">
        <v>182</v>
      </c>
      <c r="O5" s="110" t="s">
        <v>185</v>
      </c>
      <c r="P5" s="110" t="s">
        <v>201</v>
      </c>
      <c r="Q5" s="110" t="s">
        <v>204</v>
      </c>
      <c r="R5" s="110" t="s">
        <v>207</v>
      </c>
      <c r="S5" s="110" t="s">
        <v>238</v>
      </c>
      <c r="T5" s="110" t="s">
        <v>243</v>
      </c>
      <c r="U5" s="110" t="s">
        <v>250</v>
      </c>
      <c r="V5" s="110" t="s">
        <v>325</v>
      </c>
      <c r="W5" s="110" t="s">
        <v>361</v>
      </c>
      <c r="X5" s="110" t="s">
        <v>370</v>
      </c>
      <c r="Y5" s="110" t="s">
        <v>374</v>
      </c>
    </row>
    <row r="6" spans="1:25" ht="14.25" customHeight="1" x14ac:dyDescent="0.45">
      <c r="B6" s="77" t="s">
        <v>22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</row>
    <row r="7" spans="1:25" ht="14.5" customHeight="1" x14ac:dyDescent="0.45">
      <c r="B7" s="6" t="s">
        <v>234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2826534</v>
      </c>
      <c r="L7" s="6">
        <v>3459887.7266947818</v>
      </c>
      <c r="M7" s="6">
        <v>2955878.1719011841</v>
      </c>
      <c r="N7" s="6">
        <v>3307088.9261245606</v>
      </c>
      <c r="O7" s="6">
        <v>3796126.547410585</v>
      </c>
      <c r="P7" s="6">
        <v>3308427.9087991854</v>
      </c>
      <c r="Q7" s="6">
        <v>3435962.8403765606</v>
      </c>
      <c r="R7" s="6">
        <v>3387582.6926613464</v>
      </c>
      <c r="S7" s="6">
        <v>3105739.4731393382</v>
      </c>
      <c r="T7" s="6">
        <v>3107827.0215485548</v>
      </c>
      <c r="U7" s="6">
        <v>2464967.1099920315</v>
      </c>
      <c r="V7" s="6">
        <v>2478615.5504874429</v>
      </c>
      <c r="W7" s="6">
        <v>2153721.9576061214</v>
      </c>
      <c r="X7" s="6">
        <v>3194881.8555224999</v>
      </c>
      <c r="Y7" s="6">
        <v>3269349.8785698172</v>
      </c>
    </row>
    <row r="8" spans="1:25" ht="14.5" customHeight="1" x14ac:dyDescent="0.45">
      <c r="B8" s="6" t="s">
        <v>109</v>
      </c>
      <c r="C8" s="7">
        <v>437929.49800000002</v>
      </c>
      <c r="D8" s="6">
        <v>705686</v>
      </c>
      <c r="E8" s="6">
        <v>948717</v>
      </c>
      <c r="F8" s="6">
        <v>1358677</v>
      </c>
      <c r="G8" s="6">
        <v>1649109</v>
      </c>
      <c r="H8" s="6">
        <v>2419889</v>
      </c>
      <c r="I8" s="6">
        <v>2659403</v>
      </c>
      <c r="J8" s="6">
        <v>2741039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</row>
    <row r="9" spans="1:25" ht="14.5" customHeight="1" x14ac:dyDescent="0.45">
      <c r="B9" s="6" t="s">
        <v>235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194732</v>
      </c>
      <c r="I9" s="6">
        <v>315921</v>
      </c>
      <c r="J9" s="6">
        <v>315067</v>
      </c>
      <c r="K9" s="6">
        <v>316575</v>
      </c>
      <c r="L9" s="6">
        <v>251920.71523999999</v>
      </c>
      <c r="M9" s="6">
        <v>254142.73180000001</v>
      </c>
      <c r="N9" s="6">
        <v>533781.44572999992</v>
      </c>
      <c r="O9" s="6">
        <v>547910.85721000005</v>
      </c>
      <c r="P9" s="6">
        <v>1226612.81168</v>
      </c>
      <c r="Q9" s="6">
        <v>1979649.8880300003</v>
      </c>
      <c r="R9" s="6">
        <v>1983796.5107</v>
      </c>
      <c r="S9" s="6">
        <v>2016020.77572</v>
      </c>
      <c r="T9" s="6">
        <v>2046623.0291700002</v>
      </c>
      <c r="U9" s="6">
        <v>3173588.3669299996</v>
      </c>
      <c r="V9" s="6">
        <v>3071004.5242399997</v>
      </c>
      <c r="W9" s="6">
        <v>4024626.45854</v>
      </c>
      <c r="X9" s="6">
        <v>4858563.8032499999</v>
      </c>
      <c r="Y9" s="6">
        <v>4905355.7203900004</v>
      </c>
    </row>
    <row r="10" spans="1:25" ht="14.5" customHeight="1" x14ac:dyDescent="0.45">
      <c r="B10" s="6" t="s">
        <v>354</v>
      </c>
      <c r="C10" s="6">
        <v>0</v>
      </c>
      <c r="D10" s="6">
        <v>40799</v>
      </c>
      <c r="E10" s="6">
        <v>47017</v>
      </c>
      <c r="F10" s="6">
        <v>249329</v>
      </c>
      <c r="G10" s="6">
        <v>431876</v>
      </c>
      <c r="H10" s="6">
        <v>422552</v>
      </c>
      <c r="I10" s="6">
        <v>571924</v>
      </c>
      <c r="J10" s="6">
        <v>533708</v>
      </c>
      <c r="K10" s="6">
        <v>593059</v>
      </c>
      <c r="L10" s="6">
        <v>237791.54750999997</v>
      </c>
      <c r="M10" s="6">
        <v>154344.26506999999</v>
      </c>
      <c r="N10" s="6">
        <v>579379.67199000006</v>
      </c>
      <c r="O10" s="6">
        <v>574443.95103</v>
      </c>
      <c r="P10" s="6">
        <v>758529.74038000067</v>
      </c>
      <c r="Q10" s="6">
        <v>1130182.1048799991</v>
      </c>
      <c r="R10" s="6">
        <v>1372330.9623492616</v>
      </c>
      <c r="S10" s="6">
        <v>1392872.8551869702</v>
      </c>
      <c r="T10" s="6">
        <v>1744995.1912029719</v>
      </c>
      <c r="U10" s="6">
        <v>2210238.4626411358</v>
      </c>
      <c r="V10" s="6">
        <v>1996923.3306431244</v>
      </c>
      <c r="W10" s="6">
        <v>2099782.553982785</v>
      </c>
      <c r="X10" s="6">
        <v>1937468.7090201192</v>
      </c>
      <c r="Y10" s="6">
        <v>2102400.4756723763</v>
      </c>
    </row>
    <row r="11" spans="1:25" ht="14.5" customHeight="1" x14ac:dyDescent="0.45">
      <c r="B11" s="38" t="s">
        <v>233</v>
      </c>
      <c r="C11" s="4">
        <v>437929.49800000002</v>
      </c>
      <c r="D11" s="4">
        <v>746485</v>
      </c>
      <c r="E11" s="4">
        <v>995734</v>
      </c>
      <c r="F11" s="4">
        <v>1608006</v>
      </c>
      <c r="G11" s="4">
        <v>2080985</v>
      </c>
      <c r="H11" s="4">
        <v>3037173</v>
      </c>
      <c r="I11" s="4">
        <v>3547248</v>
      </c>
      <c r="J11" s="4">
        <v>3589814</v>
      </c>
      <c r="K11" s="4">
        <v>3736168</v>
      </c>
      <c r="L11" s="4">
        <v>3949599.989444782</v>
      </c>
      <c r="M11" s="4">
        <v>3364365.168771184</v>
      </c>
      <c r="N11" s="4">
        <v>4420250.0438445602</v>
      </c>
      <c r="O11" s="4">
        <v>4918481.3556505851</v>
      </c>
      <c r="P11" s="4">
        <v>5293570.460859186</v>
      </c>
      <c r="Q11" s="4">
        <v>6545794.8332865601</v>
      </c>
      <c r="R11" s="4">
        <v>6743710.1657106075</v>
      </c>
      <c r="S11" s="4">
        <v>6514633.1040463084</v>
      </c>
      <c r="T11" s="4">
        <v>6899445.2419215273</v>
      </c>
      <c r="U11" s="4">
        <v>7848793.9395631673</v>
      </c>
      <c r="V11" s="4">
        <v>7546543.405370567</v>
      </c>
      <c r="W11" s="4">
        <v>8278130.9701289069</v>
      </c>
      <c r="X11" s="4">
        <v>9990915.3677926194</v>
      </c>
      <c r="Y11" s="4">
        <v>10277106.074632194</v>
      </c>
    </row>
    <row r="12" spans="1:25" ht="14.5" customHeight="1" x14ac:dyDescent="0.45">
      <c r="B12" s="6" t="s">
        <v>232</v>
      </c>
      <c r="C12" s="6">
        <v>234467</v>
      </c>
      <c r="D12" s="6">
        <v>50559</v>
      </c>
      <c r="E12" s="6">
        <v>95872.361000000004</v>
      </c>
      <c r="F12" s="6">
        <v>123856.936</v>
      </c>
      <c r="G12" s="6">
        <v>208658</v>
      </c>
      <c r="H12" s="6">
        <v>465405</v>
      </c>
      <c r="I12" s="6">
        <v>896568</v>
      </c>
      <c r="J12" s="6">
        <v>750149</v>
      </c>
      <c r="K12" s="6">
        <v>664435</v>
      </c>
      <c r="L12" s="6">
        <v>977488.11758478219</v>
      </c>
      <c r="M12" s="6">
        <v>1030925.793461184</v>
      </c>
      <c r="N12" s="6">
        <v>805054.57949736994</v>
      </c>
      <c r="O12" s="6">
        <v>1149974.3937424803</v>
      </c>
      <c r="P12" s="6">
        <v>2252014.9000011096</v>
      </c>
      <c r="Q12" s="6">
        <v>3251259.7524565598</v>
      </c>
      <c r="R12" s="6">
        <v>2128468.3427784541</v>
      </c>
      <c r="S12" s="6">
        <v>1448130.254513693</v>
      </c>
      <c r="T12" s="6">
        <v>2057328.372370332</v>
      </c>
      <c r="U12" s="6">
        <v>2814436.7872565282</v>
      </c>
      <c r="V12" s="6">
        <v>2600754.0710099763</v>
      </c>
      <c r="W12" s="6">
        <v>3092692.1191199999</v>
      </c>
      <c r="X12" s="6">
        <v>4626348</v>
      </c>
      <c r="Y12" s="6">
        <v>3862347</v>
      </c>
    </row>
    <row r="13" spans="1:25" ht="14.5" customHeight="1" x14ac:dyDescent="0.45">
      <c r="B13" s="38" t="s">
        <v>102</v>
      </c>
      <c r="C13" s="4">
        <v>203462.49800000002</v>
      </c>
      <c r="D13" s="4">
        <v>695926</v>
      </c>
      <c r="E13" s="4">
        <v>899861.63899999997</v>
      </c>
      <c r="F13" s="4">
        <v>1484149.064</v>
      </c>
      <c r="G13" s="4">
        <v>1872327</v>
      </c>
      <c r="H13" s="4">
        <v>2571768</v>
      </c>
      <c r="I13" s="4">
        <v>2650680</v>
      </c>
      <c r="J13" s="4">
        <v>2839665</v>
      </c>
      <c r="K13" s="4">
        <v>3071733</v>
      </c>
      <c r="L13" s="4">
        <v>2972111.8718599998</v>
      </c>
      <c r="M13" s="4">
        <v>2333439.37531</v>
      </c>
      <c r="N13" s="4">
        <v>3615195.4643471902</v>
      </c>
      <c r="O13" s="4">
        <v>3768506.9619081048</v>
      </c>
      <c r="P13" s="4">
        <v>3041555.5608580764</v>
      </c>
      <c r="Q13" s="4">
        <v>3294535.0808300003</v>
      </c>
      <c r="R13" s="4">
        <v>4615241.8229321539</v>
      </c>
      <c r="S13" s="4">
        <v>5066502.8495326154</v>
      </c>
      <c r="T13" s="4">
        <v>4842116.8695511948</v>
      </c>
      <c r="U13" s="4">
        <v>5034357.1523066387</v>
      </c>
      <c r="V13" s="4">
        <v>4945789</v>
      </c>
      <c r="W13" s="4">
        <v>5185439</v>
      </c>
      <c r="X13" s="4">
        <v>5364567</v>
      </c>
      <c r="Y13" s="4">
        <v>6414758</v>
      </c>
    </row>
    <row r="14" spans="1:25" ht="14.5" customHeight="1" x14ac:dyDescent="0.45">
      <c r="A14" s="12"/>
      <c r="B14" s="24" t="s">
        <v>2</v>
      </c>
      <c r="C14" s="6">
        <v>78219</v>
      </c>
      <c r="D14" s="6">
        <v>212613.29374999995</v>
      </c>
      <c r="E14" s="6">
        <v>247792.35320690641</v>
      </c>
      <c r="F14" s="6">
        <v>285354.0480663245</v>
      </c>
      <c r="G14" s="6">
        <v>357006.37596367701</v>
      </c>
      <c r="H14" s="6">
        <v>480242.29168118897</v>
      </c>
      <c r="I14" s="6">
        <v>571590.41784351529</v>
      </c>
      <c r="J14" s="6">
        <v>729062.27782983822</v>
      </c>
      <c r="K14" s="6">
        <v>924668.38257084042</v>
      </c>
      <c r="L14" s="6">
        <v>1160080</v>
      </c>
      <c r="M14" s="6">
        <v>1515551.1599507672</v>
      </c>
      <c r="N14" s="6">
        <v>1888394.9338750262</v>
      </c>
      <c r="O14" s="6">
        <v>2415967.7503966717</v>
      </c>
      <c r="P14" s="6">
        <v>2621768</v>
      </c>
      <c r="Q14" s="6">
        <v>2771562.87304</v>
      </c>
      <c r="R14" s="6">
        <v>2862018.7196799996</v>
      </c>
      <c r="S14" s="6">
        <v>2528857.8099871236</v>
      </c>
      <c r="T14" s="6">
        <v>2392097.1845100001</v>
      </c>
      <c r="U14" s="6">
        <v>2093202.3114700001</v>
      </c>
      <c r="V14" s="6">
        <v>1604529.46483</v>
      </c>
      <c r="W14" s="6">
        <v>1259663.3745228762</v>
      </c>
      <c r="X14" s="6">
        <v>846192</v>
      </c>
      <c r="Y14" s="6">
        <v>867990</v>
      </c>
    </row>
    <row r="15" spans="1:25" s="12" customFormat="1" ht="14.5" customHeight="1" x14ac:dyDescent="0.45">
      <c r="B15" s="38" t="s">
        <v>103</v>
      </c>
      <c r="C15" s="97">
        <v>2.6011902223244996</v>
      </c>
      <c r="D15" s="97">
        <v>3.2732007849814901</v>
      </c>
      <c r="E15" s="97">
        <v>3.6315149654703682</v>
      </c>
      <c r="F15" s="97">
        <v>5.2010794101474991</v>
      </c>
      <c r="G15" s="97">
        <v>5.2445197790823119</v>
      </c>
      <c r="H15" s="97">
        <v>5.3551468593009295</v>
      </c>
      <c r="I15" s="97">
        <v>4.6373765501535722</v>
      </c>
      <c r="J15" s="97">
        <v>3.8949553232306617</v>
      </c>
      <c r="K15" s="97">
        <v>3.3219833811768398</v>
      </c>
      <c r="L15" s="97">
        <v>2.5619887178987653</v>
      </c>
      <c r="M15" s="97">
        <v>1.5396638773882116</v>
      </c>
      <c r="N15" s="97">
        <v>1.9144276440779964</v>
      </c>
      <c r="O15" s="97">
        <v>1.559833305427758</v>
      </c>
      <c r="P15" s="97">
        <v>1.1601162119829354</v>
      </c>
      <c r="Q15" s="97">
        <v>1.1886921681904248</v>
      </c>
      <c r="R15" s="97">
        <v>1.6125826820057212</v>
      </c>
      <c r="S15" s="97">
        <v>2.0034747819840502</v>
      </c>
      <c r="T15" s="97">
        <v>2.0242141084008924</v>
      </c>
      <c r="U15" s="97">
        <v>2.4050982194698345</v>
      </c>
      <c r="V15" s="97">
        <v>3.082392133275039</v>
      </c>
      <c r="W15" s="97">
        <v>4.1165275619481223</v>
      </c>
      <c r="X15" s="97">
        <v>6.33965695728629</v>
      </c>
      <c r="Y15" s="97">
        <v>7.3903593359370499</v>
      </c>
    </row>
    <row r="16" spans="1:25" ht="14.5" customHeight="1" x14ac:dyDescent="0.45">
      <c r="A16" s="12"/>
      <c r="B16" s="24" t="s">
        <v>340</v>
      </c>
      <c r="C16" s="106">
        <v>0</v>
      </c>
      <c r="D16" s="106">
        <v>120760.49118475973</v>
      </c>
      <c r="E16" s="106">
        <v>0</v>
      </c>
      <c r="F16" s="106">
        <v>0</v>
      </c>
      <c r="G16" s="106">
        <v>0</v>
      </c>
      <c r="H16" s="106">
        <v>0</v>
      </c>
      <c r="I16" s="6">
        <v>335857.64545518119</v>
      </c>
      <c r="J16" s="6">
        <v>1435325.544356778</v>
      </c>
      <c r="K16" s="6">
        <v>1423111.1059748079</v>
      </c>
      <c r="L16" s="6">
        <v>806095.41647660197</v>
      </c>
      <c r="M16" s="6">
        <v>831306.39973014174</v>
      </c>
      <c r="N16" s="6">
        <v>2794894.3992541097</v>
      </c>
      <c r="O16" s="6">
        <v>1620020.570321003</v>
      </c>
      <c r="P16" s="6">
        <v>800287.20318117039</v>
      </c>
      <c r="Q16" s="6">
        <v>1628644.9271045544</v>
      </c>
      <c r="R16" s="6">
        <v>2526379.3210198511</v>
      </c>
      <c r="S16" s="6">
        <v>1879765.3033651451</v>
      </c>
      <c r="T16" s="6">
        <v>831579.06323133397</v>
      </c>
      <c r="U16" s="6">
        <v>932027.25548721966</v>
      </c>
      <c r="V16" s="6">
        <v>1902809.6808571781</v>
      </c>
      <c r="W16" s="6">
        <v>1685298.3760696587</v>
      </c>
      <c r="X16" s="6">
        <v>714502.19762090663</v>
      </c>
      <c r="Y16" s="6">
        <v>1426019.4136537018</v>
      </c>
    </row>
    <row r="17" spans="1:25" ht="14.5" customHeight="1" x14ac:dyDescent="0.45">
      <c r="A17" s="12"/>
      <c r="B17" s="24" t="s">
        <v>341</v>
      </c>
      <c r="C17" s="106">
        <v>203462.49800000002</v>
      </c>
      <c r="D17" s="106">
        <v>575165.20681524021</v>
      </c>
      <c r="E17" s="106">
        <v>899860.8914082509</v>
      </c>
      <c r="F17" s="106">
        <v>1484148.9516659598</v>
      </c>
      <c r="G17" s="106">
        <v>1872326.1030435604</v>
      </c>
      <c r="H17" s="106">
        <v>2571767.0500143846</v>
      </c>
      <c r="I17" s="6">
        <v>2314821.7325592036</v>
      </c>
      <c r="J17" s="6">
        <v>1404338.0597333473</v>
      </c>
      <c r="K17" s="6">
        <v>1648620.4981153174</v>
      </c>
      <c r="L17" s="6">
        <v>2166016.9658005163</v>
      </c>
      <c r="M17" s="6">
        <v>1502133.8412160673</v>
      </c>
      <c r="N17" s="6">
        <v>820301.93121678894</v>
      </c>
      <c r="O17" s="6">
        <v>2148485.9723047307</v>
      </c>
      <c r="P17" s="6">
        <v>2241267.6840559486</v>
      </c>
      <c r="Q17" s="6">
        <v>1665890.3715325638</v>
      </c>
      <c r="R17" s="6">
        <v>2088863.3274372672</v>
      </c>
      <c r="S17" s="6">
        <v>3186737.5461674705</v>
      </c>
      <c r="T17" s="6">
        <v>4010537.8063198607</v>
      </c>
      <c r="U17" s="6">
        <v>4102329.8968194192</v>
      </c>
      <c r="V17" s="6">
        <v>3042979.3191428222</v>
      </c>
      <c r="W17" s="6">
        <v>3500140.6239303416</v>
      </c>
      <c r="X17" s="6">
        <v>4650064.8023790931</v>
      </c>
      <c r="Y17" s="6">
        <v>4988738.5863462985</v>
      </c>
    </row>
    <row r="18" spans="1:25" s="12" customFormat="1" ht="14.5" customHeight="1" x14ac:dyDescent="0.45">
      <c r="B18" s="38" t="s">
        <v>342</v>
      </c>
      <c r="C18" s="107">
        <v>2.6011902223244996</v>
      </c>
      <c r="D18" s="107">
        <v>2.7052175180143943</v>
      </c>
      <c r="E18" s="107">
        <v>3.6315119484614113</v>
      </c>
      <c r="F18" s="107">
        <v>5.2010790164820122</v>
      </c>
      <c r="G18" s="107">
        <v>5.2445172666441593</v>
      </c>
      <c r="H18" s="107">
        <v>5.3551448811627438</v>
      </c>
      <c r="I18" s="97">
        <v>4.0497910047066847</v>
      </c>
      <c r="J18" s="97">
        <v>1.9262251009798057</v>
      </c>
      <c r="K18" s="97">
        <v>1.7829316208819477</v>
      </c>
      <c r="L18" s="97">
        <v>1.8671272376047483</v>
      </c>
      <c r="M18" s="97">
        <v>0.9911469047767838</v>
      </c>
      <c r="N18" s="97">
        <v>0.43439108869748561</v>
      </c>
      <c r="O18" s="97">
        <v>0.88928586565444678</v>
      </c>
      <c r="P18" s="97">
        <v>0.85486880763513351</v>
      </c>
      <c r="Q18" s="97">
        <v>0.60106533672293183</v>
      </c>
      <c r="R18" s="97">
        <v>0.7298566263992925</v>
      </c>
      <c r="S18" s="97">
        <v>1.2601489627381213</v>
      </c>
      <c r="T18" s="97">
        <v>1.6765781224483924</v>
      </c>
      <c r="U18" s="97">
        <v>1.9598344003062287</v>
      </c>
      <c r="V18" s="97">
        <v>1.8964932622569359</v>
      </c>
      <c r="W18" s="97">
        <v>2.778631731875266</v>
      </c>
      <c r="X18" s="97">
        <v>5.4952833427627459</v>
      </c>
      <c r="Y18" s="97">
        <v>5.7474608997180825</v>
      </c>
    </row>
    <row r="19" spans="1:25" ht="14.5" customHeight="1" x14ac:dyDescent="0.45">
      <c r="A19" s="12"/>
      <c r="B19" s="24" t="s">
        <v>343</v>
      </c>
      <c r="C19" s="106">
        <v>78219</v>
      </c>
      <c r="D19" s="106">
        <v>212613.29374999995</v>
      </c>
      <c r="E19" s="106">
        <v>247792.35320690641</v>
      </c>
      <c r="F19" s="106">
        <v>285354.0480663245</v>
      </c>
      <c r="G19" s="106">
        <v>357006.37596367701</v>
      </c>
      <c r="H19" s="106">
        <v>480242.29168118897</v>
      </c>
      <c r="I19" s="6">
        <v>571590.41784351529</v>
      </c>
      <c r="J19" s="6">
        <v>729062.27782983822</v>
      </c>
      <c r="K19" s="6">
        <v>924668.38257084042</v>
      </c>
      <c r="L19" s="6">
        <v>1160080</v>
      </c>
      <c r="M19" s="6">
        <v>1515551.1599507672</v>
      </c>
      <c r="N19" s="6">
        <v>1888394.9338750262</v>
      </c>
      <c r="O19" s="6">
        <v>2415967.7503966717</v>
      </c>
      <c r="P19" s="6">
        <v>2621768</v>
      </c>
      <c r="Q19" s="6">
        <v>2771562.87304</v>
      </c>
      <c r="R19" s="6">
        <v>2862018.7196800001</v>
      </c>
      <c r="S19" s="6">
        <v>2528857.8099871236</v>
      </c>
      <c r="T19" s="6">
        <v>2392097.1845099996</v>
      </c>
      <c r="U19" s="6">
        <v>2289542.7155249007</v>
      </c>
      <c r="V19" s="6">
        <v>1812156.1918971513</v>
      </c>
      <c r="W19" s="6">
        <v>1374766.2537300913</v>
      </c>
      <c r="X19" s="6">
        <v>886172.28122401622</v>
      </c>
      <c r="Y19" s="6">
        <v>0</v>
      </c>
    </row>
    <row r="20" spans="1:25" s="12" customFormat="1" ht="14.5" customHeight="1" x14ac:dyDescent="0.45">
      <c r="B20" s="38" t="s">
        <v>344</v>
      </c>
      <c r="C20" s="107">
        <v>2.6011902223244996</v>
      </c>
      <c r="D20" s="107">
        <v>2.7052175180143943</v>
      </c>
      <c r="E20" s="107">
        <v>3.6315119484614113</v>
      </c>
      <c r="F20" s="107">
        <v>5.2010790164820122</v>
      </c>
      <c r="G20" s="107">
        <v>5.2445172666441593</v>
      </c>
      <c r="H20" s="107">
        <v>5.3551448811627438</v>
      </c>
      <c r="I20" s="97">
        <v>4.0497910047066847</v>
      </c>
      <c r="J20" s="97">
        <v>1.9262251009798057</v>
      </c>
      <c r="K20" s="97">
        <v>1.7829316208819477</v>
      </c>
      <c r="L20" s="97">
        <v>1.8671272376047483</v>
      </c>
      <c r="M20" s="97">
        <v>0.9911469047767838</v>
      </c>
      <c r="N20" s="97">
        <v>0.43439108869748561</v>
      </c>
      <c r="O20" s="97">
        <v>0.88928586565444678</v>
      </c>
      <c r="P20" s="97">
        <v>0.85486880763513351</v>
      </c>
      <c r="Q20" s="97">
        <v>0.60106533672293183</v>
      </c>
      <c r="R20" s="97">
        <v>0.7298566263992925</v>
      </c>
      <c r="S20" s="97">
        <v>1.2601489627381213</v>
      </c>
      <c r="T20" s="97">
        <v>1.6765781224483924</v>
      </c>
      <c r="U20" s="97">
        <v>1.7917682290888899</v>
      </c>
      <c r="V20" s="97">
        <v>1.6792036650864619</v>
      </c>
      <c r="W20" s="97">
        <v>2.5459896287340249</v>
      </c>
      <c r="X20" s="97">
        <v>5.2473597977542692</v>
      </c>
      <c r="Y20" s="6">
        <v>0</v>
      </c>
    </row>
    <row r="21" spans="1:25" ht="14.25" customHeight="1" thickBot="1" x14ac:dyDescent="0.5">
      <c r="B21" s="6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</row>
    <row r="22" spans="1:25" ht="14.25" customHeight="1" thickBot="1" x14ac:dyDescent="0.5">
      <c r="B22" s="9" t="s">
        <v>104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14.25" customHeight="1" x14ac:dyDescent="0.45">
      <c r="B23" s="7" t="s">
        <v>105</v>
      </c>
      <c r="C23" s="7">
        <v>12153.734</v>
      </c>
      <c r="D23" s="6">
        <v>66638</v>
      </c>
      <c r="E23" s="6">
        <v>108858.755</v>
      </c>
      <c r="F23" s="6">
        <v>291622.87099999998</v>
      </c>
      <c r="G23" s="6">
        <v>412957</v>
      </c>
      <c r="H23" s="6">
        <v>538943</v>
      </c>
      <c r="I23" s="6">
        <v>649182</v>
      </c>
      <c r="J23" s="6">
        <v>694724</v>
      </c>
      <c r="K23" s="6">
        <v>867389</v>
      </c>
      <c r="L23" s="6">
        <v>751890</v>
      </c>
      <c r="M23" s="6">
        <v>457209</v>
      </c>
      <c r="N23" s="6">
        <v>936187</v>
      </c>
      <c r="O23" s="6">
        <v>974300</v>
      </c>
      <c r="P23" s="6">
        <v>955552</v>
      </c>
      <c r="Q23" s="6">
        <v>640538</v>
      </c>
      <c r="R23" s="6">
        <v>1264321</v>
      </c>
      <c r="S23" s="6">
        <v>3906946</v>
      </c>
      <c r="T23" s="6">
        <v>4271074</v>
      </c>
      <c r="U23" s="6">
        <v>2978091</v>
      </c>
      <c r="V23" s="6">
        <v>4264453</v>
      </c>
      <c r="W23" s="6">
        <v>2860731</v>
      </c>
      <c r="X23" s="6">
        <v>1031046</v>
      </c>
      <c r="Y23" s="6">
        <v>1315542</v>
      </c>
    </row>
    <row r="24" spans="1:25" ht="14.25" customHeight="1" x14ac:dyDescent="0.45">
      <c r="B24" s="7" t="s">
        <v>106</v>
      </c>
      <c r="C24" s="6">
        <f t="shared" ref="C24:U24" si="0">C11-C23</f>
        <v>425775.76400000002</v>
      </c>
      <c r="D24" s="6">
        <f t="shared" si="0"/>
        <v>679847</v>
      </c>
      <c r="E24" s="6">
        <f t="shared" si="0"/>
        <v>886875.245</v>
      </c>
      <c r="F24" s="6">
        <f t="shared" si="0"/>
        <v>1316383.129</v>
      </c>
      <c r="G24" s="6">
        <f t="shared" si="0"/>
        <v>1668028</v>
      </c>
      <c r="H24" s="6">
        <f t="shared" si="0"/>
        <v>2498230</v>
      </c>
      <c r="I24" s="6">
        <f t="shared" si="0"/>
        <v>2898066</v>
      </c>
      <c r="J24" s="6">
        <f t="shared" si="0"/>
        <v>2895090</v>
      </c>
      <c r="K24" s="6">
        <f t="shared" si="0"/>
        <v>2868779</v>
      </c>
      <c r="L24" s="6">
        <f t="shared" si="0"/>
        <v>3197709.989444782</v>
      </c>
      <c r="M24" s="6">
        <f t="shared" si="0"/>
        <v>2907156.168771184</v>
      </c>
      <c r="N24" s="6">
        <f t="shared" si="0"/>
        <v>3484063.0438445602</v>
      </c>
      <c r="O24" s="6">
        <f t="shared" si="0"/>
        <v>3944181.3556505851</v>
      </c>
      <c r="P24" s="6">
        <f t="shared" si="0"/>
        <v>4338018.460859186</v>
      </c>
      <c r="Q24" s="6">
        <f t="shared" si="0"/>
        <v>5905256.8332865601</v>
      </c>
      <c r="R24" s="6">
        <f t="shared" si="0"/>
        <v>5479389.1657106075</v>
      </c>
      <c r="S24" s="6">
        <f t="shared" si="0"/>
        <v>2607687.1040463084</v>
      </c>
      <c r="T24" s="6">
        <f t="shared" si="0"/>
        <v>2628371.2419215273</v>
      </c>
      <c r="U24" s="6">
        <f t="shared" si="0"/>
        <v>4870702.9395631673</v>
      </c>
      <c r="V24" s="6">
        <f t="shared" ref="V24" si="1">V11-V23</f>
        <v>3282090.405370567</v>
      </c>
      <c r="W24" s="6">
        <v>5417399.9701289069</v>
      </c>
      <c r="X24" s="6">
        <v>8959869.3677926194</v>
      </c>
      <c r="Y24" s="6">
        <v>8961564.0746321939</v>
      </c>
    </row>
    <row r="25" spans="1:25" ht="14.25" customHeight="1" x14ac:dyDescent="0.45">
      <c r="B25" s="27" t="s">
        <v>107</v>
      </c>
      <c r="C25" s="45">
        <f t="shared" ref="C25:U25" si="2">C23/C11*100</f>
        <v>2.7752718315403362</v>
      </c>
      <c r="D25" s="45">
        <f t="shared" si="2"/>
        <v>8.9269040905041628</v>
      </c>
      <c r="E25" s="45">
        <f t="shared" si="2"/>
        <v>10.932513603030529</v>
      </c>
      <c r="F25" s="45">
        <f t="shared" si="2"/>
        <v>18.135683013620596</v>
      </c>
      <c r="G25" s="45">
        <f t="shared" si="2"/>
        <v>19.844304500032436</v>
      </c>
      <c r="H25" s="45">
        <f t="shared" si="2"/>
        <v>17.744889737924048</v>
      </c>
      <c r="I25" s="45">
        <f t="shared" si="2"/>
        <v>18.30100404595337</v>
      </c>
      <c r="J25" s="45">
        <f t="shared" si="2"/>
        <v>19.352646125955271</v>
      </c>
      <c r="K25" s="45">
        <f t="shared" si="2"/>
        <v>23.216006346609682</v>
      </c>
      <c r="L25" s="45">
        <f t="shared" si="2"/>
        <v>19.037117733679594</v>
      </c>
      <c r="M25" s="45">
        <f t="shared" si="2"/>
        <v>13.589755483260845</v>
      </c>
      <c r="N25" s="45">
        <f t="shared" si="2"/>
        <v>21.179503211672191</v>
      </c>
      <c r="O25" s="45">
        <f t="shared" si="2"/>
        <v>19.808959911592993</v>
      </c>
      <c r="P25" s="45">
        <f t="shared" si="2"/>
        <v>18.051181278597863</v>
      </c>
      <c r="Q25" s="45">
        <f t="shared" si="2"/>
        <v>9.7854884901486283</v>
      </c>
      <c r="R25" s="45">
        <f t="shared" si="2"/>
        <v>18.748151520933199</v>
      </c>
      <c r="S25" s="45">
        <f t="shared" si="2"/>
        <v>59.971850104242307</v>
      </c>
      <c r="T25" s="45">
        <f t="shared" si="2"/>
        <v>61.904600301030669</v>
      </c>
      <c r="U25" s="45">
        <f t="shared" si="2"/>
        <v>37.943294510363316</v>
      </c>
      <c r="V25" s="45">
        <f t="shared" ref="V25" si="3">V23/V11*100</f>
        <v>56.508692403003515</v>
      </c>
      <c r="W25" s="45">
        <v>34.557691951513696</v>
      </c>
      <c r="X25" s="45">
        <v>10.319835190714844</v>
      </c>
      <c r="Y25" s="45">
        <v>12.80070469689184</v>
      </c>
    </row>
    <row r="26" spans="1:25" ht="14.25" customHeight="1" x14ac:dyDescent="0.45">
      <c r="B26" s="27" t="s">
        <v>108</v>
      </c>
      <c r="C26" s="45">
        <f t="shared" ref="C26:U26" si="4">C24/C11*100</f>
        <v>97.224728168459663</v>
      </c>
      <c r="D26" s="45">
        <f t="shared" si="4"/>
        <v>91.073095909495834</v>
      </c>
      <c r="E26" s="45">
        <f t="shared" si="4"/>
        <v>89.067486396969471</v>
      </c>
      <c r="F26" s="45">
        <f t="shared" si="4"/>
        <v>81.864316986379407</v>
      </c>
      <c r="G26" s="45">
        <f t="shared" si="4"/>
        <v>80.155695499967564</v>
      </c>
      <c r="H26" s="45">
        <f t="shared" si="4"/>
        <v>82.255110262075945</v>
      </c>
      <c r="I26" s="45">
        <f t="shared" si="4"/>
        <v>81.698995954046623</v>
      </c>
      <c r="J26" s="45">
        <f t="shared" si="4"/>
        <v>80.647353874044725</v>
      </c>
      <c r="K26" s="45">
        <f t="shared" si="4"/>
        <v>76.783993653390311</v>
      </c>
      <c r="L26" s="45">
        <f t="shared" si="4"/>
        <v>80.962882266320406</v>
      </c>
      <c r="M26" s="45">
        <f t="shared" si="4"/>
        <v>86.410244516739155</v>
      </c>
      <c r="N26" s="45">
        <f t="shared" si="4"/>
        <v>78.820496788327816</v>
      </c>
      <c r="O26" s="45">
        <f t="shared" si="4"/>
        <v>80.191040088407007</v>
      </c>
      <c r="P26" s="45">
        <f t="shared" si="4"/>
        <v>81.948818721402134</v>
      </c>
      <c r="Q26" s="45">
        <f t="shared" si="4"/>
        <v>90.214511509851363</v>
      </c>
      <c r="R26" s="45">
        <f t="shared" si="4"/>
        <v>81.251848479066808</v>
      </c>
      <c r="S26" s="45">
        <f t="shared" si="4"/>
        <v>40.028149895757693</v>
      </c>
      <c r="T26" s="45">
        <f t="shared" si="4"/>
        <v>38.095399698969331</v>
      </c>
      <c r="U26" s="45">
        <f t="shared" si="4"/>
        <v>62.056705489636684</v>
      </c>
      <c r="V26" s="45">
        <f t="shared" ref="V26" si="5">V24/V11*100</f>
        <v>43.491307596996485</v>
      </c>
      <c r="W26" s="45">
        <v>65.442308048486296</v>
      </c>
      <c r="X26" s="45">
        <v>89.680164809285159</v>
      </c>
      <c r="Y26" s="45">
        <v>87.199295303108158</v>
      </c>
    </row>
    <row r="27" spans="1:25" ht="14.25" customHeight="1" x14ac:dyDescent="0.4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 ht="14.25" customHeight="1" x14ac:dyDescent="0.45">
      <c r="B28" s="27" t="s">
        <v>109</v>
      </c>
      <c r="C28" s="27">
        <f t="shared" ref="C28:U28" si="6">C8</f>
        <v>437929.49800000002</v>
      </c>
      <c r="D28" s="27">
        <f t="shared" si="6"/>
        <v>705686</v>
      </c>
      <c r="E28" s="27">
        <f t="shared" si="6"/>
        <v>948717</v>
      </c>
      <c r="F28" s="27">
        <f t="shared" si="6"/>
        <v>1358677</v>
      </c>
      <c r="G28" s="27">
        <f t="shared" si="6"/>
        <v>1649109</v>
      </c>
      <c r="H28" s="27">
        <f t="shared" si="6"/>
        <v>2419889</v>
      </c>
      <c r="I28" s="27">
        <f t="shared" si="6"/>
        <v>2659403</v>
      </c>
      <c r="J28" s="27">
        <f t="shared" si="6"/>
        <v>2741039</v>
      </c>
      <c r="K28" s="27">
        <f t="shared" si="6"/>
        <v>0</v>
      </c>
      <c r="L28" s="27">
        <f t="shared" si="6"/>
        <v>0</v>
      </c>
      <c r="M28" s="27">
        <f t="shared" si="6"/>
        <v>0</v>
      </c>
      <c r="N28" s="27">
        <f t="shared" si="6"/>
        <v>0</v>
      </c>
      <c r="O28" s="27">
        <f t="shared" si="6"/>
        <v>0</v>
      </c>
      <c r="P28" s="27">
        <f t="shared" si="6"/>
        <v>0</v>
      </c>
      <c r="Q28" s="27">
        <f t="shared" si="6"/>
        <v>0</v>
      </c>
      <c r="R28" s="27">
        <f t="shared" si="6"/>
        <v>0</v>
      </c>
      <c r="S28" s="27">
        <f t="shared" si="6"/>
        <v>0</v>
      </c>
      <c r="T28" s="27">
        <f t="shared" si="6"/>
        <v>0</v>
      </c>
      <c r="U28" s="27">
        <f t="shared" si="6"/>
        <v>0</v>
      </c>
      <c r="V28" s="27">
        <f t="shared" ref="V28" si="7">V8</f>
        <v>0</v>
      </c>
      <c r="W28" s="27">
        <v>0</v>
      </c>
      <c r="X28" s="27">
        <v>0</v>
      </c>
      <c r="Y28" s="27">
        <v>0</v>
      </c>
    </row>
    <row r="29" spans="1:25" ht="14.25" customHeight="1" x14ac:dyDescent="0.45">
      <c r="B29" s="27" t="s">
        <v>110</v>
      </c>
      <c r="C29" s="48">
        <f t="shared" ref="C29:U29" si="8">SUM(C9:C10)</f>
        <v>0</v>
      </c>
      <c r="D29" s="48">
        <f t="shared" si="8"/>
        <v>40799</v>
      </c>
      <c r="E29" s="48">
        <f t="shared" si="8"/>
        <v>47017</v>
      </c>
      <c r="F29" s="48">
        <f t="shared" si="8"/>
        <v>249329</v>
      </c>
      <c r="G29" s="48">
        <f t="shared" si="8"/>
        <v>431876</v>
      </c>
      <c r="H29" s="48">
        <f t="shared" si="8"/>
        <v>617284</v>
      </c>
      <c r="I29" s="48">
        <f t="shared" si="8"/>
        <v>887845</v>
      </c>
      <c r="J29" s="48">
        <f t="shared" si="8"/>
        <v>848775</v>
      </c>
      <c r="K29" s="48">
        <f t="shared" si="8"/>
        <v>909634</v>
      </c>
      <c r="L29" s="48">
        <f t="shared" si="8"/>
        <v>489712.26274999999</v>
      </c>
      <c r="M29" s="48">
        <f t="shared" si="8"/>
        <v>408486.99687000003</v>
      </c>
      <c r="N29" s="48">
        <f t="shared" si="8"/>
        <v>1113161.11772</v>
      </c>
      <c r="O29" s="48">
        <f t="shared" si="8"/>
        <v>1122354.8082400002</v>
      </c>
      <c r="P29" s="48">
        <f t="shared" si="8"/>
        <v>1985142.5520600006</v>
      </c>
      <c r="Q29" s="48">
        <f t="shared" si="8"/>
        <v>3109831.9929099996</v>
      </c>
      <c r="R29" s="48">
        <f t="shared" si="8"/>
        <v>3356127.4730492616</v>
      </c>
      <c r="S29" s="48">
        <f t="shared" si="8"/>
        <v>3408893.6309069702</v>
      </c>
      <c r="T29" s="48">
        <f t="shared" si="8"/>
        <v>3791618.2203729721</v>
      </c>
      <c r="U29" s="48">
        <f t="shared" si="8"/>
        <v>5383826.8295711353</v>
      </c>
      <c r="V29" s="48">
        <f t="shared" ref="V29" si="9">SUM(V9:V10)</f>
        <v>5067927.8548831241</v>
      </c>
      <c r="W29" s="48">
        <v>6124409.012522785</v>
      </c>
      <c r="X29" s="48">
        <v>6796032.512270119</v>
      </c>
      <c r="Y29" s="48">
        <v>7007756.1960623767</v>
      </c>
    </row>
    <row r="30" spans="1:25" ht="14.25" customHeight="1" x14ac:dyDescent="0.45">
      <c r="B30" s="27" t="s">
        <v>111</v>
      </c>
      <c r="C30" s="45">
        <f t="shared" ref="C30:U30" si="10">C28/C$11*100</f>
        <v>100</v>
      </c>
      <c r="D30" s="45">
        <f t="shared" si="10"/>
        <v>94.534518443103337</v>
      </c>
      <c r="E30" s="45">
        <f t="shared" si="10"/>
        <v>95.278156616124392</v>
      </c>
      <c r="F30" s="45">
        <f t="shared" si="10"/>
        <v>84.494523030386702</v>
      </c>
      <c r="G30" s="45">
        <f t="shared" si="10"/>
        <v>79.246558720990308</v>
      </c>
      <c r="H30" s="45">
        <f t="shared" si="10"/>
        <v>79.675705005938084</v>
      </c>
      <c r="I30" s="45">
        <f t="shared" si="10"/>
        <v>74.970878833394224</v>
      </c>
      <c r="J30" s="45">
        <f t="shared" si="10"/>
        <v>76.356017331260063</v>
      </c>
      <c r="K30" s="45">
        <f t="shared" si="10"/>
        <v>0</v>
      </c>
      <c r="L30" s="45">
        <f t="shared" si="10"/>
        <v>0</v>
      </c>
      <c r="M30" s="45">
        <f t="shared" si="10"/>
        <v>0</v>
      </c>
      <c r="N30" s="45">
        <f t="shared" si="10"/>
        <v>0</v>
      </c>
      <c r="O30" s="45">
        <f t="shared" si="10"/>
        <v>0</v>
      </c>
      <c r="P30" s="45">
        <f t="shared" si="10"/>
        <v>0</v>
      </c>
      <c r="Q30" s="45">
        <f t="shared" si="10"/>
        <v>0</v>
      </c>
      <c r="R30" s="45">
        <f t="shared" si="10"/>
        <v>0</v>
      </c>
      <c r="S30" s="45">
        <f t="shared" si="10"/>
        <v>0</v>
      </c>
      <c r="T30" s="45">
        <f t="shared" si="10"/>
        <v>0</v>
      </c>
      <c r="U30" s="45">
        <f t="shared" si="10"/>
        <v>0</v>
      </c>
      <c r="V30" s="45">
        <f>V28/V$11*100</f>
        <v>0</v>
      </c>
      <c r="W30" s="45">
        <v>0</v>
      </c>
      <c r="X30" s="45">
        <v>0</v>
      </c>
      <c r="Y30" s="45">
        <v>0</v>
      </c>
    </row>
    <row r="31" spans="1:25" ht="14.25" customHeight="1" x14ac:dyDescent="0.45">
      <c r="B31" s="27" t="s">
        <v>112</v>
      </c>
      <c r="C31" s="45">
        <f t="shared" ref="C31:U31" si="11">C29/C$11*100</f>
        <v>0</v>
      </c>
      <c r="D31" s="45">
        <f t="shared" si="11"/>
        <v>5.4654815568966555</v>
      </c>
      <c r="E31" s="45">
        <f t="shared" si="11"/>
        <v>4.7218433838756129</v>
      </c>
      <c r="F31" s="45">
        <f t="shared" si="11"/>
        <v>15.505476969613296</v>
      </c>
      <c r="G31" s="45">
        <f t="shared" si="11"/>
        <v>20.753441279009699</v>
      </c>
      <c r="H31" s="45">
        <f t="shared" si="11"/>
        <v>20.324294994061912</v>
      </c>
      <c r="I31" s="45">
        <f t="shared" si="11"/>
        <v>25.029121166605773</v>
      </c>
      <c r="J31" s="45">
        <f t="shared" si="11"/>
        <v>23.643982668739941</v>
      </c>
      <c r="K31" s="45">
        <f t="shared" si="11"/>
        <v>24.34671031923618</v>
      </c>
      <c r="L31" s="45">
        <f t="shared" si="11"/>
        <v>12.399034435354089</v>
      </c>
      <c r="M31" s="45">
        <f t="shared" si="11"/>
        <v>12.141577277688844</v>
      </c>
      <c r="N31" s="45">
        <f t="shared" si="11"/>
        <v>25.183216032544081</v>
      </c>
      <c r="O31" s="45">
        <f t="shared" si="11"/>
        <v>22.819133124304429</v>
      </c>
      <c r="P31" s="45">
        <f t="shared" si="11"/>
        <v>37.501013101425634</v>
      </c>
      <c r="Q31" s="45">
        <f t="shared" si="11"/>
        <v>47.508852203798639</v>
      </c>
      <c r="R31" s="45">
        <f t="shared" si="11"/>
        <v>49.766781053462061</v>
      </c>
      <c r="S31" s="45">
        <f t="shared" si="11"/>
        <v>52.326717045502832</v>
      </c>
      <c r="T31" s="45">
        <f t="shared" si="11"/>
        <v>54.955407100484344</v>
      </c>
      <c r="U31" s="45">
        <f t="shared" si="11"/>
        <v>68.594319981227301</v>
      </c>
      <c r="V31" s="45">
        <f>V29/V$11*100</f>
        <v>67.155617912122352</v>
      </c>
      <c r="W31" s="45">
        <v>73.982992472845794</v>
      </c>
      <c r="X31" s="45">
        <v>68.022120717569706</v>
      </c>
      <c r="Y31" s="45">
        <v>68.188030221466562</v>
      </c>
    </row>
    <row r="32" spans="1:25" ht="14.25" customHeight="1" x14ac:dyDescent="0.45">
      <c r="B32" s="27"/>
      <c r="C32" s="27"/>
      <c r="D32" s="46"/>
      <c r="E32" s="46"/>
      <c r="F32" s="46"/>
      <c r="G32" s="44"/>
      <c r="H32" s="44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72"/>
      <c r="T32" s="72"/>
      <c r="U32" s="72"/>
      <c r="V32" s="72"/>
      <c r="W32" s="47"/>
      <c r="X32" s="47"/>
      <c r="Y32" s="47"/>
    </row>
    <row r="33" spans="2:25" ht="14.25" customHeight="1" x14ac:dyDescent="0.45">
      <c r="B33" s="27" t="s">
        <v>113</v>
      </c>
      <c r="C33" s="27">
        <v>437929.49800000002</v>
      </c>
      <c r="D33" s="27">
        <v>705686</v>
      </c>
      <c r="E33" s="27">
        <v>948717</v>
      </c>
      <c r="F33" s="6">
        <v>1388165.88958</v>
      </c>
      <c r="G33" s="6">
        <v>1682482</v>
      </c>
      <c r="H33" s="48">
        <v>2456512.7958800001</v>
      </c>
      <c r="I33" s="6">
        <v>2688800.44783</v>
      </c>
      <c r="J33" s="6">
        <v>2762708.3095</v>
      </c>
      <c r="K33" s="6">
        <v>1308101.8638500003</v>
      </c>
      <c r="L33" s="6">
        <v>1494725.2600347819</v>
      </c>
      <c r="M33" s="6">
        <v>1230044.1543511841</v>
      </c>
      <c r="N33" s="6">
        <v>1431049</v>
      </c>
      <c r="O33" s="6">
        <v>1870972.1444505854</v>
      </c>
      <c r="P33" s="6">
        <v>1650388.6124177852</v>
      </c>
      <c r="Q33" s="6">
        <v>1758874.6020025602</v>
      </c>
      <c r="R33" s="6">
        <v>1656005.8733898071</v>
      </c>
      <c r="S33" s="6">
        <v>1432251.7076228671</v>
      </c>
      <c r="T33" s="6">
        <v>1480947.5265782485</v>
      </c>
      <c r="U33" s="6">
        <v>919495.17808710365</v>
      </c>
      <c r="V33" s="6">
        <v>875313.0142305675</v>
      </c>
      <c r="W33" s="6">
        <v>843430.11426890548</v>
      </c>
      <c r="X33" s="6">
        <v>1678246.3881526198</v>
      </c>
      <c r="Y33" s="6">
        <v>1765102.5817921918</v>
      </c>
    </row>
    <row r="34" spans="2:25" ht="14.25" customHeight="1" x14ac:dyDescent="0.45">
      <c r="B34" s="27" t="s">
        <v>114</v>
      </c>
      <c r="C34" s="27">
        <v>0</v>
      </c>
      <c r="D34" s="6">
        <v>40799.432000000001</v>
      </c>
      <c r="E34" s="6">
        <v>47017.41143</v>
      </c>
      <c r="F34" s="6">
        <v>219840.57032999999</v>
      </c>
      <c r="G34" s="6">
        <v>398503</v>
      </c>
      <c r="H34" s="48">
        <v>580660.20422000007</v>
      </c>
      <c r="I34" s="6">
        <v>858447.55169000011</v>
      </c>
      <c r="J34" s="6">
        <v>827105.30825</v>
      </c>
      <c r="K34" s="6">
        <v>2428066.1222200003</v>
      </c>
      <c r="L34" s="6">
        <v>2454874.7294100001</v>
      </c>
      <c r="M34" s="6">
        <v>2134321.0144199999</v>
      </c>
      <c r="N34" s="6">
        <v>2989201</v>
      </c>
      <c r="O34" s="6">
        <v>3047509.2111999998</v>
      </c>
      <c r="P34" s="6">
        <v>3643181.8484414001</v>
      </c>
      <c r="Q34" s="6">
        <v>4786920.2312840009</v>
      </c>
      <c r="R34" s="6">
        <v>5087704.2923208</v>
      </c>
      <c r="S34" s="6">
        <v>5082381.3964234395</v>
      </c>
      <c r="T34" s="6">
        <v>5418497.7153432798</v>
      </c>
      <c r="U34" s="6">
        <v>6929298.7614760641</v>
      </c>
      <c r="V34" s="6">
        <v>6671230.3911400009</v>
      </c>
      <c r="W34" s="6">
        <v>7434700.8558600005</v>
      </c>
      <c r="X34" s="6">
        <v>8312667.9796399996</v>
      </c>
      <c r="Y34" s="6">
        <v>8512003.4928400014</v>
      </c>
    </row>
    <row r="35" spans="2:25" ht="14.25" customHeight="1" x14ac:dyDescent="0.45">
      <c r="B35" s="27" t="s">
        <v>115</v>
      </c>
      <c r="C35" s="45">
        <f t="shared" ref="C35:U36" si="12">C33/C$11*100</f>
        <v>100</v>
      </c>
      <c r="D35" s="45">
        <f t="shared" si="12"/>
        <v>94.534518443103337</v>
      </c>
      <c r="E35" s="45">
        <f t="shared" si="12"/>
        <v>95.278156616124392</v>
      </c>
      <c r="F35" s="45">
        <f t="shared" si="12"/>
        <v>86.328402355463837</v>
      </c>
      <c r="G35" s="45">
        <f t="shared" si="12"/>
        <v>80.850270424822853</v>
      </c>
      <c r="H35" s="45">
        <f t="shared" si="12"/>
        <v>80.88155649612321</v>
      </c>
      <c r="I35" s="45">
        <f t="shared" si="12"/>
        <v>75.799618403618808</v>
      </c>
      <c r="J35" s="45">
        <f t="shared" si="12"/>
        <v>76.959650541782949</v>
      </c>
      <c r="K35" s="45">
        <f t="shared" si="12"/>
        <v>35.011858777496094</v>
      </c>
      <c r="L35" s="45">
        <f t="shared" si="12"/>
        <v>37.844978327663611</v>
      </c>
      <c r="M35" s="45">
        <f t="shared" si="12"/>
        <v>36.560958535914551</v>
      </c>
      <c r="N35" s="45">
        <f t="shared" si="12"/>
        <v>32.374842730736781</v>
      </c>
      <c r="O35" s="45">
        <f t="shared" si="12"/>
        <v>38.039630714491246</v>
      </c>
      <c r="P35" s="45">
        <f t="shared" si="12"/>
        <v>31.177229520619527</v>
      </c>
      <c r="Q35" s="45">
        <f t="shared" si="12"/>
        <v>26.870298364048352</v>
      </c>
      <c r="R35" s="45">
        <f t="shared" si="12"/>
        <v>24.556302579698844</v>
      </c>
      <c r="S35" s="45">
        <f t="shared" si="12"/>
        <v>21.985147662932548</v>
      </c>
      <c r="T35" s="45">
        <f t="shared" si="12"/>
        <v>21.464733390155839</v>
      </c>
      <c r="U35" s="45">
        <f t="shared" si="12"/>
        <v>11.715114260450047</v>
      </c>
      <c r="V35" s="45">
        <f t="shared" ref="V35:V36" si="13">V33/V$11*100</f>
        <v>11.598860129892619</v>
      </c>
      <c r="W35" s="45">
        <v>10.18865267324038</v>
      </c>
      <c r="X35" s="45">
        <v>0.16797723995968644</v>
      </c>
      <c r="Y35" s="45">
        <v>17.175093542618349</v>
      </c>
    </row>
    <row r="36" spans="2:25" ht="14.25" customHeight="1" x14ac:dyDescent="0.45">
      <c r="B36" s="27" t="s">
        <v>116</v>
      </c>
      <c r="C36" s="45">
        <f t="shared" si="12"/>
        <v>0</v>
      </c>
      <c r="D36" s="45">
        <f t="shared" si="12"/>
        <v>5.4655394281197882</v>
      </c>
      <c r="E36" s="45">
        <f t="shared" si="12"/>
        <v>4.7218847031436102</v>
      </c>
      <c r="F36" s="45">
        <f t="shared" si="12"/>
        <v>13.671626245797588</v>
      </c>
      <c r="G36" s="45">
        <f t="shared" si="12"/>
        <v>19.14972957517714</v>
      </c>
      <c r="H36" s="45">
        <f t="shared" si="12"/>
        <v>19.118443507169331</v>
      </c>
      <c r="I36" s="45">
        <f t="shared" si="12"/>
        <v>24.20038158284958</v>
      </c>
      <c r="J36" s="45">
        <f t="shared" si="12"/>
        <v>23.040338810033052</v>
      </c>
      <c r="K36" s="45">
        <f t="shared" si="12"/>
        <v>64.988140849662017</v>
      </c>
      <c r="L36" s="45">
        <f t="shared" si="12"/>
        <v>62.155021672336396</v>
      </c>
      <c r="M36" s="45">
        <f t="shared" si="12"/>
        <v>63.439041464085456</v>
      </c>
      <c r="N36" s="45">
        <f t="shared" si="12"/>
        <v>67.625156277360958</v>
      </c>
      <c r="O36" s="45">
        <f t="shared" si="12"/>
        <v>61.960369285508754</v>
      </c>
      <c r="P36" s="45">
        <f t="shared" si="12"/>
        <v>68.822770479380452</v>
      </c>
      <c r="Q36" s="45">
        <f t="shared" si="12"/>
        <v>73.129701635951662</v>
      </c>
      <c r="R36" s="45">
        <f t="shared" si="12"/>
        <v>75.443697420301149</v>
      </c>
      <c r="S36" s="45">
        <f t="shared" si="12"/>
        <v>78.014852337067424</v>
      </c>
      <c r="T36" s="45">
        <f t="shared" si="12"/>
        <v>78.535266609844172</v>
      </c>
      <c r="U36" s="45">
        <f t="shared" si="12"/>
        <v>88.284885739549964</v>
      </c>
      <c r="V36" s="45">
        <f t="shared" si="13"/>
        <v>88.4011398701074</v>
      </c>
      <c r="W36" s="45">
        <v>89.811335246739574</v>
      </c>
      <c r="X36" s="45">
        <v>0.83202265994938462</v>
      </c>
      <c r="Y36" s="45">
        <v>82.824906457381658</v>
      </c>
    </row>
    <row r="37" spans="2:25" ht="14.25" customHeight="1" x14ac:dyDescent="0.45">
      <c r="B37" s="17"/>
      <c r="C37" s="17"/>
      <c r="D37" s="46"/>
      <c r="E37" s="46"/>
      <c r="F37" s="46"/>
      <c r="G37" s="44"/>
      <c r="H37" s="44"/>
      <c r="I37" s="47"/>
      <c r="J37" s="47"/>
      <c r="K37" s="47"/>
    </row>
    <row r="38" spans="2:25" ht="14.15" customHeight="1" x14ac:dyDescent="0.45">
      <c r="B38" s="24" t="s">
        <v>355</v>
      </c>
      <c r="C38" s="24"/>
      <c r="D38" s="44"/>
      <c r="E38" s="44"/>
      <c r="F38" s="44"/>
      <c r="G38" s="44"/>
      <c r="H38" s="44"/>
      <c r="I38" s="44"/>
      <c r="J38" s="44"/>
      <c r="K38" s="44"/>
    </row>
    <row r="39" spans="2:25" ht="14.25" customHeight="1" x14ac:dyDescent="0.45">
      <c r="B39" s="24" t="s">
        <v>356</v>
      </c>
      <c r="C39" s="24"/>
      <c r="D39" s="44"/>
      <c r="E39" s="44"/>
      <c r="F39" s="44"/>
      <c r="G39" s="44"/>
      <c r="H39" s="44"/>
      <c r="I39" s="44"/>
      <c r="J39" s="44"/>
      <c r="K39" s="44"/>
      <c r="T39" s="2" t="s">
        <v>20</v>
      </c>
    </row>
    <row r="40" spans="2:25" ht="14.25" customHeight="1" x14ac:dyDescent="0.45">
      <c r="B40" s="24" t="s">
        <v>357</v>
      </c>
      <c r="C40" s="24"/>
      <c r="K40" s="21"/>
    </row>
    <row r="41" spans="2:25" ht="14.25" customHeight="1" x14ac:dyDescent="0.45">
      <c r="B41" s="40" t="s">
        <v>237</v>
      </c>
      <c r="C41" s="24"/>
      <c r="K41" s="21"/>
    </row>
    <row r="42" spans="2:25" ht="14.25" customHeight="1" x14ac:dyDescent="0.45">
      <c r="B42" s="40" t="s">
        <v>320</v>
      </c>
      <c r="C42" s="40"/>
      <c r="K42" s="21"/>
    </row>
    <row r="43" spans="2:25" ht="14.25" customHeight="1" x14ac:dyDescent="0.45">
      <c r="B43" s="43" t="s">
        <v>236</v>
      </c>
      <c r="C43" s="43"/>
    </row>
    <row r="44" spans="2:25" ht="14.25" customHeight="1" x14ac:dyDescent="0.45">
      <c r="B44" s="42"/>
      <c r="C44" s="42"/>
    </row>
    <row r="45" spans="2:25" ht="14.25" customHeight="1" x14ac:dyDescent="0.45">
      <c r="B45" s="42"/>
      <c r="C45" s="42"/>
    </row>
    <row r="46" spans="2:25" ht="14.25" customHeight="1" x14ac:dyDescent="0.45">
      <c r="B46" s="42"/>
      <c r="C46" s="42"/>
    </row>
    <row r="47" spans="2:25" ht="14.25" customHeight="1" x14ac:dyDescent="0.45">
      <c r="B47" s="42"/>
      <c r="C47" s="42"/>
    </row>
    <row r="48" spans="2:25" ht="14.25" customHeight="1" x14ac:dyDescent="0.45">
      <c r="B48" s="42"/>
      <c r="C48" s="42"/>
    </row>
    <row r="49" spans="2:3" ht="14.25" customHeight="1" x14ac:dyDescent="0.45">
      <c r="B49" s="42"/>
      <c r="C49" s="42"/>
    </row>
    <row r="50" spans="2:3" ht="14.25" customHeight="1" x14ac:dyDescent="0.45">
      <c r="B50" s="41"/>
      <c r="C50" s="41"/>
    </row>
  </sheetData>
  <mergeCells count="24">
    <mergeCell ref="M5:M6"/>
    <mergeCell ref="N5:N6"/>
    <mergeCell ref="C5:C6"/>
    <mergeCell ref="L5:L6"/>
    <mergeCell ref="K5:K6"/>
    <mergeCell ref="D5:D6"/>
    <mergeCell ref="J5:J6"/>
    <mergeCell ref="E5:E6"/>
    <mergeCell ref="F5:F6"/>
    <mergeCell ref="G5:G6"/>
    <mergeCell ref="H5:H6"/>
    <mergeCell ref="I5:I6"/>
    <mergeCell ref="U5:U6"/>
    <mergeCell ref="T5:T6"/>
    <mergeCell ref="O5:O6"/>
    <mergeCell ref="W5:W6"/>
    <mergeCell ref="S2:Y3"/>
    <mergeCell ref="Q5:Q6"/>
    <mergeCell ref="S5:S6"/>
    <mergeCell ref="R5:R6"/>
    <mergeCell ref="Y5:Y6"/>
    <mergeCell ref="X5:X6"/>
    <mergeCell ref="P5:P6"/>
    <mergeCell ref="V5:V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31E2-AB34-4001-849F-3262A9DFCF55}">
  <sheetPr>
    <tabColor rgb="FF1B7754"/>
    <outlinePr summaryRight="0"/>
  </sheetPr>
  <dimension ref="B1:AD158"/>
  <sheetViews>
    <sheetView showGridLines="0" zoomScaleNormal="100" workbookViewId="0"/>
  </sheetViews>
  <sheetFormatPr defaultColWidth="9.1796875" defaultRowHeight="14.25" customHeight="1" x14ac:dyDescent="0.45"/>
  <cols>
    <col min="1" max="1" width="1.7265625" style="2" customWidth="1"/>
    <col min="2" max="2" width="55.08984375" style="2" customWidth="1"/>
    <col min="3" max="12" width="10.7265625" style="2" customWidth="1"/>
    <col min="13" max="14" width="10.7265625" style="22" customWidth="1"/>
    <col min="15" max="15" width="10.7265625" style="23" customWidth="1"/>
    <col min="16" max="20" width="10.7265625" style="2" customWidth="1"/>
    <col min="21" max="26" width="10.7265625" style="23" customWidth="1"/>
    <col min="27" max="30" width="10.7265625" style="2" customWidth="1"/>
    <col min="31" max="16384" width="9.1796875" style="2"/>
  </cols>
  <sheetData>
    <row r="1" spans="2:30" ht="14.25" customHeight="1" x14ac:dyDescent="0.45">
      <c r="D1" s="22"/>
      <c r="E1" s="22"/>
      <c r="F1" s="22"/>
      <c r="G1" s="22"/>
      <c r="H1" s="22"/>
      <c r="I1" s="22"/>
      <c r="J1" s="22"/>
      <c r="K1" s="22"/>
      <c r="L1" s="22"/>
    </row>
    <row r="2" spans="2:30" ht="14.25" customHeight="1" x14ac:dyDescent="0.45">
      <c r="D2" s="22"/>
      <c r="E2" s="22"/>
      <c r="F2" s="22"/>
      <c r="G2" s="22"/>
      <c r="H2" s="22"/>
      <c r="X2" s="109" t="s">
        <v>205</v>
      </c>
      <c r="Y2" s="109"/>
      <c r="Z2" s="109"/>
      <c r="AA2" s="109"/>
      <c r="AB2" s="109"/>
      <c r="AC2" s="109"/>
      <c r="AD2" s="109"/>
    </row>
    <row r="3" spans="2:30" ht="14.25" customHeight="1" x14ac:dyDescent="0.45">
      <c r="D3" s="22"/>
      <c r="E3" s="22"/>
      <c r="F3" s="22"/>
      <c r="G3" s="22"/>
      <c r="H3" s="22"/>
      <c r="L3" s="61"/>
      <c r="X3" s="109"/>
      <c r="Y3" s="109"/>
      <c r="Z3" s="109"/>
      <c r="AA3" s="109"/>
      <c r="AB3" s="109"/>
      <c r="AC3" s="109"/>
      <c r="AD3" s="109"/>
    </row>
    <row r="5" spans="2:30" s="11" customFormat="1" ht="14.25" customHeight="1" x14ac:dyDescent="0.4">
      <c r="B5" s="76" t="s">
        <v>118</v>
      </c>
      <c r="C5" s="110" t="s">
        <v>19</v>
      </c>
      <c r="D5" s="110" t="s">
        <v>9</v>
      </c>
      <c r="E5" s="110" t="s">
        <v>23</v>
      </c>
      <c r="F5" s="110" t="s">
        <v>24</v>
      </c>
      <c r="G5" s="110" t="s">
        <v>25</v>
      </c>
      <c r="H5" s="110" t="s">
        <v>86</v>
      </c>
      <c r="I5" s="110" t="s">
        <v>4</v>
      </c>
      <c r="J5" s="110" t="s">
        <v>26</v>
      </c>
      <c r="K5" s="110" t="s">
        <v>27</v>
      </c>
      <c r="L5" s="110" t="s">
        <v>28</v>
      </c>
      <c r="M5" s="110" t="s">
        <v>87</v>
      </c>
      <c r="N5" s="110" t="s">
        <v>15</v>
      </c>
      <c r="O5" s="110" t="s">
        <v>29</v>
      </c>
      <c r="P5" s="110" t="s">
        <v>182</v>
      </c>
      <c r="Q5" s="110" t="s">
        <v>185</v>
      </c>
      <c r="R5" s="110" t="s">
        <v>201</v>
      </c>
      <c r="S5" s="110" t="s">
        <v>203</v>
      </c>
      <c r="T5" s="110" t="s">
        <v>204</v>
      </c>
      <c r="U5" s="110" t="s">
        <v>207</v>
      </c>
      <c r="V5" s="110" t="s">
        <v>238</v>
      </c>
      <c r="W5" s="110" t="s">
        <v>243</v>
      </c>
      <c r="X5" s="110" t="s">
        <v>246</v>
      </c>
      <c r="Y5" s="110" t="s">
        <v>250</v>
      </c>
      <c r="Z5" s="110" t="s">
        <v>325</v>
      </c>
      <c r="AA5" s="110" t="s">
        <v>361</v>
      </c>
      <c r="AB5" s="110" t="s">
        <v>370</v>
      </c>
      <c r="AC5" s="110" t="s">
        <v>372</v>
      </c>
      <c r="AD5" s="110" t="s">
        <v>374</v>
      </c>
    </row>
    <row r="6" spans="2:30" ht="14.25" customHeight="1" x14ac:dyDescent="0.45">
      <c r="B6" s="77" t="s">
        <v>22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2:30" ht="13.5" customHeight="1" thickBot="1" x14ac:dyDescent="0.5">
      <c r="B7" s="8" t="s">
        <v>119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</row>
    <row r="8" spans="2:30" ht="14.25" customHeight="1" x14ac:dyDescent="0.45">
      <c r="B8" s="6" t="s">
        <v>121</v>
      </c>
      <c r="C8" s="56">
        <v>348528.47000000003</v>
      </c>
      <c r="D8" s="56">
        <v>625389</v>
      </c>
      <c r="E8" s="6">
        <v>309588</v>
      </c>
      <c r="F8" s="6">
        <v>286080</v>
      </c>
      <c r="G8" s="6">
        <v>320325</v>
      </c>
      <c r="H8" s="6">
        <v>372907</v>
      </c>
      <c r="I8" s="6">
        <f>SUM(E8:H8)</f>
        <v>1288900</v>
      </c>
      <c r="J8" s="6">
        <v>595649</v>
      </c>
      <c r="K8" s="6">
        <v>645987</v>
      </c>
      <c r="L8" s="6">
        <v>659967</v>
      </c>
      <c r="M8" s="6">
        <v>664946.31000000006</v>
      </c>
      <c r="N8" s="6">
        <v>2566548.31</v>
      </c>
      <c r="O8" s="6">
        <v>777506.03</v>
      </c>
      <c r="P8" s="6">
        <v>834486.33000000007</v>
      </c>
      <c r="Q8" s="6">
        <v>844819.16999999993</v>
      </c>
      <c r="R8" s="6">
        <v>819833.12000000011</v>
      </c>
      <c r="S8" s="6">
        <v>3276644.6500000004</v>
      </c>
      <c r="T8" s="6">
        <v>728664.53</v>
      </c>
      <c r="U8" s="6">
        <v>859495.49</v>
      </c>
      <c r="V8" s="6">
        <v>868225.86999999988</v>
      </c>
      <c r="W8" s="6">
        <v>859163.67</v>
      </c>
      <c r="X8" s="6">
        <v>3315549.56</v>
      </c>
      <c r="Y8" s="6">
        <v>1054966.07</v>
      </c>
      <c r="Z8" s="6">
        <v>1191982.22</v>
      </c>
      <c r="AA8" s="6">
        <v>1253064.77</v>
      </c>
      <c r="AB8" s="6">
        <v>1287497.6400000001</v>
      </c>
      <c r="AC8" s="6">
        <v>4787510.6999999993</v>
      </c>
      <c r="AD8" s="6">
        <v>1308509.5190000001</v>
      </c>
    </row>
    <row r="9" spans="2:30" ht="14.25" customHeight="1" x14ac:dyDescent="0.45">
      <c r="B9" s="6" t="s">
        <v>122</v>
      </c>
      <c r="C9" s="6">
        <f>323212.1+101867.38</f>
        <v>425079.48</v>
      </c>
      <c r="D9" s="56">
        <v>681529.97059514048</v>
      </c>
      <c r="E9" s="6">
        <v>296999.21480000002</v>
      </c>
      <c r="F9" s="6">
        <v>282798.25300000003</v>
      </c>
      <c r="G9" s="6">
        <v>314722.9498</v>
      </c>
      <c r="H9" s="6">
        <v>425075.44400000002</v>
      </c>
      <c r="I9" s="6">
        <f>SUM(E9:H9)</f>
        <v>1319595.8615999999</v>
      </c>
      <c r="J9" s="6">
        <v>633456.62408199999</v>
      </c>
      <c r="K9" s="6">
        <v>629319.41421620001</v>
      </c>
      <c r="L9" s="6">
        <v>669309.37969999993</v>
      </c>
      <c r="M9" s="6">
        <v>691388.3074417999</v>
      </c>
      <c r="N9" s="6">
        <v>2629258.33</v>
      </c>
      <c r="O9" s="6">
        <v>748757.10042000003</v>
      </c>
      <c r="P9" s="6">
        <v>785167.12079999992</v>
      </c>
      <c r="Q9" s="6">
        <v>828006.87271420006</v>
      </c>
      <c r="R9" s="6">
        <v>798812.09603199991</v>
      </c>
      <c r="S9" s="6">
        <v>3160743.1899661999</v>
      </c>
      <c r="T9" s="6">
        <v>643826.44513240003</v>
      </c>
      <c r="U9" s="6">
        <v>724532.40938800003</v>
      </c>
      <c r="V9" s="6">
        <v>738194.72609020001</v>
      </c>
      <c r="W9" s="6">
        <v>756383.51556620002</v>
      </c>
      <c r="X9" s="6">
        <v>2862937.0961768003</v>
      </c>
      <c r="Y9" s="6">
        <v>899607.14970860002</v>
      </c>
      <c r="Z9" s="6">
        <v>1005867.6828300001</v>
      </c>
      <c r="AA9" s="6">
        <v>1106227.6524984001</v>
      </c>
      <c r="AB9" s="6">
        <v>1061485.4113518</v>
      </c>
      <c r="AC9" s="6">
        <v>4073187.8963887994</v>
      </c>
      <c r="AD9" s="6">
        <v>1069045.1068202001</v>
      </c>
    </row>
    <row r="10" spans="2:30" ht="14.15" customHeight="1" x14ac:dyDescent="0.45">
      <c r="B10" s="6" t="s">
        <v>212</v>
      </c>
      <c r="C10" s="6">
        <v>120769.60999999999</v>
      </c>
      <c r="D10" s="6">
        <v>258109.40735287283</v>
      </c>
      <c r="E10" s="6">
        <v>128659.4</v>
      </c>
      <c r="F10" s="6">
        <v>118747.36</v>
      </c>
      <c r="G10" s="6">
        <v>133615.81</v>
      </c>
      <c r="H10" s="6">
        <v>156411.01999999999</v>
      </c>
      <c r="I10" s="6">
        <f>H10+G10+F10+E10</f>
        <v>537433.59</v>
      </c>
      <c r="J10" s="6">
        <v>252740.98</v>
      </c>
      <c r="K10" s="6">
        <v>276025.38</v>
      </c>
      <c r="L10" s="6">
        <v>280304.87</v>
      </c>
      <c r="M10" s="6">
        <v>277767.23</v>
      </c>
      <c r="N10" s="6">
        <f>M10+L10+K10+J10</f>
        <v>1086838.46</v>
      </c>
      <c r="O10" s="6">
        <v>328282.43</v>
      </c>
      <c r="P10" s="6">
        <v>359189.01999999996</v>
      </c>
      <c r="Q10" s="6">
        <v>359664.95999999996</v>
      </c>
      <c r="R10" s="6">
        <v>349395.28</v>
      </c>
      <c r="S10" s="6">
        <f t="shared" ref="S10" si="0">SUM(O10:R10)</f>
        <v>1396531.69</v>
      </c>
      <c r="T10" s="6">
        <v>314632.3</v>
      </c>
      <c r="U10" s="6">
        <v>376421.19999999995</v>
      </c>
      <c r="V10" s="6">
        <v>375773.58999999997</v>
      </c>
      <c r="W10" s="6">
        <v>369230.99</v>
      </c>
      <c r="X10" s="6">
        <v>1436058.08</v>
      </c>
      <c r="Y10" s="6">
        <v>447318.99</v>
      </c>
      <c r="Z10" s="6">
        <v>518975.25</v>
      </c>
      <c r="AA10" s="6">
        <v>542698.71</v>
      </c>
      <c r="AB10" s="6">
        <v>562495.19999999995</v>
      </c>
      <c r="AC10" s="6">
        <v>2071488.15</v>
      </c>
      <c r="AD10" s="6">
        <v>567848.74</v>
      </c>
    </row>
    <row r="11" spans="2:30" ht="14.15" customHeight="1" x14ac:dyDescent="0.45">
      <c r="B11" s="6" t="s">
        <v>213</v>
      </c>
      <c r="C11" s="6">
        <f t="shared" ref="C11:W11" si="1">SUM(C13:C14)</f>
        <v>138964</v>
      </c>
      <c r="D11" s="6">
        <f t="shared" si="1"/>
        <v>259059.80350408595</v>
      </c>
      <c r="E11" s="6">
        <f>SUM(E13:E14)</f>
        <v>129724.55</v>
      </c>
      <c r="F11" s="6">
        <f t="shared" si="1"/>
        <v>120477.2</v>
      </c>
      <c r="G11" s="6">
        <f t="shared" si="1"/>
        <v>134841.12</v>
      </c>
      <c r="H11" s="6">
        <f t="shared" si="1"/>
        <v>158190.57</v>
      </c>
      <c r="I11" s="6">
        <f t="shared" si="1"/>
        <v>543233.43999999994</v>
      </c>
      <c r="J11" s="6">
        <f t="shared" si="1"/>
        <v>260577.16</v>
      </c>
      <c r="K11" s="6">
        <f t="shared" si="1"/>
        <v>281688.51</v>
      </c>
      <c r="L11" s="6">
        <f t="shared" si="1"/>
        <v>286820.52999999997</v>
      </c>
      <c r="M11" s="6">
        <f t="shared" si="1"/>
        <v>281543.21999999997</v>
      </c>
      <c r="N11" s="6">
        <f t="shared" si="1"/>
        <v>1110629.42</v>
      </c>
      <c r="O11" s="6">
        <f t="shared" si="1"/>
        <v>336334.32999999996</v>
      </c>
      <c r="P11" s="6">
        <f t="shared" si="1"/>
        <v>366552.03</v>
      </c>
      <c r="Q11" s="6">
        <f t="shared" si="1"/>
        <v>366124.48</v>
      </c>
      <c r="R11" s="6">
        <f t="shared" si="1"/>
        <v>356507.13</v>
      </c>
      <c r="S11" s="6">
        <f t="shared" si="1"/>
        <v>1425517.9700000002</v>
      </c>
      <c r="T11" s="6">
        <f t="shared" si="1"/>
        <v>319991.33</v>
      </c>
      <c r="U11" s="6">
        <f t="shared" si="1"/>
        <v>381484.24</v>
      </c>
      <c r="V11" s="6">
        <f t="shared" si="1"/>
        <v>381088.26</v>
      </c>
      <c r="W11" s="6">
        <f t="shared" si="1"/>
        <v>372683.62</v>
      </c>
      <c r="X11" s="6">
        <f>SUM(X13:X14)</f>
        <v>1455247.4500000002</v>
      </c>
      <c r="Y11" s="6">
        <v>452612.86</v>
      </c>
      <c r="Z11" s="6">
        <v>524066.01999999996</v>
      </c>
      <c r="AA11" s="6">
        <v>551772.89</v>
      </c>
      <c r="AB11" s="6">
        <v>570186.72</v>
      </c>
      <c r="AC11" s="6">
        <v>2098638.4899999998</v>
      </c>
      <c r="AD11" s="6">
        <v>573007</v>
      </c>
    </row>
    <row r="12" spans="2:30" ht="14.25" customHeight="1" x14ac:dyDescent="0.45">
      <c r="B12" s="6" t="s">
        <v>120</v>
      </c>
      <c r="C12" s="78">
        <f t="shared" ref="C12:Y12" si="2">(C10/C8)*1000</f>
        <v>346.51289749729762</v>
      </c>
      <c r="D12" s="78">
        <f t="shared" si="2"/>
        <v>412.71817597187169</v>
      </c>
      <c r="E12" s="78">
        <f t="shared" si="2"/>
        <v>415.58264532217009</v>
      </c>
      <c r="F12" s="78">
        <f t="shared" si="2"/>
        <v>415.08445190156601</v>
      </c>
      <c r="G12" s="78">
        <f t="shared" si="2"/>
        <v>417.12576289705765</v>
      </c>
      <c r="H12" s="78">
        <f t="shared" si="2"/>
        <v>419.4370714414049</v>
      </c>
      <c r="I12" s="78">
        <f t="shared" si="2"/>
        <v>416.97074249359918</v>
      </c>
      <c r="J12" s="78">
        <f t="shared" si="2"/>
        <v>424.31193538476521</v>
      </c>
      <c r="K12" s="78">
        <f t="shared" si="2"/>
        <v>427.29246873389093</v>
      </c>
      <c r="L12" s="78">
        <f t="shared" si="2"/>
        <v>424.72558476408665</v>
      </c>
      <c r="M12" s="78">
        <f t="shared" si="2"/>
        <v>417.72880881164673</v>
      </c>
      <c r="N12" s="78">
        <f t="shared" si="2"/>
        <v>423.46308299180231</v>
      </c>
      <c r="O12" s="78">
        <f t="shared" si="2"/>
        <v>422.224931168701</v>
      </c>
      <c r="P12" s="78">
        <f t="shared" si="2"/>
        <v>430.43128100133163</v>
      </c>
      <c r="Q12" s="78">
        <f t="shared" si="2"/>
        <v>425.73011216116225</v>
      </c>
      <c r="R12" s="78">
        <f t="shared" si="2"/>
        <v>426.17853740771045</v>
      </c>
      <c r="S12" s="78">
        <f t="shared" si="2"/>
        <v>426.2078556489181</v>
      </c>
      <c r="T12" s="78">
        <f t="shared" si="2"/>
        <v>431.7930776732058</v>
      </c>
      <c r="U12" s="78">
        <f t="shared" si="2"/>
        <v>437.95599206692748</v>
      </c>
      <c r="V12" s="78">
        <f t="shared" si="2"/>
        <v>432.80625812267033</v>
      </c>
      <c r="W12" s="78">
        <f t="shared" si="2"/>
        <v>429.75628846131258</v>
      </c>
      <c r="X12" s="78">
        <f t="shared" si="2"/>
        <v>433.12822022784059</v>
      </c>
      <c r="Y12" s="78">
        <f t="shared" si="2"/>
        <v>424.01267938408671</v>
      </c>
      <c r="Z12" s="78">
        <v>435.38841544129747</v>
      </c>
      <c r="AA12" s="78">
        <v>433.09709361631803</v>
      </c>
      <c r="AB12" s="78">
        <v>436.89027655227386</v>
      </c>
      <c r="AC12" s="78">
        <v>432.68585279610971</v>
      </c>
      <c r="AD12" s="78">
        <v>433.96607495371228</v>
      </c>
    </row>
    <row r="13" spans="2:30" ht="13.5" customHeight="1" x14ac:dyDescent="0.45">
      <c r="B13" s="7" t="s">
        <v>214</v>
      </c>
      <c r="C13" s="6">
        <v>56706.729999999996</v>
      </c>
      <c r="D13" s="6">
        <v>187133.00036734602</v>
      </c>
      <c r="E13" s="6">
        <v>85568.94</v>
      </c>
      <c r="F13" s="6">
        <v>70049.209999999992</v>
      </c>
      <c r="G13" s="6">
        <v>89986.38</v>
      </c>
      <c r="H13" s="6">
        <v>88987.94</v>
      </c>
      <c r="I13" s="6">
        <v>334592.46999999997</v>
      </c>
      <c r="J13" s="6">
        <v>91498.65</v>
      </c>
      <c r="K13" s="6">
        <v>116073.72</v>
      </c>
      <c r="L13" s="6">
        <v>97037.36</v>
      </c>
      <c r="M13" s="6">
        <v>99975.24000000002</v>
      </c>
      <c r="N13" s="6">
        <v>404584.97000000003</v>
      </c>
      <c r="O13" s="6">
        <v>133750.22</v>
      </c>
      <c r="P13" s="6">
        <v>181835.41</v>
      </c>
      <c r="Q13" s="6">
        <v>180375.56</v>
      </c>
      <c r="R13" s="6">
        <v>152758.46000000002</v>
      </c>
      <c r="S13" s="6">
        <v>648719.65</v>
      </c>
      <c r="T13" s="6">
        <v>154971.96000000002</v>
      </c>
      <c r="U13" s="6">
        <v>212846.56</v>
      </c>
      <c r="V13" s="6">
        <v>212183.61</v>
      </c>
      <c r="W13" s="6">
        <v>227874.39999999997</v>
      </c>
      <c r="X13" s="6">
        <v>807876.53000000014</v>
      </c>
      <c r="Y13" s="6">
        <v>234898.489</v>
      </c>
      <c r="Z13" s="6">
        <v>323389.39</v>
      </c>
      <c r="AA13" s="6">
        <v>227664.98</v>
      </c>
      <c r="AB13" s="6">
        <v>239207.75</v>
      </c>
      <c r="AC13" s="6">
        <v>1048137.51</v>
      </c>
      <c r="AD13" s="6">
        <v>291653.59999999998</v>
      </c>
    </row>
    <row r="14" spans="2:30" ht="14.25" customHeight="1" x14ac:dyDescent="0.45">
      <c r="B14" s="7" t="s">
        <v>215</v>
      </c>
      <c r="C14" s="6">
        <v>82257.27</v>
      </c>
      <c r="D14" s="6">
        <v>71926.803136739938</v>
      </c>
      <c r="E14" s="6">
        <v>44155.61</v>
      </c>
      <c r="F14" s="6">
        <v>50427.990000000005</v>
      </c>
      <c r="G14" s="6">
        <v>44854.74</v>
      </c>
      <c r="H14" s="6">
        <v>69202.63</v>
      </c>
      <c r="I14" s="6">
        <v>208640.97</v>
      </c>
      <c r="J14" s="6">
        <v>169078.51</v>
      </c>
      <c r="K14" s="6">
        <v>165614.79</v>
      </c>
      <c r="L14" s="6">
        <v>189783.16999999998</v>
      </c>
      <c r="M14" s="6">
        <v>181567.97999999998</v>
      </c>
      <c r="N14" s="6">
        <v>706044.45</v>
      </c>
      <c r="O14" s="6">
        <v>202584.11</v>
      </c>
      <c r="P14" s="6">
        <v>184716.62</v>
      </c>
      <c r="Q14" s="6">
        <v>185748.91999999998</v>
      </c>
      <c r="R14" s="6">
        <v>203748.66999999998</v>
      </c>
      <c r="S14" s="6">
        <v>776798.32000000007</v>
      </c>
      <c r="T14" s="6">
        <v>165019.37</v>
      </c>
      <c r="U14" s="6">
        <v>168637.68</v>
      </c>
      <c r="V14" s="6">
        <v>168904.65</v>
      </c>
      <c r="W14" s="6">
        <v>144809.22</v>
      </c>
      <c r="X14" s="6">
        <v>647370.91999999993</v>
      </c>
      <c r="Y14" s="6">
        <v>159146.75</v>
      </c>
      <c r="Z14" s="6">
        <v>200676.63</v>
      </c>
      <c r="AA14" s="6">
        <v>324107.90999999997</v>
      </c>
      <c r="AB14" s="6">
        <v>330978.96999999997</v>
      </c>
      <c r="AC14" s="6">
        <v>1050500.9799999997</v>
      </c>
      <c r="AD14" s="6">
        <v>281353.40000000002</v>
      </c>
    </row>
    <row r="15" spans="2:30" ht="15" customHeight="1" x14ac:dyDescent="0.45">
      <c r="B15" s="18" t="s">
        <v>123</v>
      </c>
      <c r="C15" s="79">
        <f t="shared" ref="C15:Y15" si="3">C13/C11</f>
        <v>0.40806777294838947</v>
      </c>
      <c r="D15" s="79">
        <f t="shared" si="3"/>
        <v>0.7223544441713996</v>
      </c>
      <c r="E15" s="79">
        <f t="shared" si="3"/>
        <v>0.65962024921265872</v>
      </c>
      <c r="F15" s="79">
        <f t="shared" si="3"/>
        <v>0.58143125836257814</v>
      </c>
      <c r="G15" s="79">
        <f t="shared" si="3"/>
        <v>0.66735117596175419</v>
      </c>
      <c r="H15" s="79">
        <f t="shared" si="3"/>
        <v>0.56253631300525686</v>
      </c>
      <c r="I15" s="79">
        <f t="shared" si="3"/>
        <v>0.61592760195322294</v>
      </c>
      <c r="J15" s="79">
        <f t="shared" si="3"/>
        <v>0.35113841136345181</v>
      </c>
      <c r="K15" s="79">
        <f t="shared" si="3"/>
        <v>0.41206409164505858</v>
      </c>
      <c r="L15" s="79">
        <f t="shared" si="3"/>
        <v>0.33832083079966419</v>
      </c>
      <c r="M15" s="79">
        <f t="shared" si="3"/>
        <v>0.35509730974874842</v>
      </c>
      <c r="N15" s="79">
        <f t="shared" si="3"/>
        <v>0.36428439830092024</v>
      </c>
      <c r="O15" s="79">
        <f t="shared" si="3"/>
        <v>0.39767043703210436</v>
      </c>
      <c r="P15" s="79">
        <f t="shared" si="3"/>
        <v>0.49606984852873409</v>
      </c>
      <c r="Q15" s="79">
        <f t="shared" si="3"/>
        <v>0.49266184003866664</v>
      </c>
      <c r="R15" s="79">
        <f t="shared" si="3"/>
        <v>0.42848640923394721</v>
      </c>
      <c r="S15" s="79">
        <f t="shared" si="3"/>
        <v>0.45507644495004151</v>
      </c>
      <c r="T15" s="79">
        <f t="shared" si="3"/>
        <v>0.48430049651657753</v>
      </c>
      <c r="U15" s="79">
        <f t="shared" si="3"/>
        <v>0.55794325867826156</v>
      </c>
      <c r="V15" s="79">
        <f t="shared" si="3"/>
        <v>0.55678338136157746</v>
      </c>
      <c r="W15" s="79">
        <f t="shared" si="3"/>
        <v>0.61144195175521787</v>
      </c>
      <c r="X15" s="79">
        <f t="shared" si="3"/>
        <v>0.55514718819813091</v>
      </c>
      <c r="Y15" s="79">
        <f t="shared" si="3"/>
        <v>0.5189832409976155</v>
      </c>
      <c r="Z15" s="79">
        <f>Z13/Z11</f>
        <v>0.61707757736324909</v>
      </c>
      <c r="AA15" s="79">
        <v>0.41260631706642925</v>
      </c>
      <c r="AB15" s="79">
        <v>0.41952529164481417</v>
      </c>
      <c r="AC15" s="79">
        <v>0.49943690397101226</v>
      </c>
      <c r="AD15" s="79">
        <v>0.50898784831598909</v>
      </c>
    </row>
    <row r="16" spans="2:30" ht="14.15" customHeight="1" x14ac:dyDescent="0.45">
      <c r="B16" s="6" t="s">
        <v>124</v>
      </c>
      <c r="C16" s="6">
        <f t="shared" ref="C16:O16" si="4">C17+C18+C19</f>
        <v>135210.4</v>
      </c>
      <c r="D16" s="6">
        <f t="shared" si="4"/>
        <v>248389.13</v>
      </c>
      <c r="E16" s="6">
        <f t="shared" si="4"/>
        <v>113779.6</v>
      </c>
      <c r="F16" s="6">
        <f t="shared" si="4"/>
        <v>107492.70000000001</v>
      </c>
      <c r="G16" s="6">
        <f t="shared" si="4"/>
        <v>120123.65</v>
      </c>
      <c r="H16" s="6">
        <f t="shared" si="4"/>
        <v>138224.13</v>
      </c>
      <c r="I16" s="6">
        <f t="shared" si="4"/>
        <v>479620.07999999996</v>
      </c>
      <c r="J16" s="6">
        <f t="shared" si="4"/>
        <v>225457.95</v>
      </c>
      <c r="K16" s="6">
        <f t="shared" si="4"/>
        <v>231039.59</v>
      </c>
      <c r="L16" s="6">
        <f t="shared" si="4"/>
        <v>237589.69</v>
      </c>
      <c r="M16" s="6">
        <f t="shared" si="4"/>
        <v>240058.82</v>
      </c>
      <c r="N16" s="6">
        <f t="shared" si="4"/>
        <v>934146.05</v>
      </c>
      <c r="O16" s="6">
        <f t="shared" si="4"/>
        <v>294744.89</v>
      </c>
      <c r="P16" s="6">
        <f>P17+P18+P19</f>
        <v>317857.88</v>
      </c>
      <c r="Q16" s="6">
        <f>Q17+Q18+Q19</f>
        <v>308394.02999999997</v>
      </c>
      <c r="R16" s="6">
        <f>R17+R18+R19</f>
        <v>300498.90000000002</v>
      </c>
      <c r="S16" s="6">
        <f>SUM(O16:R16)</f>
        <v>1221495.7000000002</v>
      </c>
      <c r="T16" s="6">
        <v>288439.08</v>
      </c>
      <c r="U16" s="6">
        <v>331573.57</v>
      </c>
      <c r="V16" s="6">
        <v>310885.75</v>
      </c>
      <c r="W16" s="6">
        <v>294020.01</v>
      </c>
      <c r="X16" s="6">
        <v>1224918.4100000004</v>
      </c>
      <c r="Y16" s="6">
        <v>387852.9</v>
      </c>
      <c r="Z16" s="6">
        <v>426505.33999999997</v>
      </c>
      <c r="AA16" s="6">
        <v>411329.95999999996</v>
      </c>
      <c r="AB16" s="6">
        <v>418026.25</v>
      </c>
      <c r="AC16" s="6">
        <v>1659923.08</v>
      </c>
      <c r="AD16" s="6">
        <v>471469.90999999986</v>
      </c>
    </row>
    <row r="17" spans="2:30" ht="14.15" customHeight="1" x14ac:dyDescent="0.45">
      <c r="B17" s="7" t="s">
        <v>125</v>
      </c>
      <c r="C17" s="6">
        <v>41758.35</v>
      </c>
      <c r="D17" s="6">
        <v>113190.65</v>
      </c>
      <c r="E17" s="6">
        <v>29419.95</v>
      </c>
      <c r="F17" s="6">
        <v>29955.440000000002</v>
      </c>
      <c r="G17" s="6">
        <v>31956.929999999997</v>
      </c>
      <c r="H17" s="6">
        <v>37547.460000000006</v>
      </c>
      <c r="I17" s="6">
        <v>128879.78</v>
      </c>
      <c r="J17" s="6">
        <v>63149.850000000006</v>
      </c>
      <c r="K17" s="6">
        <v>75537.7</v>
      </c>
      <c r="L17" s="6">
        <v>75487.89</v>
      </c>
      <c r="M17" s="6">
        <v>74897.049999999988</v>
      </c>
      <c r="N17" s="6">
        <v>289072.49</v>
      </c>
      <c r="O17" s="6">
        <v>87498.42</v>
      </c>
      <c r="P17" s="6">
        <v>95747.51999999999</v>
      </c>
      <c r="Q17" s="6">
        <v>95925.569999999992</v>
      </c>
      <c r="R17" s="6">
        <v>92061.040000000008</v>
      </c>
      <c r="S17" s="6">
        <f>SUM(O17:R17)</f>
        <v>371232.55000000005</v>
      </c>
      <c r="T17" s="6">
        <v>84076.55</v>
      </c>
      <c r="U17" s="6">
        <v>95744.54</v>
      </c>
      <c r="V17" s="6">
        <v>94324.83</v>
      </c>
      <c r="W17" s="6">
        <v>93558.12</v>
      </c>
      <c r="X17" s="6">
        <v>367704.0400000001</v>
      </c>
      <c r="Y17" s="6">
        <v>113318.47</v>
      </c>
      <c r="Z17" s="6">
        <v>126918.95000000001</v>
      </c>
      <c r="AA17" s="6">
        <v>130536.57999999999</v>
      </c>
      <c r="AB17" s="6">
        <v>135149.19999999998</v>
      </c>
      <c r="AC17" s="6">
        <v>505923.19999999995</v>
      </c>
      <c r="AD17" s="6">
        <v>133691.49</v>
      </c>
    </row>
    <row r="18" spans="2:30" ht="14.25" customHeight="1" x14ac:dyDescent="0.45">
      <c r="B18" s="7" t="s">
        <v>126</v>
      </c>
      <c r="C18" s="6">
        <v>33620.49</v>
      </c>
      <c r="D18" s="6">
        <v>72379.839999999997</v>
      </c>
      <c r="E18" s="6">
        <v>34571.1</v>
      </c>
      <c r="F18" s="6">
        <v>33360.79</v>
      </c>
      <c r="G18" s="6">
        <v>35961.69</v>
      </c>
      <c r="H18" s="6">
        <v>39525.51</v>
      </c>
      <c r="I18" s="6">
        <v>143419.09</v>
      </c>
      <c r="J18" s="6">
        <v>67639.839999999997</v>
      </c>
      <c r="K18" s="6">
        <v>72717.049999999988</v>
      </c>
      <c r="L18" s="6">
        <v>73394.22</v>
      </c>
      <c r="M18" s="6">
        <v>73964.960000000021</v>
      </c>
      <c r="N18" s="6">
        <v>287716.07</v>
      </c>
      <c r="O18" s="6">
        <v>76163.34</v>
      </c>
      <c r="P18" s="6">
        <v>80455.260000000009</v>
      </c>
      <c r="Q18" s="6">
        <v>79259.78</v>
      </c>
      <c r="R18" s="6">
        <v>79144.81</v>
      </c>
      <c r="S18" s="6">
        <f t="shared" ref="S18:S19" si="5">SUM(O18:R18)</f>
        <v>315023.19</v>
      </c>
      <c r="T18" s="6">
        <v>72886.41</v>
      </c>
      <c r="U18" s="6">
        <v>74001.03</v>
      </c>
      <c r="V18" s="6">
        <v>78714.38</v>
      </c>
      <c r="W18" s="6">
        <v>83572.28</v>
      </c>
      <c r="X18" s="6">
        <v>309174.09999999998</v>
      </c>
      <c r="Y18" s="6">
        <v>87879.51</v>
      </c>
      <c r="Z18" s="6">
        <v>99147.91</v>
      </c>
      <c r="AA18" s="6">
        <v>105608.09</v>
      </c>
      <c r="AB18" s="6">
        <v>113666.5</v>
      </c>
      <c r="AC18" s="6">
        <v>406302.00999999995</v>
      </c>
      <c r="AD18" s="6">
        <v>114622.62</v>
      </c>
    </row>
    <row r="19" spans="2:30" ht="14.25" customHeight="1" x14ac:dyDescent="0.45">
      <c r="B19" s="7" t="s">
        <v>127</v>
      </c>
      <c r="C19" s="6">
        <v>59831.56</v>
      </c>
      <c r="D19" s="6">
        <v>62818.64</v>
      </c>
      <c r="E19" s="6">
        <v>49788.55</v>
      </c>
      <c r="F19" s="6">
        <v>44176.47</v>
      </c>
      <c r="G19" s="6">
        <v>52205.03</v>
      </c>
      <c r="H19" s="6">
        <v>61151.16</v>
      </c>
      <c r="I19" s="6">
        <v>207321.21</v>
      </c>
      <c r="J19" s="6">
        <v>94668.26</v>
      </c>
      <c r="K19" s="6">
        <v>82784.84</v>
      </c>
      <c r="L19" s="6">
        <v>88707.58</v>
      </c>
      <c r="M19" s="6">
        <v>91196.81</v>
      </c>
      <c r="N19" s="6">
        <v>357357.49</v>
      </c>
      <c r="O19" s="6">
        <v>131083.13</v>
      </c>
      <c r="P19" s="6">
        <v>141655.09999999998</v>
      </c>
      <c r="Q19" s="6">
        <v>133208.68</v>
      </c>
      <c r="R19" s="6">
        <v>129293.05</v>
      </c>
      <c r="S19" s="6">
        <f t="shared" si="5"/>
        <v>535239.96</v>
      </c>
      <c r="T19" s="6">
        <v>131476.12</v>
      </c>
      <c r="U19" s="6">
        <v>161828</v>
      </c>
      <c r="V19" s="6">
        <v>137846.54</v>
      </c>
      <c r="W19" s="6">
        <v>116889.61000000002</v>
      </c>
      <c r="X19" s="6">
        <v>548040.27</v>
      </c>
      <c r="Y19" s="6">
        <v>186654.91999999998</v>
      </c>
      <c r="Z19" s="6">
        <v>200438.48</v>
      </c>
      <c r="AA19" s="6">
        <v>175185.29</v>
      </c>
      <c r="AB19" s="6">
        <v>171506.49</v>
      </c>
      <c r="AC19" s="6">
        <v>733785.18</v>
      </c>
      <c r="AD19" s="6">
        <v>216043.48999999996</v>
      </c>
    </row>
    <row r="20" spans="2:30" ht="14.25" customHeight="1" x14ac:dyDescent="0.45">
      <c r="B20" s="6" t="s">
        <v>128</v>
      </c>
      <c r="C20" s="6">
        <v>2832.8</v>
      </c>
      <c r="D20" s="6">
        <v>7492</v>
      </c>
      <c r="E20" s="6">
        <v>3894.51</v>
      </c>
      <c r="F20" s="6">
        <v>3368.31</v>
      </c>
      <c r="G20" s="6">
        <v>3911.12</v>
      </c>
      <c r="H20" s="6">
        <v>4330.49</v>
      </c>
      <c r="I20" s="6">
        <v>15504.429999999998</v>
      </c>
      <c r="J20" s="6">
        <v>7703.9800000000005</v>
      </c>
      <c r="K20" s="6">
        <v>8535.1</v>
      </c>
      <c r="L20" s="6">
        <v>8782.81</v>
      </c>
      <c r="M20" s="6">
        <v>8515.4799999999959</v>
      </c>
      <c r="N20" s="6">
        <v>33537.479999999996</v>
      </c>
      <c r="O20" s="6">
        <v>10622.259999999998</v>
      </c>
      <c r="P20" s="6">
        <v>11552.03</v>
      </c>
      <c r="Q20" s="6">
        <v>11715.8</v>
      </c>
      <c r="R20" s="6">
        <v>10729.779999999999</v>
      </c>
      <c r="S20" s="6">
        <f>SUM(O20:R20)</f>
        <v>44619.869999999995</v>
      </c>
      <c r="T20" s="6">
        <v>288439.08</v>
      </c>
      <c r="U20" s="6">
        <v>23098.05</v>
      </c>
      <c r="V20" s="6">
        <v>13754.02</v>
      </c>
      <c r="W20" s="6">
        <v>13163.02</v>
      </c>
      <c r="X20" s="6">
        <v>50015.090000000004</v>
      </c>
      <c r="Y20" s="6">
        <v>16383.740000000002</v>
      </c>
      <c r="Z20" s="6">
        <v>20417.95</v>
      </c>
      <c r="AA20" s="6">
        <v>22044.81</v>
      </c>
      <c r="AB20" s="6">
        <v>21486.29</v>
      </c>
      <c r="AC20" s="6">
        <v>80332.789999999994</v>
      </c>
      <c r="AD20" s="6">
        <v>22156.949999999997</v>
      </c>
    </row>
    <row r="21" spans="2:30" ht="14.25" customHeight="1" thickBot="1" x14ac:dyDescent="0.5">
      <c r="B21" s="21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</row>
    <row r="22" spans="2:30" ht="14.25" customHeight="1" thickBot="1" x14ac:dyDescent="0.5">
      <c r="B22" s="9" t="s">
        <v>278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2:30" ht="14.25" customHeight="1" x14ac:dyDescent="0.45">
      <c r="B23" s="5" t="s">
        <v>129</v>
      </c>
      <c r="C23" s="4">
        <f t="shared" ref="C23:U23" si="6">C24+C25</f>
        <v>233945.62167999998</v>
      </c>
      <c r="D23" s="4">
        <f t="shared" si="6"/>
        <v>456539.03858000005</v>
      </c>
      <c r="E23" s="4">
        <f t="shared" si="6"/>
        <v>182525.37059000001</v>
      </c>
      <c r="F23" s="4">
        <f t="shared" si="6"/>
        <v>187418.70570932512</v>
      </c>
      <c r="G23" s="4">
        <f t="shared" si="6"/>
        <v>272258</v>
      </c>
      <c r="H23" s="4">
        <f t="shared" si="6"/>
        <v>332081.41860000027</v>
      </c>
      <c r="I23" s="4">
        <f t="shared" si="6"/>
        <v>974244</v>
      </c>
      <c r="J23" s="4">
        <f t="shared" si="6"/>
        <v>379240</v>
      </c>
      <c r="K23" s="4">
        <f t="shared" si="6"/>
        <v>405919</v>
      </c>
      <c r="L23" s="4">
        <f t="shared" si="6"/>
        <v>596505.41997000028</v>
      </c>
      <c r="M23" s="4">
        <f t="shared" si="6"/>
        <v>741335.68901999923</v>
      </c>
      <c r="N23" s="4">
        <f t="shared" si="6"/>
        <v>2122996</v>
      </c>
      <c r="O23" s="4">
        <f t="shared" si="6"/>
        <v>883714</v>
      </c>
      <c r="P23" s="4">
        <f t="shared" si="6"/>
        <v>1050291</v>
      </c>
      <c r="Q23" s="4">
        <f t="shared" si="6"/>
        <v>1514665</v>
      </c>
      <c r="R23" s="4">
        <f t="shared" si="6"/>
        <v>1210367</v>
      </c>
      <c r="S23" s="4">
        <f t="shared" si="6"/>
        <v>4659042</v>
      </c>
      <c r="T23" s="4">
        <f t="shared" si="6"/>
        <v>1121579</v>
      </c>
      <c r="U23" s="4">
        <f t="shared" si="6"/>
        <v>1004221</v>
      </c>
      <c r="V23" s="4">
        <f>V24+V25</f>
        <v>990516</v>
      </c>
      <c r="W23" s="4">
        <f t="shared" ref="W23:Z23" si="7">W24+W25</f>
        <v>1234246</v>
      </c>
      <c r="X23" s="4">
        <f t="shared" si="7"/>
        <v>4350562</v>
      </c>
      <c r="Y23" s="4">
        <f t="shared" si="7"/>
        <v>1117041</v>
      </c>
      <c r="Z23" s="4">
        <f t="shared" si="7"/>
        <v>1098777</v>
      </c>
      <c r="AA23" s="4">
        <v>1282831</v>
      </c>
      <c r="AB23" s="4">
        <v>1245347</v>
      </c>
      <c r="AC23" s="4">
        <v>4743996</v>
      </c>
      <c r="AD23" s="4">
        <v>1276532</v>
      </c>
    </row>
    <row r="24" spans="2:30" ht="14.25" customHeight="1" x14ac:dyDescent="0.45">
      <c r="B24" s="7" t="s">
        <v>130</v>
      </c>
      <c r="C24" s="6">
        <f>85.6973508*1000</f>
        <v>85697.3508</v>
      </c>
      <c r="D24" s="6">
        <v>327987.91621000005</v>
      </c>
      <c r="E24" s="6">
        <v>114666</v>
      </c>
      <c r="F24" s="6">
        <v>145187.80402522514</v>
      </c>
      <c r="G24" s="6">
        <v>182610</v>
      </c>
      <c r="H24" s="6">
        <v>168759.73560000036</v>
      </c>
      <c r="I24" s="6">
        <v>611184</v>
      </c>
      <c r="J24" s="6">
        <v>141935</v>
      </c>
      <c r="K24" s="6">
        <v>180381</v>
      </c>
      <c r="L24" s="49">
        <v>212368.46580999999</v>
      </c>
      <c r="M24" s="49">
        <v>261431.8441999997</v>
      </c>
      <c r="N24" s="49">
        <v>796074</v>
      </c>
      <c r="O24" s="49">
        <v>381684</v>
      </c>
      <c r="P24" s="49">
        <v>565034</v>
      </c>
      <c r="Q24" s="49">
        <v>777213</v>
      </c>
      <c r="R24" s="49">
        <v>515040</v>
      </c>
      <c r="S24" s="6">
        <v>2238970</v>
      </c>
      <c r="T24" s="6">
        <v>564694</v>
      </c>
      <c r="U24" s="49">
        <v>644486</v>
      </c>
      <c r="V24" s="49">
        <v>530596</v>
      </c>
      <c r="W24" s="49">
        <v>765244</v>
      </c>
      <c r="X24" s="49">
        <v>2505020</v>
      </c>
      <c r="Y24" s="49">
        <v>694899</v>
      </c>
      <c r="Z24" s="49">
        <v>679123</v>
      </c>
      <c r="AA24" s="6">
        <v>628264</v>
      </c>
      <c r="AB24" s="6">
        <v>538011</v>
      </c>
      <c r="AC24" s="6">
        <v>2540297</v>
      </c>
      <c r="AD24" s="6">
        <v>643710</v>
      </c>
    </row>
    <row r="25" spans="2:30" ht="14.25" customHeight="1" x14ac:dyDescent="0.45">
      <c r="B25" s="7" t="s">
        <v>131</v>
      </c>
      <c r="C25" s="6">
        <f>148.24827088*1000</f>
        <v>148248.27088</v>
      </c>
      <c r="D25" s="6">
        <v>128551.12237000001</v>
      </c>
      <c r="E25" s="6">
        <v>67859.370589999991</v>
      </c>
      <c r="F25" s="6">
        <v>42230.901684099983</v>
      </c>
      <c r="G25" s="6">
        <v>89648</v>
      </c>
      <c r="H25" s="6">
        <v>163321.6829999999</v>
      </c>
      <c r="I25" s="6">
        <v>363060</v>
      </c>
      <c r="J25" s="6">
        <v>237305</v>
      </c>
      <c r="K25" s="6">
        <v>225538</v>
      </c>
      <c r="L25" s="49">
        <v>384136.95416000026</v>
      </c>
      <c r="M25" s="49">
        <v>479903.84481999953</v>
      </c>
      <c r="N25" s="49">
        <v>1326922</v>
      </c>
      <c r="O25" s="49">
        <v>502030</v>
      </c>
      <c r="P25" s="49">
        <v>485257</v>
      </c>
      <c r="Q25" s="49">
        <v>737452</v>
      </c>
      <c r="R25" s="49">
        <v>695327</v>
      </c>
      <c r="S25" s="6">
        <v>2420072</v>
      </c>
      <c r="T25" s="6">
        <v>556885</v>
      </c>
      <c r="U25" s="49">
        <v>359735</v>
      </c>
      <c r="V25" s="49">
        <v>459920</v>
      </c>
      <c r="W25" s="49">
        <v>469002</v>
      </c>
      <c r="X25" s="49">
        <v>1845542</v>
      </c>
      <c r="Y25" s="49">
        <v>422142</v>
      </c>
      <c r="Z25" s="49">
        <v>419654</v>
      </c>
      <c r="AA25" s="6">
        <v>654567</v>
      </c>
      <c r="AB25" s="6">
        <v>707336</v>
      </c>
      <c r="AC25" s="6">
        <v>2203699</v>
      </c>
      <c r="AD25" s="6">
        <v>632822</v>
      </c>
    </row>
    <row r="26" spans="2:30" ht="14.25" customHeight="1" x14ac:dyDescent="0.45">
      <c r="B26" s="5" t="s">
        <v>284</v>
      </c>
      <c r="C26" s="4">
        <f t="shared" ref="C26:V26" si="8">SUM(C27:C30)</f>
        <v>29347.841780000002</v>
      </c>
      <c r="D26" s="4">
        <f t="shared" si="8"/>
        <v>78352.003899999996</v>
      </c>
      <c r="E26" s="4">
        <f t="shared" si="8"/>
        <v>37657.985315029982</v>
      </c>
      <c r="F26" s="4">
        <f t="shared" si="8"/>
        <v>38304.104010234405</v>
      </c>
      <c r="G26" s="4">
        <f t="shared" si="8"/>
        <v>44344</v>
      </c>
      <c r="H26" s="4">
        <f t="shared" si="8"/>
        <v>50767.712459999981</v>
      </c>
      <c r="I26" s="4">
        <f t="shared" si="8"/>
        <v>171073.80178526434</v>
      </c>
      <c r="J26" s="4">
        <f t="shared" si="8"/>
        <v>105456</v>
      </c>
      <c r="K26" s="4">
        <f t="shared" si="8"/>
        <v>139870</v>
      </c>
      <c r="L26" s="4">
        <f t="shared" si="8"/>
        <v>168008.12561999998</v>
      </c>
      <c r="M26" s="4">
        <f t="shared" si="8"/>
        <v>184414.29784999997</v>
      </c>
      <c r="N26" s="4">
        <f t="shared" si="8"/>
        <v>597750</v>
      </c>
      <c r="O26" s="4">
        <f t="shared" si="8"/>
        <v>278736</v>
      </c>
      <c r="P26" s="4">
        <f t="shared" si="8"/>
        <v>305081</v>
      </c>
      <c r="Q26" s="4">
        <f t="shared" si="8"/>
        <v>295668</v>
      </c>
      <c r="R26" s="4">
        <f t="shared" si="8"/>
        <v>334087</v>
      </c>
      <c r="S26" s="4">
        <f>SUM(S27:S30)</f>
        <v>1213571</v>
      </c>
      <c r="T26" s="4">
        <f t="shared" si="8"/>
        <v>338873</v>
      </c>
      <c r="U26" s="4">
        <f t="shared" si="8"/>
        <v>404629</v>
      </c>
      <c r="V26" s="4">
        <f t="shared" si="8"/>
        <v>362022</v>
      </c>
      <c r="W26" s="4">
        <f t="shared" ref="W26:Z26" si="9">SUM(W27:W30)</f>
        <v>362109</v>
      </c>
      <c r="X26" s="4">
        <f t="shared" si="9"/>
        <v>1467633</v>
      </c>
      <c r="Y26" s="4">
        <f t="shared" si="9"/>
        <v>370132</v>
      </c>
      <c r="Z26" s="4">
        <f t="shared" si="9"/>
        <v>385805</v>
      </c>
      <c r="AA26" s="4">
        <v>379728</v>
      </c>
      <c r="AB26" s="4">
        <v>364944</v>
      </c>
      <c r="AC26" s="4">
        <v>1500609</v>
      </c>
      <c r="AD26" s="4">
        <v>366287</v>
      </c>
    </row>
    <row r="27" spans="2:30" ht="14.25" customHeight="1" x14ac:dyDescent="0.45">
      <c r="B27" s="7" t="s">
        <v>132</v>
      </c>
      <c r="C27" s="6">
        <f>15.29983774*1000</f>
        <v>15299.837739999999</v>
      </c>
      <c r="D27" s="6">
        <v>37367.780789999997</v>
      </c>
      <c r="E27" s="6">
        <v>19025.494236279988</v>
      </c>
      <c r="F27" s="6">
        <v>17177.047983400003</v>
      </c>
      <c r="G27" s="6">
        <v>20911</v>
      </c>
      <c r="H27" s="6">
        <v>25453.499630000006</v>
      </c>
      <c r="I27" s="6">
        <v>82567.041849679998</v>
      </c>
      <c r="J27" s="6">
        <v>52038</v>
      </c>
      <c r="K27" s="6">
        <v>77626</v>
      </c>
      <c r="L27" s="49">
        <v>86199.273029999997</v>
      </c>
      <c r="M27" s="49">
        <v>93783.864899999957</v>
      </c>
      <c r="N27" s="49">
        <v>309648</v>
      </c>
      <c r="O27" s="49">
        <v>162389</v>
      </c>
      <c r="P27" s="49">
        <v>158790</v>
      </c>
      <c r="Q27" s="49">
        <v>136580</v>
      </c>
      <c r="R27" s="49">
        <v>163382</v>
      </c>
      <c r="S27" s="6">
        <v>621141</v>
      </c>
      <c r="T27" s="6">
        <v>142589</v>
      </c>
      <c r="U27" s="49">
        <v>163713</v>
      </c>
      <c r="V27" s="49">
        <v>151491</v>
      </c>
      <c r="W27" s="49">
        <v>165458</v>
      </c>
      <c r="X27" s="49">
        <v>623251</v>
      </c>
      <c r="Y27" s="49">
        <v>156563</v>
      </c>
      <c r="Z27" s="49">
        <v>171224</v>
      </c>
      <c r="AA27" s="6">
        <v>168600</v>
      </c>
      <c r="AB27" s="6">
        <v>167537</v>
      </c>
      <c r="AC27" s="6">
        <v>663924</v>
      </c>
      <c r="AD27" s="6">
        <v>157633</v>
      </c>
    </row>
    <row r="28" spans="2:30" ht="14.25" customHeight="1" x14ac:dyDescent="0.45">
      <c r="B28" s="7" t="s">
        <v>133</v>
      </c>
      <c r="C28" s="6">
        <f>7.58341023*1000</f>
        <v>7583.4102300000004</v>
      </c>
      <c r="D28" s="6">
        <v>19925.109980000001</v>
      </c>
      <c r="E28" s="6">
        <v>10009.763848124996</v>
      </c>
      <c r="F28" s="6">
        <v>11009.431141749999</v>
      </c>
      <c r="G28" s="6">
        <v>11302</v>
      </c>
      <c r="H28" s="6">
        <v>14794.691119999989</v>
      </c>
      <c r="I28" s="6">
        <v>47115.886109874984</v>
      </c>
      <c r="J28" s="6">
        <v>26940</v>
      </c>
      <c r="K28" s="6">
        <v>31423</v>
      </c>
      <c r="L28" s="49">
        <v>32492.978349999983</v>
      </c>
      <c r="M28" s="49">
        <v>38077.849990000046</v>
      </c>
      <c r="N28" s="49">
        <v>128934</v>
      </c>
      <c r="O28" s="49">
        <v>42381</v>
      </c>
      <c r="P28" s="49">
        <v>58988</v>
      </c>
      <c r="Q28" s="49">
        <v>65810</v>
      </c>
      <c r="R28" s="49">
        <v>79223</v>
      </c>
      <c r="S28" s="6">
        <v>246401</v>
      </c>
      <c r="T28" s="6">
        <v>85911</v>
      </c>
      <c r="U28" s="49">
        <v>95657</v>
      </c>
      <c r="V28" s="49">
        <v>85675</v>
      </c>
      <c r="W28" s="49">
        <v>86991</v>
      </c>
      <c r="X28" s="49">
        <v>354234</v>
      </c>
      <c r="Y28" s="49">
        <v>93017</v>
      </c>
      <c r="Z28" s="49">
        <v>89838</v>
      </c>
      <c r="AA28" s="6">
        <v>75572</v>
      </c>
      <c r="AB28" s="6">
        <v>72745</v>
      </c>
      <c r="AC28" s="6">
        <v>331172</v>
      </c>
      <c r="AD28" s="6">
        <v>77371</v>
      </c>
    </row>
    <row r="29" spans="2:30" ht="14.25" customHeight="1" x14ac:dyDescent="0.45">
      <c r="B29" s="7" t="s">
        <v>134</v>
      </c>
      <c r="C29" s="6">
        <f>3.01612557*1000</f>
        <v>3016.1255699999997</v>
      </c>
      <c r="D29" s="6">
        <v>8736.9156700000021</v>
      </c>
      <c r="E29" s="6">
        <v>2119.9617266250007</v>
      </c>
      <c r="F29" s="6">
        <v>4304.8394312500013</v>
      </c>
      <c r="G29" s="6">
        <v>5065</v>
      </c>
      <c r="H29" s="6">
        <v>5841.7761699999937</v>
      </c>
      <c r="I29" s="6">
        <v>17331.577327874995</v>
      </c>
      <c r="J29" s="6">
        <v>10243</v>
      </c>
      <c r="K29" s="6">
        <v>8500</v>
      </c>
      <c r="L29" s="49">
        <v>9985.9595700000009</v>
      </c>
      <c r="M29" s="49">
        <v>14518.841819999994</v>
      </c>
      <c r="N29" s="49">
        <v>43248</v>
      </c>
      <c r="O29" s="49">
        <v>21682</v>
      </c>
      <c r="P29" s="49">
        <v>24611</v>
      </c>
      <c r="Q29" s="49">
        <v>22987</v>
      </c>
      <c r="R29" s="49">
        <v>24484</v>
      </c>
      <c r="S29" s="6">
        <v>93763</v>
      </c>
      <c r="T29" s="6">
        <v>45915</v>
      </c>
      <c r="U29" s="49">
        <v>58963</v>
      </c>
      <c r="V29" s="49">
        <v>49852</v>
      </c>
      <c r="W29" s="49">
        <v>39375</v>
      </c>
      <c r="X29" s="49">
        <v>194105</v>
      </c>
      <c r="Y29" s="49">
        <v>59553</v>
      </c>
      <c r="Z29" s="49">
        <v>58094</v>
      </c>
      <c r="AA29" s="6">
        <v>48639</v>
      </c>
      <c r="AB29" s="6">
        <v>43654</v>
      </c>
      <c r="AC29" s="6">
        <v>209940</v>
      </c>
      <c r="AD29" s="6">
        <v>53161</v>
      </c>
    </row>
    <row r="30" spans="2:30" ht="14.25" customHeight="1" x14ac:dyDescent="0.45">
      <c r="B30" s="27" t="s">
        <v>135</v>
      </c>
      <c r="C30" s="6">
        <f>3.44846824*1000</f>
        <v>3448.4682400000002</v>
      </c>
      <c r="D30" s="6">
        <v>12322.197459999994</v>
      </c>
      <c r="E30" s="6">
        <v>6502.7655039999981</v>
      </c>
      <c r="F30" s="6">
        <v>5812.7854538344009</v>
      </c>
      <c r="G30" s="6">
        <v>7066</v>
      </c>
      <c r="H30" s="6">
        <v>4677.7455399999926</v>
      </c>
      <c r="I30" s="6">
        <v>24059.296497834392</v>
      </c>
      <c r="J30" s="6">
        <v>16235</v>
      </c>
      <c r="K30" s="6">
        <v>22321</v>
      </c>
      <c r="L30" s="49">
        <v>39329.914670000006</v>
      </c>
      <c r="M30" s="49">
        <v>38033.741139999969</v>
      </c>
      <c r="N30" s="49">
        <v>115920</v>
      </c>
      <c r="O30" s="49">
        <v>52284</v>
      </c>
      <c r="P30" s="49">
        <v>62692</v>
      </c>
      <c r="Q30" s="49">
        <v>70291</v>
      </c>
      <c r="R30" s="49">
        <v>66998</v>
      </c>
      <c r="S30" s="6">
        <v>252266</v>
      </c>
      <c r="T30" s="6">
        <v>64458</v>
      </c>
      <c r="U30" s="49">
        <v>86296</v>
      </c>
      <c r="V30" s="49">
        <v>75004</v>
      </c>
      <c r="W30" s="49">
        <v>70285</v>
      </c>
      <c r="X30" s="49">
        <v>296043</v>
      </c>
      <c r="Y30" s="49">
        <v>60999</v>
      </c>
      <c r="Z30" s="49">
        <v>66649</v>
      </c>
      <c r="AA30" s="6">
        <v>86917</v>
      </c>
      <c r="AB30" s="6">
        <v>81008</v>
      </c>
      <c r="AC30" s="6">
        <v>295573</v>
      </c>
      <c r="AD30" s="6">
        <v>78122</v>
      </c>
    </row>
    <row r="31" spans="2:30" ht="14.25" customHeight="1" x14ac:dyDescent="0.45">
      <c r="B31" s="5" t="s">
        <v>136</v>
      </c>
      <c r="C31" s="4">
        <v>5687</v>
      </c>
      <c r="D31" s="4">
        <f>SUM(D32:D33)</f>
        <v>9925.0835200000001</v>
      </c>
      <c r="E31" s="4">
        <f t="shared" ref="E31:Y31" si="10">SUM(E32:E33)</f>
        <v>3562.5960200000009</v>
      </c>
      <c r="F31" s="4">
        <f t="shared" si="10"/>
        <v>3701.1235499999998</v>
      </c>
      <c r="G31" s="4">
        <f t="shared" si="10"/>
        <v>4857</v>
      </c>
      <c r="H31" s="4">
        <f t="shared" si="10"/>
        <v>6824.2848399999957</v>
      </c>
      <c r="I31" s="4">
        <f t="shared" si="10"/>
        <v>18944.756529999999</v>
      </c>
      <c r="J31" s="4">
        <f t="shared" si="10"/>
        <v>6247.19625</v>
      </c>
      <c r="K31" s="4">
        <f t="shared" si="10"/>
        <v>7309.2668899999999</v>
      </c>
      <c r="L31" s="4">
        <f t="shared" si="10"/>
        <v>12100.055649999998</v>
      </c>
      <c r="M31" s="4">
        <f t="shared" si="10"/>
        <v>8397.8926599999977</v>
      </c>
      <c r="N31" s="4">
        <f t="shared" si="10"/>
        <v>34060.217189999996</v>
      </c>
      <c r="O31" s="4">
        <f t="shared" si="10"/>
        <v>8177.74208</v>
      </c>
      <c r="P31" s="4">
        <f t="shared" si="10"/>
        <v>18592.659189040001</v>
      </c>
      <c r="Q31" s="4">
        <f t="shared" si="10"/>
        <v>14622</v>
      </c>
      <c r="R31" s="4">
        <f t="shared" si="10"/>
        <v>11341</v>
      </c>
      <c r="S31" s="4">
        <f t="shared" si="10"/>
        <v>52731</v>
      </c>
      <c r="T31" s="4">
        <f t="shared" si="10"/>
        <v>3926.171699999999</v>
      </c>
      <c r="U31" s="4">
        <f t="shared" si="10"/>
        <v>3551.6184500000004</v>
      </c>
      <c r="V31" s="4">
        <f t="shared" si="10"/>
        <v>7099.9489199999989</v>
      </c>
      <c r="W31" s="4">
        <f t="shared" si="10"/>
        <v>5395.7278800000004</v>
      </c>
      <c r="X31" s="4">
        <f t="shared" si="10"/>
        <v>19973.466949999998</v>
      </c>
      <c r="Y31" s="4">
        <f t="shared" si="10"/>
        <v>5956</v>
      </c>
      <c r="Z31" s="4">
        <f>SUM(Z32:Z33)</f>
        <v>5325</v>
      </c>
      <c r="AA31" s="4">
        <v>7575</v>
      </c>
      <c r="AB31" s="4">
        <v>5728</v>
      </c>
      <c r="AC31" s="4">
        <v>24584</v>
      </c>
      <c r="AD31" s="4">
        <v>6843</v>
      </c>
    </row>
    <row r="32" spans="2:30" ht="14.25" customHeight="1" x14ac:dyDescent="0.45">
      <c r="B32" s="7" t="s">
        <v>345</v>
      </c>
      <c r="C32" s="49">
        <v>0</v>
      </c>
      <c r="D32" s="49">
        <v>9925.0835200000001</v>
      </c>
      <c r="E32" s="49">
        <v>3158.5960200000009</v>
      </c>
      <c r="F32" s="49">
        <v>2976.9988599999997</v>
      </c>
      <c r="G32" s="49">
        <v>3941</v>
      </c>
      <c r="H32" s="49">
        <v>5778.6529999999966</v>
      </c>
      <c r="I32" s="49">
        <v>15855</v>
      </c>
      <c r="J32" s="49">
        <v>5375</v>
      </c>
      <c r="K32" s="49">
        <v>6163</v>
      </c>
      <c r="L32" s="49">
        <v>10957.489959999999</v>
      </c>
      <c r="M32" s="49">
        <v>7438.675470000002</v>
      </c>
      <c r="N32" s="49">
        <v>29936</v>
      </c>
      <c r="O32" s="49">
        <v>7490</v>
      </c>
      <c r="P32" s="49">
        <v>17866</v>
      </c>
      <c r="Q32" s="49">
        <v>13609</v>
      </c>
      <c r="R32" s="49">
        <v>10760</v>
      </c>
      <c r="S32" s="6">
        <v>49725</v>
      </c>
      <c r="T32" s="6">
        <v>2969.171699999999</v>
      </c>
      <c r="U32" s="49">
        <v>2399.6184500000004</v>
      </c>
      <c r="V32" s="49">
        <v>6055.9489199999989</v>
      </c>
      <c r="W32" s="49">
        <v>4570.7278800000004</v>
      </c>
      <c r="X32" s="49">
        <v>15995.466949999998</v>
      </c>
      <c r="Y32" s="49">
        <v>4580</v>
      </c>
      <c r="Z32" s="49">
        <v>3861</v>
      </c>
      <c r="AA32" s="6">
        <v>5946</v>
      </c>
      <c r="AB32" s="6">
        <v>4279</v>
      </c>
      <c r="AC32" s="6">
        <v>18666</v>
      </c>
      <c r="AD32" s="6">
        <v>5495</v>
      </c>
    </row>
    <row r="33" spans="2:30" ht="14.25" customHeight="1" x14ac:dyDescent="0.45">
      <c r="B33" s="7" t="s">
        <v>137</v>
      </c>
      <c r="C33" s="49">
        <v>0</v>
      </c>
      <c r="D33" s="49">
        <v>0</v>
      </c>
      <c r="E33" s="49">
        <v>404</v>
      </c>
      <c r="F33" s="49">
        <v>724.1246900000001</v>
      </c>
      <c r="G33" s="49">
        <v>916</v>
      </c>
      <c r="H33" s="49">
        <v>1045.6318399999991</v>
      </c>
      <c r="I33" s="49">
        <v>3089.7565299999992</v>
      </c>
      <c r="J33" s="49">
        <v>872.19624999999996</v>
      </c>
      <c r="K33" s="49">
        <v>1146.2668900000001</v>
      </c>
      <c r="L33" s="49">
        <v>1142.5656900000001</v>
      </c>
      <c r="M33" s="49">
        <v>959.21718999999575</v>
      </c>
      <c r="N33" s="49">
        <v>4124.2171899999958</v>
      </c>
      <c r="O33" s="49">
        <v>687.74207999999999</v>
      </c>
      <c r="P33" s="49">
        <v>726.65918904</v>
      </c>
      <c r="Q33" s="49">
        <v>1013</v>
      </c>
      <c r="R33" s="49">
        <v>581</v>
      </c>
      <c r="S33" s="6">
        <v>3006</v>
      </c>
      <c r="T33" s="6">
        <v>957</v>
      </c>
      <c r="U33" s="49">
        <v>1152</v>
      </c>
      <c r="V33" s="49">
        <v>1044</v>
      </c>
      <c r="W33" s="49">
        <v>825</v>
      </c>
      <c r="X33" s="49">
        <v>3978</v>
      </c>
      <c r="Y33" s="49">
        <v>1376</v>
      </c>
      <c r="Z33" s="49">
        <v>1464</v>
      </c>
      <c r="AA33" s="6">
        <v>1629</v>
      </c>
      <c r="AB33" s="6">
        <v>1449</v>
      </c>
      <c r="AC33" s="6">
        <v>5918</v>
      </c>
      <c r="AD33" s="6">
        <v>1348</v>
      </c>
    </row>
    <row r="34" spans="2:30" ht="14.25" customHeight="1" x14ac:dyDescent="0.45">
      <c r="B34" s="5" t="s">
        <v>276</v>
      </c>
      <c r="C34" s="4">
        <f t="shared" ref="C34:X34" si="11">C31+C26+C23</f>
        <v>268980.46346</v>
      </c>
      <c r="D34" s="4">
        <f t="shared" si="11"/>
        <v>544816.12600000005</v>
      </c>
      <c r="E34" s="4">
        <f t="shared" si="11"/>
        <v>223745.95192502998</v>
      </c>
      <c r="F34" s="4">
        <f t="shared" si="11"/>
        <v>229423.93326955952</v>
      </c>
      <c r="G34" s="4">
        <f t="shared" si="11"/>
        <v>321459</v>
      </c>
      <c r="H34" s="4">
        <f t="shared" si="11"/>
        <v>389673.41590000025</v>
      </c>
      <c r="I34" s="4">
        <f t="shared" si="11"/>
        <v>1164262.5583152643</v>
      </c>
      <c r="J34" s="4">
        <f t="shared" si="11"/>
        <v>490943.19624999998</v>
      </c>
      <c r="K34" s="4">
        <f t="shared" si="11"/>
        <v>553098.26688999997</v>
      </c>
      <c r="L34" s="4">
        <f t="shared" si="11"/>
        <v>776613.60124000022</v>
      </c>
      <c r="M34" s="4">
        <f t="shared" si="11"/>
        <v>934147.87952999922</v>
      </c>
      <c r="N34" s="4">
        <f t="shared" si="11"/>
        <v>2754806.2171900002</v>
      </c>
      <c r="O34" s="4">
        <f t="shared" si="11"/>
        <v>1170627.74208</v>
      </c>
      <c r="P34" s="4">
        <f t="shared" si="11"/>
        <v>1373964.6591890401</v>
      </c>
      <c r="Q34" s="4">
        <f t="shared" si="11"/>
        <v>1824955</v>
      </c>
      <c r="R34" s="4">
        <f t="shared" si="11"/>
        <v>1555795</v>
      </c>
      <c r="S34" s="4">
        <f t="shared" si="11"/>
        <v>5925344</v>
      </c>
      <c r="T34" s="4">
        <f t="shared" si="11"/>
        <v>1464378.1717000001</v>
      </c>
      <c r="U34" s="4">
        <f t="shared" si="11"/>
        <v>1412401.61845</v>
      </c>
      <c r="V34" s="4">
        <f t="shared" si="11"/>
        <v>1359637.9489199999</v>
      </c>
      <c r="W34" s="4">
        <f t="shared" si="11"/>
        <v>1601750.7278800001</v>
      </c>
      <c r="X34" s="4">
        <f t="shared" si="11"/>
        <v>5838168.4669500003</v>
      </c>
      <c r="Y34" s="4">
        <f>Y31+Y26+Y23</f>
        <v>1493129</v>
      </c>
      <c r="Z34" s="4">
        <f>Z31+Z26+Z23</f>
        <v>1489907</v>
      </c>
      <c r="AA34" s="4">
        <v>1670134</v>
      </c>
      <c r="AB34" s="4">
        <v>1616019</v>
      </c>
      <c r="AC34" s="4">
        <v>6269189</v>
      </c>
      <c r="AD34" s="4">
        <v>1649662</v>
      </c>
    </row>
    <row r="35" spans="2:30" ht="14.25" customHeight="1" thickBot="1" x14ac:dyDescent="0.5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2:30" ht="14.25" customHeight="1" thickBot="1" x14ac:dyDescent="0.5">
      <c r="B36" s="9" t="s">
        <v>279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2:30" ht="14.25" customHeight="1" x14ac:dyDescent="0.45">
      <c r="B37" s="6" t="s">
        <v>280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6654.8993099999998</v>
      </c>
      <c r="I37" s="49">
        <v>6654.8993099999998</v>
      </c>
      <c r="J37" s="49">
        <f>70835.94593</f>
        <v>70835.945930000002</v>
      </c>
      <c r="K37" s="49">
        <f>49013.0907600001</f>
        <v>49013.090760000101</v>
      </c>
      <c r="L37" s="49">
        <v>0</v>
      </c>
      <c r="M37" s="49">
        <v>0</v>
      </c>
      <c r="N37" s="49">
        <f>SUM(J37:M37)</f>
        <v>119849.0366900001</v>
      </c>
      <c r="O37" s="49">
        <v>38257.985249999976</v>
      </c>
      <c r="P37" s="49">
        <v>49124.53231000001</v>
      </c>
      <c r="Q37" s="49">
        <v>78850</v>
      </c>
      <c r="R37" s="49">
        <v>119400</v>
      </c>
      <c r="S37" s="49">
        <v>285632</v>
      </c>
      <c r="T37" s="49">
        <v>254659</v>
      </c>
      <c r="U37" s="49">
        <v>283857</v>
      </c>
      <c r="V37" s="49">
        <v>326855</v>
      </c>
      <c r="W37" s="49">
        <v>69880</v>
      </c>
      <c r="X37" s="49">
        <v>935251</v>
      </c>
      <c r="Y37" s="49">
        <v>114958</v>
      </c>
      <c r="Z37" s="49">
        <v>211507</v>
      </c>
      <c r="AA37" s="49">
        <v>223418</v>
      </c>
      <c r="AB37" s="49">
        <v>30583</v>
      </c>
      <c r="AC37" s="49">
        <v>580466</v>
      </c>
      <c r="AD37" s="49">
        <v>72849</v>
      </c>
    </row>
    <row r="38" spans="2:30" ht="14.25" customHeight="1" x14ac:dyDescent="0.45">
      <c r="B38" s="6" t="s">
        <v>328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  <c r="Z38" s="49">
        <v>1782</v>
      </c>
      <c r="AA38" s="49">
        <v>50634</v>
      </c>
      <c r="AB38" s="49">
        <v>52616</v>
      </c>
      <c r="AC38" s="49">
        <v>105032</v>
      </c>
      <c r="AD38" s="49">
        <v>47313</v>
      </c>
    </row>
    <row r="39" spans="2:30" ht="14.25" customHeight="1" x14ac:dyDescent="0.45">
      <c r="B39" s="6" t="s">
        <v>281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3962.828300000001</v>
      </c>
      <c r="U39" s="49">
        <v>9135.2281899999998</v>
      </c>
      <c r="V39" s="49">
        <v>6284.0380700000005</v>
      </c>
      <c r="W39" s="49">
        <v>7410.6230000000014</v>
      </c>
      <c r="X39" s="49">
        <v>26792.717560000001</v>
      </c>
      <c r="Y39" s="49">
        <v>3380</v>
      </c>
      <c r="Z39" s="49">
        <v>7901</v>
      </c>
      <c r="AA39" s="49">
        <v>6014</v>
      </c>
      <c r="AB39" s="49">
        <v>5352</v>
      </c>
      <c r="AC39" s="49">
        <v>22647</v>
      </c>
      <c r="AD39" s="49">
        <v>4855</v>
      </c>
    </row>
    <row r="40" spans="2:30" ht="14.25" customHeight="1" x14ac:dyDescent="0.45">
      <c r="B40" s="5" t="s">
        <v>277</v>
      </c>
      <c r="C40" s="4">
        <f>SUM(C37:C39)</f>
        <v>0</v>
      </c>
      <c r="D40" s="4">
        <f t="shared" ref="D40:Z40" si="12">SUM(D37:D39)</f>
        <v>0</v>
      </c>
      <c r="E40" s="4">
        <f t="shared" si="12"/>
        <v>0</v>
      </c>
      <c r="F40" s="4">
        <f t="shared" si="12"/>
        <v>0</v>
      </c>
      <c r="G40" s="4">
        <f t="shared" si="12"/>
        <v>0</v>
      </c>
      <c r="H40" s="4">
        <f t="shared" si="12"/>
        <v>6654.8993099999998</v>
      </c>
      <c r="I40" s="4">
        <f t="shared" si="12"/>
        <v>6654.8993099999998</v>
      </c>
      <c r="J40" s="4">
        <f t="shared" si="12"/>
        <v>70835.945930000002</v>
      </c>
      <c r="K40" s="4">
        <f t="shared" si="12"/>
        <v>49013.090760000101</v>
      </c>
      <c r="L40" s="4">
        <f t="shared" si="12"/>
        <v>0</v>
      </c>
      <c r="M40" s="4">
        <f t="shared" si="12"/>
        <v>0</v>
      </c>
      <c r="N40" s="4">
        <f t="shared" si="12"/>
        <v>119849.0366900001</v>
      </c>
      <c r="O40" s="4">
        <f t="shared" si="12"/>
        <v>38257.985249999976</v>
      </c>
      <c r="P40" s="4">
        <f t="shared" si="12"/>
        <v>49124.53231000001</v>
      </c>
      <c r="Q40" s="4">
        <f t="shared" si="12"/>
        <v>78850</v>
      </c>
      <c r="R40" s="4">
        <f t="shared" si="12"/>
        <v>119400</v>
      </c>
      <c r="S40" s="4">
        <f t="shared" si="12"/>
        <v>285632</v>
      </c>
      <c r="T40" s="4">
        <f t="shared" si="12"/>
        <v>258621.82829999999</v>
      </c>
      <c r="U40" s="4">
        <f t="shared" si="12"/>
        <v>292992.22818999999</v>
      </c>
      <c r="V40" s="4">
        <f t="shared" si="12"/>
        <v>333139.03807000001</v>
      </c>
      <c r="W40" s="4">
        <f t="shared" si="12"/>
        <v>77290.623000000007</v>
      </c>
      <c r="X40" s="4">
        <f t="shared" si="12"/>
        <v>962043.71756000002</v>
      </c>
      <c r="Y40" s="4">
        <f t="shared" si="12"/>
        <v>118338</v>
      </c>
      <c r="Z40" s="4">
        <f t="shared" si="12"/>
        <v>221190</v>
      </c>
      <c r="AA40" s="4">
        <v>280066</v>
      </c>
      <c r="AB40" s="4">
        <v>88551</v>
      </c>
      <c r="AC40" s="4">
        <v>708145</v>
      </c>
      <c r="AD40" s="4">
        <v>125017</v>
      </c>
    </row>
    <row r="41" spans="2:30" ht="14.25" customHeight="1" thickBot="1" x14ac:dyDescent="0.5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2:30" ht="14.25" customHeight="1" thickBot="1" x14ac:dyDescent="0.5">
      <c r="B42" s="9" t="s">
        <v>282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2:30" ht="14.25" customHeight="1" x14ac:dyDescent="0.45">
      <c r="B43" s="6" t="s">
        <v>346</v>
      </c>
      <c r="C43" s="49">
        <v>16659</v>
      </c>
      <c r="D43" s="49">
        <v>20469</v>
      </c>
      <c r="E43" s="49">
        <v>10785</v>
      </c>
      <c r="F43" s="49">
        <v>12603.560758275</v>
      </c>
      <c r="G43" s="49">
        <v>18453</v>
      </c>
      <c r="H43" s="49">
        <v>19061.157730000006</v>
      </c>
      <c r="I43" s="49">
        <v>60903</v>
      </c>
      <c r="J43" s="49">
        <v>48391</v>
      </c>
      <c r="K43" s="49">
        <v>59644</v>
      </c>
      <c r="L43" s="49">
        <v>62701</v>
      </c>
      <c r="M43" s="49">
        <v>62316</v>
      </c>
      <c r="N43" s="49">
        <v>233051</v>
      </c>
      <c r="O43" s="49">
        <v>85723</v>
      </c>
      <c r="P43" s="49">
        <v>97223</v>
      </c>
      <c r="Q43" s="49">
        <v>111793</v>
      </c>
      <c r="R43" s="49">
        <v>129588</v>
      </c>
      <c r="S43" s="49">
        <v>424326</v>
      </c>
      <c r="T43" s="49">
        <v>163597</v>
      </c>
      <c r="U43" s="49">
        <v>201346</v>
      </c>
      <c r="V43" s="49">
        <v>198388</v>
      </c>
      <c r="W43" s="49">
        <v>186963.00000000006</v>
      </c>
      <c r="X43" s="49">
        <v>750294</v>
      </c>
      <c r="Y43" s="49">
        <v>210083</v>
      </c>
      <c r="Z43" s="49">
        <v>292062</v>
      </c>
      <c r="AA43" s="49">
        <v>326834</v>
      </c>
      <c r="AB43" s="49">
        <v>265737</v>
      </c>
      <c r="AC43" s="49">
        <v>1094716</v>
      </c>
      <c r="AD43" s="49">
        <v>263163</v>
      </c>
    </row>
    <row r="44" spans="2:30" ht="14.25" customHeight="1" x14ac:dyDescent="0.45">
      <c r="B44" s="5" t="s">
        <v>283</v>
      </c>
      <c r="C44" s="4">
        <f t="shared" ref="C44:Z44" si="13">SUM(C43:C43,C34,C40)</f>
        <v>285639.46346</v>
      </c>
      <c r="D44" s="4">
        <f t="shared" si="13"/>
        <v>565285.12600000005</v>
      </c>
      <c r="E44" s="4">
        <f t="shared" si="13"/>
        <v>234530.95192502998</v>
      </c>
      <c r="F44" s="4">
        <f t="shared" si="13"/>
        <v>242027.49402783453</v>
      </c>
      <c r="G44" s="4">
        <f t="shared" si="13"/>
        <v>339912</v>
      </c>
      <c r="H44" s="4">
        <f t="shared" si="13"/>
        <v>415389.47294000024</v>
      </c>
      <c r="I44" s="4">
        <f t="shared" si="13"/>
        <v>1231820.4576252643</v>
      </c>
      <c r="J44" s="4">
        <f t="shared" si="13"/>
        <v>610170.14218000008</v>
      </c>
      <c r="K44" s="4">
        <f t="shared" si="13"/>
        <v>661755.35765000002</v>
      </c>
      <c r="L44" s="4">
        <f t="shared" si="13"/>
        <v>839314.60124000022</v>
      </c>
      <c r="M44" s="4">
        <f t="shared" si="13"/>
        <v>996463.87952999922</v>
      </c>
      <c r="N44" s="4">
        <f t="shared" si="13"/>
        <v>3107706.2538800002</v>
      </c>
      <c r="O44" s="4">
        <f t="shared" si="13"/>
        <v>1294608.7273299999</v>
      </c>
      <c r="P44" s="4">
        <f t="shared" si="13"/>
        <v>1520312.19149904</v>
      </c>
      <c r="Q44" s="4">
        <f t="shared" si="13"/>
        <v>2015598</v>
      </c>
      <c r="R44" s="4">
        <f t="shared" si="13"/>
        <v>1804783</v>
      </c>
      <c r="S44" s="4">
        <f t="shared" si="13"/>
        <v>6635302</v>
      </c>
      <c r="T44" s="4">
        <f t="shared" si="13"/>
        <v>1886597</v>
      </c>
      <c r="U44" s="4">
        <f t="shared" si="13"/>
        <v>1906739.8466399999</v>
      </c>
      <c r="V44" s="4">
        <f t="shared" si="13"/>
        <v>1891164.9869899999</v>
      </c>
      <c r="W44" s="4">
        <f t="shared" si="13"/>
        <v>1866004.35088</v>
      </c>
      <c r="X44" s="4">
        <f t="shared" si="13"/>
        <v>7550506.1845100001</v>
      </c>
      <c r="Y44" s="4">
        <f t="shared" si="13"/>
        <v>1821550</v>
      </c>
      <c r="Z44" s="4">
        <f t="shared" si="13"/>
        <v>2003159</v>
      </c>
      <c r="AA44" s="4">
        <v>2277034</v>
      </c>
      <c r="AB44" s="4">
        <v>1970307</v>
      </c>
      <c r="AC44" s="4">
        <v>8072050</v>
      </c>
      <c r="AD44" s="4">
        <v>2037842</v>
      </c>
    </row>
    <row r="45" spans="2:30" ht="14.25" customHeight="1" thickBot="1" x14ac:dyDescent="0.5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</row>
    <row r="46" spans="2:30" ht="14.25" customHeight="1" thickBot="1" x14ac:dyDescent="0.5">
      <c r="B46" s="9" t="s">
        <v>287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2:30" ht="14.25" customHeight="1" x14ac:dyDescent="0.45">
      <c r="B47" s="24" t="s">
        <v>285</v>
      </c>
      <c r="C47" s="35">
        <f t="shared" ref="C47:Z47" si="14">C26</f>
        <v>29347.841780000002</v>
      </c>
      <c r="D47" s="35">
        <f t="shared" si="14"/>
        <v>78352.003899999996</v>
      </c>
      <c r="E47" s="35">
        <f t="shared" si="14"/>
        <v>37657.985315029982</v>
      </c>
      <c r="F47" s="35">
        <f t="shared" si="14"/>
        <v>38304.104010234405</v>
      </c>
      <c r="G47" s="35">
        <f t="shared" si="14"/>
        <v>44344</v>
      </c>
      <c r="H47" s="35">
        <f t="shared" si="14"/>
        <v>50767.712459999981</v>
      </c>
      <c r="I47" s="35">
        <f t="shared" si="14"/>
        <v>171073.80178526434</v>
      </c>
      <c r="J47" s="35">
        <f t="shared" si="14"/>
        <v>105456</v>
      </c>
      <c r="K47" s="35">
        <f t="shared" si="14"/>
        <v>139870</v>
      </c>
      <c r="L47" s="35">
        <f t="shared" si="14"/>
        <v>168008.12561999998</v>
      </c>
      <c r="M47" s="35">
        <f t="shared" si="14"/>
        <v>184414.29784999997</v>
      </c>
      <c r="N47" s="35">
        <f t="shared" si="14"/>
        <v>597750</v>
      </c>
      <c r="O47" s="35">
        <f t="shared" si="14"/>
        <v>278736</v>
      </c>
      <c r="P47" s="35">
        <f t="shared" si="14"/>
        <v>305081</v>
      </c>
      <c r="Q47" s="35">
        <f t="shared" si="14"/>
        <v>295668</v>
      </c>
      <c r="R47" s="35">
        <f t="shared" si="14"/>
        <v>334087</v>
      </c>
      <c r="S47" s="35">
        <f t="shared" si="14"/>
        <v>1213571</v>
      </c>
      <c r="T47" s="35">
        <f t="shared" si="14"/>
        <v>338873</v>
      </c>
      <c r="U47" s="35">
        <f t="shared" si="14"/>
        <v>404629</v>
      </c>
      <c r="V47" s="35">
        <f t="shared" si="14"/>
        <v>362022</v>
      </c>
      <c r="W47" s="35">
        <f t="shared" si="14"/>
        <v>362109</v>
      </c>
      <c r="X47" s="35">
        <f t="shared" si="14"/>
        <v>1467633</v>
      </c>
      <c r="Y47" s="35">
        <f t="shared" si="14"/>
        <v>370132</v>
      </c>
      <c r="Z47" s="35">
        <f t="shared" si="14"/>
        <v>385805</v>
      </c>
      <c r="AA47" s="35">
        <v>379728</v>
      </c>
      <c r="AB47" s="35">
        <v>364944</v>
      </c>
      <c r="AC47" s="35">
        <v>1500609</v>
      </c>
      <c r="AD47" s="35">
        <v>366287</v>
      </c>
    </row>
    <row r="48" spans="2:30" ht="14.25" customHeight="1" x14ac:dyDescent="0.45">
      <c r="B48" s="24" t="s">
        <v>216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2229.5793100000001</v>
      </c>
      <c r="I48" s="35">
        <v>2229.5793100000001</v>
      </c>
      <c r="J48" s="35">
        <v>16613.945930000002</v>
      </c>
      <c r="K48" s="35">
        <v>11187.26540490325</v>
      </c>
      <c r="L48" s="35">
        <v>0</v>
      </c>
      <c r="M48" s="35">
        <v>-1657.1779179984878</v>
      </c>
      <c r="N48" s="35">
        <v>26370.39240000007</v>
      </c>
      <c r="O48" s="35">
        <v>2658.9852499999761</v>
      </c>
      <c r="P48" s="35">
        <v>5381.5323100000096</v>
      </c>
      <c r="Q48" s="35">
        <v>10012</v>
      </c>
      <c r="R48" s="35">
        <v>28259</v>
      </c>
      <c r="S48" s="35">
        <v>46311</v>
      </c>
      <c r="T48" s="35">
        <v>9232</v>
      </c>
      <c r="U48" s="35">
        <v>17532</v>
      </c>
      <c r="V48" s="35">
        <v>26758</v>
      </c>
      <c r="W48" s="35">
        <v>1835</v>
      </c>
      <c r="X48" s="35">
        <v>55357</v>
      </c>
      <c r="Y48" s="35">
        <v>48243</v>
      </c>
      <c r="Z48" s="35">
        <v>19348</v>
      </c>
      <c r="AA48" s="35">
        <v>15602</v>
      </c>
      <c r="AB48" s="35">
        <v>4934</v>
      </c>
      <c r="AC48" s="35">
        <v>88127</v>
      </c>
      <c r="AD48" s="35">
        <v>25806</v>
      </c>
    </row>
    <row r="49" spans="2:30" s="12" customFormat="1" ht="14.25" customHeight="1" x14ac:dyDescent="0.45">
      <c r="B49" s="38" t="s">
        <v>286</v>
      </c>
      <c r="C49" s="65">
        <f t="shared" ref="C49:Z49" si="15">C48+C47</f>
        <v>29347.841780000002</v>
      </c>
      <c r="D49" s="65">
        <f t="shared" si="15"/>
        <v>78352.003899999996</v>
      </c>
      <c r="E49" s="65">
        <f t="shared" si="15"/>
        <v>37657.985315029982</v>
      </c>
      <c r="F49" s="65">
        <f t="shared" si="15"/>
        <v>38304.104010234405</v>
      </c>
      <c r="G49" s="65">
        <f t="shared" si="15"/>
        <v>44344</v>
      </c>
      <c r="H49" s="65">
        <f t="shared" si="15"/>
        <v>52997.291769999982</v>
      </c>
      <c r="I49" s="65">
        <f t="shared" si="15"/>
        <v>173303.38109526434</v>
      </c>
      <c r="J49" s="65">
        <f t="shared" si="15"/>
        <v>122069.94593</v>
      </c>
      <c r="K49" s="65">
        <f t="shared" si="15"/>
        <v>151057.26540490324</v>
      </c>
      <c r="L49" s="65">
        <f t="shared" si="15"/>
        <v>168008.12561999998</v>
      </c>
      <c r="M49" s="65">
        <f t="shared" si="15"/>
        <v>182757.11993200149</v>
      </c>
      <c r="N49" s="65">
        <f t="shared" si="15"/>
        <v>624120.39240000001</v>
      </c>
      <c r="O49" s="65">
        <f t="shared" si="15"/>
        <v>281394.98524999997</v>
      </c>
      <c r="P49" s="65">
        <f t="shared" si="15"/>
        <v>310462.53231000004</v>
      </c>
      <c r="Q49" s="65">
        <f t="shared" si="15"/>
        <v>305680</v>
      </c>
      <c r="R49" s="65">
        <f t="shared" si="15"/>
        <v>362346</v>
      </c>
      <c r="S49" s="65">
        <f t="shared" si="15"/>
        <v>1259882</v>
      </c>
      <c r="T49" s="65">
        <f t="shared" si="15"/>
        <v>348105</v>
      </c>
      <c r="U49" s="65">
        <f t="shared" si="15"/>
        <v>422161</v>
      </c>
      <c r="V49" s="65">
        <f t="shared" si="15"/>
        <v>388780</v>
      </c>
      <c r="W49" s="65">
        <f t="shared" si="15"/>
        <v>363944</v>
      </c>
      <c r="X49" s="65">
        <f t="shared" si="15"/>
        <v>1522990</v>
      </c>
      <c r="Y49" s="65">
        <f t="shared" si="15"/>
        <v>418375</v>
      </c>
      <c r="Z49" s="65">
        <f t="shared" si="15"/>
        <v>405153</v>
      </c>
      <c r="AA49" s="65">
        <v>395330</v>
      </c>
      <c r="AB49" s="65">
        <v>369878</v>
      </c>
      <c r="AC49" s="65">
        <v>1588736</v>
      </c>
      <c r="AD49" s="65">
        <v>392093</v>
      </c>
    </row>
    <row r="50" spans="2:30" s="12" customFormat="1" ht="14.25" customHeight="1" x14ac:dyDescent="0.45">
      <c r="B50" s="38" t="s">
        <v>217</v>
      </c>
      <c r="C50" s="5">
        <v>98216</v>
      </c>
      <c r="D50" s="5">
        <v>197509.17300000001</v>
      </c>
      <c r="E50" s="5">
        <v>98790.066000000006</v>
      </c>
      <c r="F50" s="5">
        <v>91409.876000000004</v>
      </c>
      <c r="G50" s="5">
        <v>133587</v>
      </c>
      <c r="H50" s="5">
        <v>150035.68</v>
      </c>
      <c r="I50" s="5">
        <v>473998.68</v>
      </c>
      <c r="J50" s="5">
        <v>237949</v>
      </c>
      <c r="K50" s="5">
        <v>235933.89273451449</v>
      </c>
      <c r="L50" s="5">
        <v>319921</v>
      </c>
      <c r="M50" s="5">
        <v>364599.03642306896</v>
      </c>
      <c r="N50" s="5">
        <v>1160816.036423069</v>
      </c>
      <c r="O50" s="5">
        <v>500055.41288067901</v>
      </c>
      <c r="P50" s="5">
        <v>605136</v>
      </c>
      <c r="Q50" s="5">
        <v>796938</v>
      </c>
      <c r="R50" s="5">
        <v>787040.54952695221</v>
      </c>
      <c r="S50" s="5">
        <v>2681902.5495269522</v>
      </c>
      <c r="T50" s="5">
        <v>667187</v>
      </c>
      <c r="U50" s="5">
        <v>782877</v>
      </c>
      <c r="V50" s="5">
        <v>830682</v>
      </c>
      <c r="W50" s="5">
        <v>1077137</v>
      </c>
      <c r="X50" s="5">
        <v>3357883</v>
      </c>
      <c r="Y50" s="5">
        <v>972008</v>
      </c>
      <c r="Z50" s="5">
        <v>1066051</v>
      </c>
      <c r="AA50" s="5">
        <v>1239332</v>
      </c>
      <c r="AB50" s="5">
        <v>1160848</v>
      </c>
      <c r="AC50" s="5">
        <v>4438239</v>
      </c>
      <c r="AD50" s="5">
        <v>975448</v>
      </c>
    </row>
    <row r="51" spans="2:30" s="12" customFormat="1" ht="14.25" customHeight="1" x14ac:dyDescent="0.45">
      <c r="B51" s="38" t="s">
        <v>347</v>
      </c>
      <c r="C51" s="66">
        <f>C47/C50</f>
        <v>0.29880917345442698</v>
      </c>
      <c r="D51" s="66">
        <f t="shared" ref="D51:N51" si="16">D47/D50</f>
        <v>0.39670058210410303</v>
      </c>
      <c r="E51" s="66">
        <f t="shared" si="16"/>
        <v>0.38119202506687239</v>
      </c>
      <c r="F51" s="66">
        <f t="shared" si="16"/>
        <v>0.41903682278525795</v>
      </c>
      <c r="G51" s="66">
        <f t="shared" si="16"/>
        <v>0.33194846803955474</v>
      </c>
      <c r="H51" s="66">
        <f t="shared" si="16"/>
        <v>0.33837092923496587</v>
      </c>
      <c r="I51" s="66">
        <f t="shared" si="16"/>
        <v>0.36091619872288322</v>
      </c>
      <c r="J51" s="66">
        <f t="shared" si="16"/>
        <v>0.44318740570458376</v>
      </c>
      <c r="K51" s="66">
        <f t="shared" si="16"/>
        <v>0.59283555397184606</v>
      </c>
      <c r="L51" s="66">
        <f t="shared" si="16"/>
        <v>0.52515504021305248</v>
      </c>
      <c r="M51" s="66">
        <f t="shared" si="16"/>
        <v>0.50580028861077841</v>
      </c>
      <c r="N51" s="66">
        <f t="shared" si="16"/>
        <v>0.51493947468360535</v>
      </c>
      <c r="O51" s="66">
        <f>-(O47+O48)/(-O50)</f>
        <v>0.56272760578465164</v>
      </c>
      <c r="P51" s="66">
        <f t="shared" ref="P51:Z51" si="17">-(P47+P48)/(-P50)</f>
        <v>0.51304588110771798</v>
      </c>
      <c r="Q51" s="66">
        <f t="shared" si="17"/>
        <v>0.38356810692927179</v>
      </c>
      <c r="R51" s="66">
        <f t="shared" si="17"/>
        <v>0.46039051001601722</v>
      </c>
      <c r="S51" s="66">
        <f t="shared" si="17"/>
        <v>0.46977172985730764</v>
      </c>
      <c r="T51" s="66">
        <f t="shared" si="17"/>
        <v>0.52175027391121231</v>
      </c>
      <c r="U51" s="66">
        <f t="shared" si="17"/>
        <v>0.53924307394392734</v>
      </c>
      <c r="V51" s="66">
        <f t="shared" si="17"/>
        <v>0.46802506855812454</v>
      </c>
      <c r="W51" s="66">
        <f t="shared" si="17"/>
        <v>0.33788088237615083</v>
      </c>
      <c r="X51" s="66">
        <f t="shared" si="17"/>
        <v>0.45355660098937334</v>
      </c>
      <c r="Y51" s="66">
        <f t="shared" si="17"/>
        <v>0.43042341215298641</v>
      </c>
      <c r="Z51" s="66">
        <f t="shared" si="17"/>
        <v>0.3800502977812506</v>
      </c>
      <c r="AA51" s="66">
        <v>0.31898635716660267</v>
      </c>
      <c r="AB51" s="66">
        <v>0.31862741719846183</v>
      </c>
      <c r="AC51" s="66">
        <v>0.35796540024095141</v>
      </c>
      <c r="AD51" s="66">
        <v>0.40196197029467484</v>
      </c>
    </row>
    <row r="52" spans="2:30" ht="14.25" customHeight="1" thickBot="1" x14ac:dyDescent="0.5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</row>
    <row r="53" spans="2:30" ht="14.25" customHeight="1" thickBot="1" x14ac:dyDescent="0.5">
      <c r="B53" s="9" t="s">
        <v>288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</row>
    <row r="54" spans="2:30" ht="14.25" customHeight="1" x14ac:dyDescent="0.45">
      <c r="B54" s="80" t="s">
        <v>289</v>
      </c>
      <c r="C54" s="70">
        <f>C23+C26+C31</f>
        <v>268980.46346</v>
      </c>
      <c r="D54" s="70">
        <v>544816</v>
      </c>
      <c r="E54" s="70">
        <v>223746</v>
      </c>
      <c r="F54" s="70">
        <v>229423.82925932511</v>
      </c>
      <c r="G54" s="70">
        <v>321459</v>
      </c>
      <c r="H54" s="70">
        <v>389673.41590000025</v>
      </c>
      <c r="I54" s="70">
        <v>1164262.7565299999</v>
      </c>
      <c r="J54" s="70">
        <v>490943.19624999998</v>
      </c>
      <c r="K54" s="70">
        <v>553098.26688999997</v>
      </c>
      <c r="L54" s="70">
        <v>776613.05564999999</v>
      </c>
      <c r="M54" s="70">
        <v>934148.21719</v>
      </c>
      <c r="N54" s="70">
        <v>2754806.2171900002</v>
      </c>
      <c r="O54" s="70">
        <v>1170627.74208</v>
      </c>
      <c r="P54" s="70">
        <v>1373964.6591890401</v>
      </c>
      <c r="Q54" s="70">
        <v>1824955</v>
      </c>
      <c r="R54" s="70">
        <v>1555795</v>
      </c>
      <c r="S54" s="70">
        <v>5925344</v>
      </c>
      <c r="T54" s="70">
        <v>1464378.1717000001</v>
      </c>
      <c r="U54" s="70">
        <v>1412401.61845</v>
      </c>
      <c r="V54" s="70">
        <v>1359637.9489200001</v>
      </c>
      <c r="W54" s="70">
        <v>1601750.7278799999</v>
      </c>
      <c r="X54" s="70">
        <v>5838168.4669500003</v>
      </c>
      <c r="Y54" s="70">
        <v>1493129</v>
      </c>
      <c r="Z54" s="70">
        <v>1489907</v>
      </c>
      <c r="AA54" s="70">
        <v>1670134</v>
      </c>
      <c r="AB54" s="70">
        <v>1616019</v>
      </c>
      <c r="AC54" s="70">
        <v>6269189</v>
      </c>
      <c r="AD54" s="70">
        <v>1649662</v>
      </c>
    </row>
    <row r="55" spans="2:30" ht="14.25" customHeight="1" x14ac:dyDescent="0.45">
      <c r="B55" s="80" t="s">
        <v>290</v>
      </c>
      <c r="C55" s="70">
        <v>-127940</v>
      </c>
      <c r="D55" s="70">
        <v>-252814.52299999999</v>
      </c>
      <c r="E55" s="70">
        <v>-124429.81100000002</v>
      </c>
      <c r="F55" s="70">
        <v>-111512.08700000001</v>
      </c>
      <c r="G55" s="70">
        <v>-162548</v>
      </c>
      <c r="H55" s="70">
        <v>-185027.68</v>
      </c>
      <c r="I55" s="70">
        <v>-583835.67999999993</v>
      </c>
      <c r="J55" s="70">
        <v>-297936</v>
      </c>
      <c r="K55" s="70">
        <v>-284577.58563384152</v>
      </c>
      <c r="L55" s="70">
        <v>-387429</v>
      </c>
      <c r="M55" s="70">
        <v>-440147.056924048</v>
      </c>
      <c r="N55" s="70">
        <v>-1411278.0569240481</v>
      </c>
      <c r="O55" s="70">
        <v>-573840.27616353252</v>
      </c>
      <c r="P55" s="70">
        <v>-690698</v>
      </c>
      <c r="Q55" s="70">
        <v>-907056</v>
      </c>
      <c r="R55" s="70">
        <v>-890031.71287375584</v>
      </c>
      <c r="S55" s="70">
        <v>-3061627.712873756</v>
      </c>
      <c r="T55" s="70">
        <v>-758300</v>
      </c>
      <c r="U55" s="70">
        <v>-875981</v>
      </c>
      <c r="V55" s="70">
        <v>-925064</v>
      </c>
      <c r="W55" s="70">
        <v>-1210040</v>
      </c>
      <c r="X55" s="70">
        <v>-3769385</v>
      </c>
      <c r="Y55" s="70">
        <v>-1088609</v>
      </c>
      <c r="Z55" s="70">
        <v>-1204462</v>
      </c>
      <c r="AA55" s="70">
        <v>-1419426</v>
      </c>
      <c r="AB55" s="70">
        <v>-1393886</v>
      </c>
      <c r="AC55" s="70">
        <v>-5106383</v>
      </c>
      <c r="AD55" s="70">
        <v>-1137643</v>
      </c>
    </row>
    <row r="56" spans="2:30" ht="14.25" customHeight="1" x14ac:dyDescent="0.45">
      <c r="B56" s="39" t="s">
        <v>291</v>
      </c>
      <c r="C56" s="74">
        <v>-98216</v>
      </c>
      <c r="D56" s="74">
        <v>-197509.17300000001</v>
      </c>
      <c r="E56" s="74">
        <v>-98790.066000000006</v>
      </c>
      <c r="F56" s="74">
        <v>-91409.876000000004</v>
      </c>
      <c r="G56" s="74">
        <v>-133587</v>
      </c>
      <c r="H56" s="74">
        <v>-150035.68</v>
      </c>
      <c r="I56" s="74">
        <v>-473998.68</v>
      </c>
      <c r="J56" s="74">
        <v>-237949</v>
      </c>
      <c r="K56" s="74">
        <v>-235933.89273451449</v>
      </c>
      <c r="L56" s="74">
        <v>-319921</v>
      </c>
      <c r="M56" s="74">
        <v>-364599.03642306896</v>
      </c>
      <c r="N56" s="74">
        <v>-1160816.036423069</v>
      </c>
      <c r="O56" s="74">
        <v>-500055.41288067901</v>
      </c>
      <c r="P56" s="74">
        <v>-605136</v>
      </c>
      <c r="Q56" s="74">
        <v>-796938</v>
      </c>
      <c r="R56" s="74">
        <v>-787040.54952695221</v>
      </c>
      <c r="S56" s="74">
        <v>-2681902.5495269522</v>
      </c>
      <c r="T56" s="74">
        <v>-667187</v>
      </c>
      <c r="U56" s="74">
        <v>-782877</v>
      </c>
      <c r="V56" s="74">
        <v>-830682</v>
      </c>
      <c r="W56" s="74">
        <v>-1077137</v>
      </c>
      <c r="X56" s="74">
        <v>-3357883</v>
      </c>
      <c r="Y56" s="74">
        <v>-972008</v>
      </c>
      <c r="Z56" s="74">
        <v>-1066051</v>
      </c>
      <c r="AA56" s="74">
        <v>-1239332</v>
      </c>
      <c r="AB56" s="74">
        <v>-1160848</v>
      </c>
      <c r="AC56" s="74">
        <v>-4438239</v>
      </c>
      <c r="AD56" s="74">
        <v>-975448</v>
      </c>
    </row>
    <row r="57" spans="2:30" ht="14.25" customHeight="1" x14ac:dyDescent="0.45">
      <c r="B57" s="39" t="s">
        <v>373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>
        <v>-53519</v>
      </c>
      <c r="AC57" s="74">
        <v>-53519</v>
      </c>
      <c r="AD57" s="74">
        <v>-4290</v>
      </c>
    </row>
    <row r="58" spans="2:30" ht="14.25" customHeight="1" x14ac:dyDescent="0.45">
      <c r="B58" s="39" t="s">
        <v>292</v>
      </c>
      <c r="C58" s="74">
        <v>-17654</v>
      </c>
      <c r="D58" s="74">
        <v>-29106.346000000001</v>
      </c>
      <c r="E58" s="74">
        <v>-16192.694</v>
      </c>
      <c r="F58" s="74">
        <v>-11412.119000000001</v>
      </c>
      <c r="G58" s="74">
        <v>-17110</v>
      </c>
      <c r="H58" s="74">
        <v>-21429</v>
      </c>
      <c r="I58" s="74">
        <v>-66285</v>
      </c>
      <c r="J58" s="74">
        <v>-36722</v>
      </c>
      <c r="K58" s="74">
        <v>-28444.892459826948</v>
      </c>
      <c r="L58" s="74">
        <v>-43052</v>
      </c>
      <c r="M58" s="74">
        <v>-47782.157267351984</v>
      </c>
      <c r="N58" s="74">
        <v>-155416.15726735198</v>
      </c>
      <c r="O58" s="74">
        <v>-42381.391146613416</v>
      </c>
      <c r="P58" s="74">
        <v>-49468</v>
      </c>
      <c r="Q58" s="74">
        <v>-62132</v>
      </c>
      <c r="R58" s="74">
        <v>-63300.158585972473</v>
      </c>
      <c r="S58" s="74">
        <v>-224550.15858597247</v>
      </c>
      <c r="T58" s="74">
        <v>-56262</v>
      </c>
      <c r="U58" s="74">
        <v>-60627</v>
      </c>
      <c r="V58" s="74">
        <v>-63315</v>
      </c>
      <c r="W58" s="74">
        <v>-85199</v>
      </c>
      <c r="X58" s="74">
        <v>-265403</v>
      </c>
      <c r="Y58" s="74">
        <v>-74292</v>
      </c>
      <c r="Z58" s="74">
        <v>-90744</v>
      </c>
      <c r="AA58" s="74">
        <v>-123233</v>
      </c>
      <c r="AB58" s="74">
        <v>-123493</v>
      </c>
      <c r="AC58" s="74">
        <v>-411762</v>
      </c>
      <c r="AD58" s="74">
        <v>-107347</v>
      </c>
    </row>
    <row r="59" spans="2:30" ht="14.25" customHeight="1" x14ac:dyDescent="0.45">
      <c r="B59" s="39" t="s">
        <v>293</v>
      </c>
      <c r="C59" s="74">
        <v>-12070</v>
      </c>
      <c r="D59" s="74">
        <v>-26199.004000000001</v>
      </c>
      <c r="E59" s="74">
        <v>-9447.0509999999995</v>
      </c>
      <c r="F59" s="74">
        <v>-8690.0920000000006</v>
      </c>
      <c r="G59" s="74">
        <v>-11851</v>
      </c>
      <c r="H59" s="74">
        <v>-13563</v>
      </c>
      <c r="I59" s="74">
        <v>-43552</v>
      </c>
      <c r="J59" s="74">
        <v>-23265</v>
      </c>
      <c r="K59" s="74">
        <v>-20198.800439500068</v>
      </c>
      <c r="L59" s="74">
        <v>-24456</v>
      </c>
      <c r="M59" s="74">
        <v>-27765.863233627053</v>
      </c>
      <c r="N59" s="74">
        <v>-95045.863233627053</v>
      </c>
      <c r="O59" s="74">
        <v>-31403.472136240081</v>
      </c>
      <c r="P59" s="74">
        <v>-36094</v>
      </c>
      <c r="Q59" s="74">
        <v>-47986</v>
      </c>
      <c r="R59" s="74">
        <v>-39691.0047608311</v>
      </c>
      <c r="S59" s="74">
        <v>-155175.0047608311</v>
      </c>
      <c r="T59" s="74">
        <v>-34851</v>
      </c>
      <c r="U59" s="74">
        <v>-32477</v>
      </c>
      <c r="V59" s="81">
        <v>-31067</v>
      </c>
      <c r="W59" s="74">
        <v>-47704</v>
      </c>
      <c r="X59" s="74">
        <v>-146099</v>
      </c>
      <c r="Y59" s="74">
        <v>-42309</v>
      </c>
      <c r="Z59" s="74">
        <v>-47667</v>
      </c>
      <c r="AA59" s="74">
        <v>-56861</v>
      </c>
      <c r="AB59" s="74">
        <v>-56026</v>
      </c>
      <c r="AC59" s="74">
        <v>-202863</v>
      </c>
      <c r="AD59" s="74">
        <v>-50558</v>
      </c>
    </row>
    <row r="60" spans="2:30" ht="14.25" customHeight="1" x14ac:dyDescent="0.45">
      <c r="B60" s="80" t="s">
        <v>294</v>
      </c>
      <c r="C60" s="70">
        <v>-39449</v>
      </c>
      <c r="D60" s="70">
        <v>-58843.072999999997</v>
      </c>
      <c r="E60" s="70">
        <v>-12832.231999999996</v>
      </c>
      <c r="F60" s="70">
        <v>-21409.728999999999</v>
      </c>
      <c r="G60" s="70">
        <v>-23004.510000000002</v>
      </c>
      <c r="H60" s="70">
        <v>-21401</v>
      </c>
      <c r="I60" s="70">
        <v>-78470</v>
      </c>
      <c r="J60" s="70">
        <v>-46876</v>
      </c>
      <c r="K60" s="70">
        <v>-40454.565306963326</v>
      </c>
      <c r="L60" s="70">
        <v>-56989</v>
      </c>
      <c r="M60" s="70">
        <v>-64598.943075951975</v>
      </c>
      <c r="N60" s="70">
        <v>-208789.94307595197</v>
      </c>
      <c r="O60" s="70">
        <v>-71203.723836467514</v>
      </c>
      <c r="P60" s="70">
        <v>-64912</v>
      </c>
      <c r="Q60" s="70">
        <v>-79275</v>
      </c>
      <c r="R60" s="70">
        <v>-75472.563289776881</v>
      </c>
      <c r="S60" s="70">
        <v>-290863.2871262444</v>
      </c>
      <c r="T60" s="70">
        <v>-78026</v>
      </c>
      <c r="U60" s="70">
        <v>-88314</v>
      </c>
      <c r="V60" s="70">
        <v>-90431</v>
      </c>
      <c r="W60" s="70">
        <v>-97723</v>
      </c>
      <c r="X60" s="70">
        <v>-354494</v>
      </c>
      <c r="Y60" s="70">
        <v>-96283</v>
      </c>
      <c r="Z60" s="70">
        <v>-127491</v>
      </c>
      <c r="AA60" s="70">
        <v>-151877</v>
      </c>
      <c r="AB60" s="70">
        <v>-162653</v>
      </c>
      <c r="AC60" s="70">
        <v>-538304</v>
      </c>
      <c r="AD60" s="70">
        <v>-150423</v>
      </c>
    </row>
    <row r="61" spans="2:30" ht="14.25" customHeight="1" x14ac:dyDescent="0.45">
      <c r="B61" s="39" t="s">
        <v>295</v>
      </c>
      <c r="C61" s="74">
        <v>-6042</v>
      </c>
      <c r="D61" s="74">
        <v>-13536</v>
      </c>
      <c r="E61" s="74">
        <v>-4290.9960000000001</v>
      </c>
      <c r="F61" s="74">
        <v>-4369.9170000000004</v>
      </c>
      <c r="G61" s="74">
        <v>-5440</v>
      </c>
      <c r="H61" s="74">
        <v>-4792</v>
      </c>
      <c r="I61" s="74">
        <v>-18893</v>
      </c>
      <c r="J61" s="74">
        <v>-6354</v>
      </c>
      <c r="K61" s="74">
        <v>-5171.9772009339376</v>
      </c>
      <c r="L61" s="74">
        <v>-8625</v>
      </c>
      <c r="M61" s="74">
        <v>-12223.952671072293</v>
      </c>
      <c r="N61" s="74">
        <v>-32179.952671072293</v>
      </c>
      <c r="O61" s="74">
        <v>-10256.123270649581</v>
      </c>
      <c r="P61" s="74">
        <v>-10515</v>
      </c>
      <c r="Q61" s="74">
        <v>-12052</v>
      </c>
      <c r="R61" s="74">
        <v>-10132.777309061819</v>
      </c>
      <c r="S61" s="74">
        <v>-42955.9005797114</v>
      </c>
      <c r="T61" s="74">
        <v>-13993</v>
      </c>
      <c r="U61" s="74">
        <v>-13612</v>
      </c>
      <c r="V61" s="74">
        <v>-14737</v>
      </c>
      <c r="W61" s="74">
        <v>-15977</v>
      </c>
      <c r="X61" s="74">
        <v>-58319</v>
      </c>
      <c r="Y61" s="74">
        <v>-13308</v>
      </c>
      <c r="Z61" s="74">
        <v>-16867</v>
      </c>
      <c r="AA61" s="74">
        <v>-24862</v>
      </c>
      <c r="AB61" s="74">
        <v>-24817</v>
      </c>
      <c r="AC61" s="74">
        <v>-79854</v>
      </c>
      <c r="AD61" s="74">
        <v>-22871</v>
      </c>
    </row>
    <row r="62" spans="2:30" ht="14.25" customHeight="1" x14ac:dyDescent="0.45">
      <c r="B62" s="39" t="s">
        <v>296</v>
      </c>
      <c r="C62" s="74">
        <v>-13257</v>
      </c>
      <c r="D62" s="74">
        <v>-20365.109</v>
      </c>
      <c r="E62" s="74">
        <v>-5440.5169999999998</v>
      </c>
      <c r="F62" s="74">
        <v>-5815.0110000000004</v>
      </c>
      <c r="G62" s="74">
        <v>-7131</v>
      </c>
      <c r="H62" s="74">
        <v>-7028</v>
      </c>
      <c r="I62" s="74">
        <v>-25414</v>
      </c>
      <c r="J62" s="74">
        <v>-12393</v>
      </c>
      <c r="K62" s="74">
        <v>-12074.494437577256</v>
      </c>
      <c r="L62" s="74">
        <v>-12442</v>
      </c>
      <c r="M62" s="74">
        <v>-15673.204844901324</v>
      </c>
      <c r="N62" s="74">
        <v>-52237.204844901324</v>
      </c>
      <c r="O62" s="74">
        <v>-13851.464802795806</v>
      </c>
      <c r="P62" s="74">
        <v>-14070</v>
      </c>
      <c r="Q62" s="74">
        <v>-17676</v>
      </c>
      <c r="R62" s="74">
        <v>-16489.929368438021</v>
      </c>
      <c r="S62" s="74">
        <v>-62087.394171233827</v>
      </c>
      <c r="T62" s="74">
        <v>-17402</v>
      </c>
      <c r="U62" s="74">
        <v>-23476</v>
      </c>
      <c r="V62" s="74">
        <v>-23001</v>
      </c>
      <c r="W62" s="74">
        <v>-20386</v>
      </c>
      <c r="X62" s="74">
        <v>-84265</v>
      </c>
      <c r="Y62" s="74">
        <v>-20777</v>
      </c>
      <c r="Z62" s="74">
        <v>-27505</v>
      </c>
      <c r="AA62" s="74">
        <v>-30531</v>
      </c>
      <c r="AB62" s="74">
        <v>-32327</v>
      </c>
      <c r="AC62" s="74">
        <v>-111140</v>
      </c>
      <c r="AD62" s="74">
        <v>-33244</v>
      </c>
    </row>
    <row r="63" spans="2:30" ht="14.25" customHeight="1" x14ac:dyDescent="0.45">
      <c r="B63" s="39" t="s">
        <v>297</v>
      </c>
      <c r="C63" s="74">
        <v>-10189</v>
      </c>
      <c r="D63" s="74">
        <v>-15776.758</v>
      </c>
      <c r="E63" s="74">
        <v>-8068.4030000000002</v>
      </c>
      <c r="F63" s="74">
        <v>-8456.17</v>
      </c>
      <c r="G63" s="74">
        <v>-11086</v>
      </c>
      <c r="H63" s="74">
        <v>-10835</v>
      </c>
      <c r="I63" s="74">
        <v>-38446</v>
      </c>
      <c r="J63" s="74">
        <v>-23442</v>
      </c>
      <c r="K63" s="74">
        <v>-16172.986814997939</v>
      </c>
      <c r="L63" s="74">
        <v>-16930</v>
      </c>
      <c r="M63" s="74">
        <v>-18463</v>
      </c>
      <c r="N63" s="74">
        <v>-75744</v>
      </c>
      <c r="O63" s="74">
        <v>-30451</v>
      </c>
      <c r="P63" s="74">
        <v>-28234</v>
      </c>
      <c r="Q63" s="74">
        <v>-33977</v>
      </c>
      <c r="R63" s="74">
        <v>-32416</v>
      </c>
      <c r="S63" s="74">
        <v>-125078</v>
      </c>
      <c r="T63" s="74">
        <v>-30446</v>
      </c>
      <c r="U63" s="74">
        <v>-32086</v>
      </c>
      <c r="V63" s="74">
        <v>-34348</v>
      </c>
      <c r="W63" s="74">
        <v>-40525</v>
      </c>
      <c r="X63" s="74">
        <v>-137405</v>
      </c>
      <c r="Y63" s="74">
        <v>-45046</v>
      </c>
      <c r="Z63" s="74">
        <v>-59124</v>
      </c>
      <c r="AA63" s="74">
        <v>-69773</v>
      </c>
      <c r="AB63" s="74">
        <v>-66220</v>
      </c>
      <c r="AC63" s="74">
        <v>-240163</v>
      </c>
      <c r="AD63" s="74">
        <v>-63614</v>
      </c>
    </row>
    <row r="64" spans="2:30" ht="14.25" customHeight="1" x14ac:dyDescent="0.45">
      <c r="B64" s="39" t="s">
        <v>298</v>
      </c>
      <c r="C64" s="74">
        <v>-9961</v>
      </c>
      <c r="D64" s="74">
        <v>-9165.2060000000001</v>
      </c>
      <c r="E64" s="74">
        <v>4967.6840000000002</v>
      </c>
      <c r="F64" s="74">
        <v>-2768.6309999999999</v>
      </c>
      <c r="G64" s="74">
        <v>652.48999999999978</v>
      </c>
      <c r="H64" s="74">
        <v>1254</v>
      </c>
      <c r="I64" s="74">
        <v>4283</v>
      </c>
      <c r="J64" s="74">
        <v>-4687</v>
      </c>
      <c r="K64" s="74">
        <v>-7035.1068534541955</v>
      </c>
      <c r="L64" s="74">
        <v>-18992</v>
      </c>
      <c r="M64" s="74">
        <v>-18238.785559978358</v>
      </c>
      <c r="N64" s="74">
        <v>-48628.785559978358</v>
      </c>
      <c r="O64" s="74">
        <v>-16645.135763022132</v>
      </c>
      <c r="P64" s="74">
        <v>-12093</v>
      </c>
      <c r="Q64" s="74">
        <v>-15570</v>
      </c>
      <c r="R64" s="74">
        <v>-16433.856612277043</v>
      </c>
      <c r="S64" s="74">
        <v>-60741.992375299174</v>
      </c>
      <c r="T64" s="74">
        <v>-16185</v>
      </c>
      <c r="U64" s="74">
        <v>-19140</v>
      </c>
      <c r="V64" s="81">
        <v>-18345</v>
      </c>
      <c r="W64" s="74">
        <v>-20835</v>
      </c>
      <c r="X64" s="74">
        <v>-74505</v>
      </c>
      <c r="Y64" s="74">
        <v>-17152</v>
      </c>
      <c r="Z64" s="74">
        <v>-23995</v>
      </c>
      <c r="AA64" s="74">
        <v>-26711</v>
      </c>
      <c r="AB64" s="74">
        <v>-39289</v>
      </c>
      <c r="AC64" s="74">
        <v>-107147</v>
      </c>
      <c r="AD64" s="74">
        <v>-30694</v>
      </c>
    </row>
    <row r="65" spans="2:30" ht="14.25" customHeight="1" x14ac:dyDescent="0.45">
      <c r="B65" s="80" t="s">
        <v>299</v>
      </c>
      <c r="C65" s="70">
        <f>C55+C60</f>
        <v>-167389</v>
      </c>
      <c r="D65" s="70">
        <v>-311657.59599999996</v>
      </c>
      <c r="E65" s="70">
        <v>-137262.04300000001</v>
      </c>
      <c r="F65" s="70">
        <v>-132921.81600000002</v>
      </c>
      <c r="G65" s="70">
        <v>-185552.51</v>
      </c>
      <c r="H65" s="70">
        <v>-206428.68</v>
      </c>
      <c r="I65" s="70">
        <v>-662305.67999999993</v>
      </c>
      <c r="J65" s="70">
        <v>-344812</v>
      </c>
      <c r="K65" s="70">
        <v>-325032.15094080486</v>
      </c>
      <c r="L65" s="70">
        <v>-444418</v>
      </c>
      <c r="M65" s="70">
        <v>-504746</v>
      </c>
      <c r="N65" s="70">
        <v>-1620068</v>
      </c>
      <c r="O65" s="70">
        <v>-645044</v>
      </c>
      <c r="P65" s="70">
        <v>-755610</v>
      </c>
      <c r="Q65" s="70">
        <v>-986331</v>
      </c>
      <c r="R65" s="70">
        <v>-965504.27616353275</v>
      </c>
      <c r="S65" s="70">
        <v>-3352491.0000000005</v>
      </c>
      <c r="T65" s="70">
        <v>-836326</v>
      </c>
      <c r="U65" s="70">
        <v>-964295</v>
      </c>
      <c r="V65" s="70">
        <v>-1015495</v>
      </c>
      <c r="W65" s="70">
        <v>-1307763</v>
      </c>
      <c r="X65" s="70">
        <v>-4123879</v>
      </c>
      <c r="Y65" s="70">
        <v>-1184892</v>
      </c>
      <c r="Z65" s="70">
        <v>-1331953</v>
      </c>
      <c r="AA65" s="70">
        <v>-1571303</v>
      </c>
      <c r="AB65" s="70">
        <v>-1556539</v>
      </c>
      <c r="AC65" s="70">
        <v>-5644687</v>
      </c>
      <c r="AD65" s="70">
        <v>-1288066</v>
      </c>
    </row>
    <row r="66" spans="2:30" ht="14.25" customHeight="1" x14ac:dyDescent="0.45">
      <c r="B66" s="80" t="s">
        <v>300</v>
      </c>
      <c r="C66" s="70">
        <f>C54+C65</f>
        <v>101591.46346</v>
      </c>
      <c r="D66" s="70">
        <v>233158.40400000004</v>
      </c>
      <c r="E66" s="70">
        <v>86483.956999999995</v>
      </c>
      <c r="F66" s="70">
        <v>96502.013259325089</v>
      </c>
      <c r="G66" s="70">
        <v>135906.49</v>
      </c>
      <c r="H66" s="70">
        <v>183244.73590000026</v>
      </c>
      <c r="I66" s="70">
        <v>501957.07652999996</v>
      </c>
      <c r="J66" s="70">
        <v>146131.19624999998</v>
      </c>
      <c r="K66" s="70">
        <v>228066.11594919511</v>
      </c>
      <c r="L66" s="70">
        <v>332195.05564999999</v>
      </c>
      <c r="M66" s="70">
        <v>429402.21719</v>
      </c>
      <c r="N66" s="70">
        <v>1134738.2171900002</v>
      </c>
      <c r="O66" s="70">
        <v>525583.74208</v>
      </c>
      <c r="P66" s="70">
        <v>618354.65918904007</v>
      </c>
      <c r="Q66" s="70">
        <v>838624</v>
      </c>
      <c r="R66" s="70">
        <v>590290.72383646725</v>
      </c>
      <c r="S66" s="70">
        <v>2572852.9999999995</v>
      </c>
      <c r="T66" s="70">
        <v>628052.17170000006</v>
      </c>
      <c r="U66" s="70">
        <v>448106.61844999995</v>
      </c>
      <c r="V66" s="70">
        <v>344142.94892000011</v>
      </c>
      <c r="W66" s="70">
        <v>293987.7278799999</v>
      </c>
      <c r="X66" s="70">
        <v>1714289.4669500003</v>
      </c>
      <c r="Y66" s="70">
        <v>308237</v>
      </c>
      <c r="Z66" s="70">
        <v>157954</v>
      </c>
      <c r="AA66" s="70">
        <v>98831</v>
      </c>
      <c r="AB66" s="70">
        <v>59480</v>
      </c>
      <c r="AC66" s="70">
        <v>624502</v>
      </c>
      <c r="AD66" s="70">
        <v>361596</v>
      </c>
    </row>
    <row r="67" spans="2:30" ht="14.25" customHeight="1" x14ac:dyDescent="0.45">
      <c r="B67" s="82" t="s">
        <v>301</v>
      </c>
      <c r="C67" s="83">
        <f>C66/C54</f>
        <v>0.37769086331843438</v>
      </c>
      <c r="D67" s="83">
        <v>0.42795807024756988</v>
      </c>
      <c r="E67" s="83">
        <v>0.38652738819911864</v>
      </c>
      <c r="F67" s="83">
        <v>0.42062768096441183</v>
      </c>
      <c r="G67" s="83">
        <v>0.42278016792188117</v>
      </c>
      <c r="H67" s="83">
        <v>0.47025208398364376</v>
      </c>
      <c r="I67" s="83">
        <v>0.431137278689603</v>
      </c>
      <c r="J67" s="83">
        <v>0.29765397986203374</v>
      </c>
      <c r="K67" s="83">
        <v>0.41234285045147834</v>
      </c>
      <c r="L67" s="83">
        <v>0.42774848199270032</v>
      </c>
      <c r="M67" s="83">
        <v>0.45967246876697965</v>
      </c>
      <c r="N67" s="83">
        <v>0.41191217375263273</v>
      </c>
      <c r="O67" s="83">
        <v>0.44897598372829434</v>
      </c>
      <c r="P67" s="83">
        <v>0.45005135689153292</v>
      </c>
      <c r="Q67" s="83">
        <v>0.4595313309095293</v>
      </c>
      <c r="R67" s="83">
        <v>0.37941420549395471</v>
      </c>
      <c r="S67" s="83">
        <v>0.43421158332748266</v>
      </c>
      <c r="T67" s="83">
        <v>0.4288865976272323</v>
      </c>
      <c r="U67" s="83">
        <v>0.31726572144668158</v>
      </c>
      <c r="V67" s="83">
        <v>0.25311366838014698</v>
      </c>
      <c r="W67" s="83">
        <v>0.18354149791404054</v>
      </c>
      <c r="X67" s="83">
        <v>0.29363480630177607</v>
      </c>
      <c r="Y67" s="83">
        <v>0.20643695219903974</v>
      </c>
      <c r="Z67" s="83">
        <v>0.10601601308001103</v>
      </c>
      <c r="AA67" s="83">
        <v>5.9175491307883077E-2</v>
      </c>
      <c r="AB67" s="83">
        <v>3.6806497943402891E-2</v>
      </c>
      <c r="AC67" s="83">
        <v>9.9614479640029993E-2</v>
      </c>
      <c r="AD67" s="83">
        <v>0.21919399246633553</v>
      </c>
    </row>
    <row r="68" spans="2:30" ht="14.25" customHeight="1" x14ac:dyDescent="0.45">
      <c r="B68" s="80" t="s">
        <v>302</v>
      </c>
      <c r="C68" s="84">
        <v>17.7</v>
      </c>
      <c r="D68" s="84">
        <v>18.25</v>
      </c>
      <c r="E68" s="85">
        <v>21.49</v>
      </c>
      <c r="F68" s="84">
        <v>21.34</v>
      </c>
      <c r="G68" s="84">
        <v>22.75</v>
      </c>
      <c r="H68" s="86">
        <v>24.252280173674752</v>
      </c>
      <c r="I68" s="84">
        <v>22.53</v>
      </c>
      <c r="J68" s="85">
        <v>24.01</v>
      </c>
      <c r="K68" s="84">
        <v>24.21</v>
      </c>
      <c r="L68" s="84">
        <v>28.79</v>
      </c>
      <c r="M68" s="86">
        <v>31.553207990189691</v>
      </c>
      <c r="N68" s="86">
        <v>27.244265210836751</v>
      </c>
      <c r="O68" s="86">
        <v>40.65241110080251</v>
      </c>
      <c r="P68" s="86">
        <v>47.357998443166153</v>
      </c>
      <c r="Q68" s="86">
        <v>51.379665470624069</v>
      </c>
      <c r="R68" s="86">
        <v>56.049556746606868</v>
      </c>
      <c r="S68" s="87">
        <v>48.978428711167808</v>
      </c>
      <c r="T68" s="87">
        <v>55.948488964735333</v>
      </c>
      <c r="U68" s="87">
        <v>56.336507380630664</v>
      </c>
      <c r="V68" s="87">
        <v>60.947399060421809</v>
      </c>
      <c r="W68" s="87">
        <v>63.960629589386855</v>
      </c>
      <c r="X68" s="87">
        <v>59.434313284312033</v>
      </c>
      <c r="Y68" s="86">
        <v>62.643552713342274</v>
      </c>
      <c r="Z68" s="86">
        <v>56.962600931948245</v>
      </c>
      <c r="AA68" s="87">
        <v>53.737982128660896</v>
      </c>
      <c r="AB68" s="87">
        <v>53.139771223122942</v>
      </c>
      <c r="AC68" s="87">
        <v>56.342376924378577</v>
      </c>
      <c r="AD68" s="87">
        <v>46.00891857946435</v>
      </c>
    </row>
    <row r="69" spans="2:30" ht="14.25" customHeight="1" x14ac:dyDescent="0.45">
      <c r="B69" s="80" t="s">
        <v>303</v>
      </c>
      <c r="C69" s="84">
        <v>40.4</v>
      </c>
      <c r="D69" s="84">
        <v>43.29</v>
      </c>
      <c r="E69" s="85">
        <v>43.38</v>
      </c>
      <c r="F69" s="84">
        <v>44.58</v>
      </c>
      <c r="G69" s="84">
        <v>53.71</v>
      </c>
      <c r="H69" s="88">
        <v>51.852513644613161</v>
      </c>
      <c r="I69" s="84">
        <v>48.83</v>
      </c>
      <c r="J69" s="85">
        <v>56.34</v>
      </c>
      <c r="K69" s="84">
        <v>56.66</v>
      </c>
      <c r="L69" s="84">
        <v>60.92</v>
      </c>
      <c r="M69" s="88">
        <v>65.153858324096632</v>
      </c>
      <c r="N69" s="88">
        <v>59.905702754116454</v>
      </c>
      <c r="O69" s="88">
        <v>69.547798746469212</v>
      </c>
      <c r="P69" s="88">
        <v>68.935779856460854</v>
      </c>
      <c r="Q69" s="88">
        <v>70.038893988766574</v>
      </c>
      <c r="R69" s="88">
        <v>79.744424698156024</v>
      </c>
      <c r="S69" s="89">
        <v>72.204645178648022</v>
      </c>
      <c r="T69" s="89">
        <v>89.853546289331732</v>
      </c>
      <c r="U69" s="89">
        <v>87.411268977595768</v>
      </c>
      <c r="V69" s="89">
        <v>92.694311679001302</v>
      </c>
      <c r="W69" s="89">
        <v>101.85067259475129</v>
      </c>
      <c r="X69" s="89">
        <v>93.137571477236961</v>
      </c>
      <c r="Y69" s="88">
        <v>96.279998884019534</v>
      </c>
      <c r="Z69" s="88">
        <v>98.14101690021586</v>
      </c>
      <c r="AA69" s="89">
        <v>105.43910562764448</v>
      </c>
      <c r="AB69" s="89">
        <v>111.6904974313465</v>
      </c>
      <c r="AC69" s="89">
        <v>103.24309882999296</v>
      </c>
      <c r="AD69" s="89">
        <v>105.77065458568863</v>
      </c>
    </row>
    <row r="70" spans="2:30" ht="14.25" customHeight="1" thickBot="1" x14ac:dyDescent="0.5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</row>
    <row r="71" spans="2:30" ht="14.25" customHeight="1" thickBot="1" x14ac:dyDescent="0.5">
      <c r="B71" s="9" t="s">
        <v>304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</row>
    <row r="72" spans="2:30" ht="14.25" customHeight="1" x14ac:dyDescent="0.45">
      <c r="B72" s="80" t="s">
        <v>305</v>
      </c>
      <c r="C72" s="70">
        <v>0</v>
      </c>
      <c r="D72" s="70">
        <v>0</v>
      </c>
      <c r="E72" s="70">
        <v>0</v>
      </c>
      <c r="F72" s="70">
        <v>0</v>
      </c>
      <c r="G72" s="70">
        <v>0</v>
      </c>
      <c r="H72" s="70">
        <v>6654.8993099999998</v>
      </c>
      <c r="I72" s="70">
        <v>6654.8993099999998</v>
      </c>
      <c r="J72" s="70">
        <v>70835.945930000002</v>
      </c>
      <c r="K72" s="70">
        <v>49013.090760000101</v>
      </c>
      <c r="L72" s="70">
        <v>0</v>
      </c>
      <c r="M72" s="70">
        <v>0</v>
      </c>
      <c r="N72" s="70">
        <v>119849.0366900001</v>
      </c>
      <c r="O72" s="70">
        <v>38257.985249999976</v>
      </c>
      <c r="P72" s="70">
        <v>49124.53231000001</v>
      </c>
      <c r="Q72" s="70">
        <v>78850</v>
      </c>
      <c r="R72" s="70">
        <v>119400</v>
      </c>
      <c r="S72" s="70">
        <v>285632</v>
      </c>
      <c r="T72" s="70">
        <v>258621.82829999999</v>
      </c>
      <c r="U72" s="70">
        <v>292992.22818999999</v>
      </c>
      <c r="V72" s="70">
        <v>333139.03807000001</v>
      </c>
      <c r="W72" s="70">
        <v>77290.623000000007</v>
      </c>
      <c r="X72" s="70">
        <v>962043.71756000002</v>
      </c>
      <c r="Y72" s="70">
        <v>118338</v>
      </c>
      <c r="Z72" s="70">
        <v>221190</v>
      </c>
      <c r="AA72" s="70">
        <v>280066</v>
      </c>
      <c r="AB72" s="70">
        <v>88551</v>
      </c>
      <c r="AC72" s="70">
        <v>708145</v>
      </c>
      <c r="AD72" s="70">
        <v>125017</v>
      </c>
    </row>
    <row r="73" spans="2:30" ht="14.25" customHeight="1" x14ac:dyDescent="0.45">
      <c r="B73" s="80" t="s">
        <v>306</v>
      </c>
      <c r="C73" s="70">
        <v>0</v>
      </c>
      <c r="D73" s="70">
        <v>0</v>
      </c>
      <c r="E73" s="70">
        <v>-2038.3420000000001</v>
      </c>
      <c r="F73" s="70">
        <v>-2345.174</v>
      </c>
      <c r="G73" s="70">
        <v>-1739</v>
      </c>
      <c r="H73" s="70">
        <v>-5606.32</v>
      </c>
      <c r="I73" s="70">
        <v>-11587.32</v>
      </c>
      <c r="J73" s="70">
        <v>-54685</v>
      </c>
      <c r="K73" s="70">
        <v>-39668.772795611891</v>
      </c>
      <c r="L73" s="70">
        <v>-3780</v>
      </c>
      <c r="M73" s="70">
        <v>-7377</v>
      </c>
      <c r="N73" s="70">
        <v>-104448</v>
      </c>
      <c r="O73" s="70">
        <v>-40932</v>
      </c>
      <c r="P73" s="70">
        <v>-51048</v>
      </c>
      <c r="Q73" s="70">
        <v>-76443</v>
      </c>
      <c r="R73" s="70">
        <v>-116728</v>
      </c>
      <c r="S73" s="70">
        <v>-285150</v>
      </c>
      <c r="T73" s="70">
        <v>-244235</v>
      </c>
      <c r="U73" s="70">
        <v>-270019</v>
      </c>
      <c r="V73" s="70">
        <v>-292240</v>
      </c>
      <c r="W73" s="70">
        <v>-70428</v>
      </c>
      <c r="X73" s="70">
        <v>-876922</v>
      </c>
      <c r="Y73" s="70">
        <v>-101812</v>
      </c>
      <c r="Z73" s="70">
        <v>-182211</v>
      </c>
      <c r="AA73" s="70">
        <v>-247931</v>
      </c>
      <c r="AB73" s="70">
        <v>-81278</v>
      </c>
      <c r="AC73" s="70">
        <v>-613232</v>
      </c>
      <c r="AD73" s="70">
        <v>-115545</v>
      </c>
    </row>
    <row r="74" spans="2:30" ht="14.25" customHeight="1" x14ac:dyDescent="0.45">
      <c r="B74" s="39" t="s">
        <v>348</v>
      </c>
      <c r="C74" s="74">
        <v>0</v>
      </c>
      <c r="D74" s="74">
        <v>0</v>
      </c>
      <c r="E74" s="74">
        <v>0</v>
      </c>
      <c r="F74" s="74">
        <v>0</v>
      </c>
      <c r="G74" s="74">
        <v>0</v>
      </c>
      <c r="H74" s="74">
        <v>-4425.32</v>
      </c>
      <c r="I74" s="74">
        <v>-4425.32</v>
      </c>
      <c r="J74" s="74">
        <v>-54222</v>
      </c>
      <c r="K74" s="74">
        <v>-37825.825355096851</v>
      </c>
      <c r="L74" s="74">
        <v>0</v>
      </c>
      <c r="M74" s="74">
        <v>-1657.1779179984878</v>
      </c>
      <c r="N74" s="74">
        <v>-93478.644290000026</v>
      </c>
      <c r="O74" s="74">
        <v>-35599</v>
      </c>
      <c r="P74" s="74">
        <v>-43743</v>
      </c>
      <c r="Q74" s="74">
        <v>-72741</v>
      </c>
      <c r="R74" s="74">
        <v>-112039</v>
      </c>
      <c r="S74" s="74">
        <v>-264122</v>
      </c>
      <c r="T74" s="74">
        <v>-241913</v>
      </c>
      <c r="U74" s="74">
        <v>-265106</v>
      </c>
      <c r="V74" s="74">
        <v>-286997</v>
      </c>
      <c r="W74" s="74">
        <v>-65183</v>
      </c>
      <c r="X74" s="74">
        <v>-859199</v>
      </c>
      <c r="Y74" s="74">
        <v>-99794</v>
      </c>
      <c r="Z74" s="74">
        <v>-174445</v>
      </c>
      <c r="AA74" s="74">
        <v>-192602</v>
      </c>
      <c r="AB74" s="74">
        <v>-24999</v>
      </c>
      <c r="AC74" s="74">
        <v>-491840</v>
      </c>
      <c r="AD74" s="74">
        <v>-63713</v>
      </c>
    </row>
    <row r="75" spans="2:30" ht="14.25" customHeight="1" x14ac:dyDescent="0.45">
      <c r="B75" s="39" t="s">
        <v>349</v>
      </c>
      <c r="C75" s="74">
        <v>0</v>
      </c>
      <c r="D75" s="74">
        <v>0</v>
      </c>
      <c r="E75" s="74">
        <v>0</v>
      </c>
      <c r="F75" s="74">
        <v>0</v>
      </c>
      <c r="G75" s="74">
        <v>0</v>
      </c>
      <c r="H75" s="74">
        <v>0</v>
      </c>
      <c r="I75" s="74">
        <v>0</v>
      </c>
      <c r="J75" s="74">
        <v>0</v>
      </c>
      <c r="K75" s="74">
        <v>0</v>
      </c>
      <c r="L75" s="74">
        <v>0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0</v>
      </c>
      <c r="T75" s="74">
        <v>0</v>
      </c>
      <c r="U75" s="74">
        <v>0</v>
      </c>
      <c r="V75" s="74">
        <v>0</v>
      </c>
      <c r="W75" s="74">
        <v>0</v>
      </c>
      <c r="X75" s="74">
        <v>0</v>
      </c>
      <c r="Y75" s="74">
        <v>0</v>
      </c>
      <c r="Z75" s="74">
        <v>-1712</v>
      </c>
      <c r="AA75" s="74">
        <v>-49977</v>
      </c>
      <c r="AB75" s="74">
        <v>-52529</v>
      </c>
      <c r="AC75" s="74">
        <v>-104218</v>
      </c>
      <c r="AD75" s="74">
        <v>-46547</v>
      </c>
    </row>
    <row r="76" spans="2:30" ht="14.25" customHeight="1" x14ac:dyDescent="0.45">
      <c r="B76" s="39" t="s">
        <v>350</v>
      </c>
      <c r="C76" s="74">
        <v>0</v>
      </c>
      <c r="D76" s="74">
        <v>0</v>
      </c>
      <c r="E76" s="74">
        <v>-2038.3420000000001</v>
      </c>
      <c r="F76" s="74">
        <v>-2345.174</v>
      </c>
      <c r="G76" s="74">
        <v>-1739</v>
      </c>
      <c r="H76" s="74">
        <v>-1181</v>
      </c>
      <c r="I76" s="74">
        <v>-7162</v>
      </c>
      <c r="J76" s="74">
        <v>-463</v>
      </c>
      <c r="K76" s="74">
        <v>-1842.947440515039</v>
      </c>
      <c r="L76" s="74">
        <v>-3780</v>
      </c>
      <c r="M76" s="74">
        <v>-5719.8220820015122</v>
      </c>
      <c r="N76" s="74">
        <v>-10969.355709999974</v>
      </c>
      <c r="O76" s="74">
        <v>-5333</v>
      </c>
      <c r="P76" s="74">
        <v>-7305</v>
      </c>
      <c r="Q76" s="74">
        <v>-3702</v>
      </c>
      <c r="R76" s="74">
        <v>-4689</v>
      </c>
      <c r="S76" s="74">
        <v>-21028</v>
      </c>
      <c r="T76" s="74">
        <v>-2322</v>
      </c>
      <c r="U76" s="74">
        <v>-4913</v>
      </c>
      <c r="V76" s="74">
        <v>-5243</v>
      </c>
      <c r="W76" s="74">
        <v>-5245</v>
      </c>
      <c r="X76" s="74">
        <v>-17723</v>
      </c>
      <c r="Y76" s="74">
        <v>-2018</v>
      </c>
      <c r="Z76" s="74">
        <v>-6054</v>
      </c>
      <c r="AA76" s="74">
        <v>-5352</v>
      </c>
      <c r="AB76" s="74">
        <v>-3750</v>
      </c>
      <c r="AC76" s="74">
        <v>-17174</v>
      </c>
      <c r="AD76" s="74">
        <v>-5285</v>
      </c>
    </row>
    <row r="77" spans="2:30" ht="14.25" customHeight="1" x14ac:dyDescent="0.45">
      <c r="B77" s="80" t="s">
        <v>307</v>
      </c>
      <c r="C77" s="70">
        <f>C72+C73</f>
        <v>0</v>
      </c>
      <c r="D77" s="70">
        <v>0</v>
      </c>
      <c r="E77" s="70">
        <v>-2038.3420000000001</v>
      </c>
      <c r="F77" s="70">
        <v>-2345.174</v>
      </c>
      <c r="G77" s="70">
        <v>-1739</v>
      </c>
      <c r="H77" s="70">
        <v>1048.5793100000001</v>
      </c>
      <c r="I77" s="70">
        <v>-4932.4206899999999</v>
      </c>
      <c r="J77" s="70">
        <v>16150.945930000002</v>
      </c>
      <c r="K77" s="70">
        <v>9344.3179643882104</v>
      </c>
      <c r="L77" s="70">
        <v>-3780</v>
      </c>
      <c r="M77" s="70">
        <v>-7377</v>
      </c>
      <c r="N77" s="70">
        <v>15401.036690000095</v>
      </c>
      <c r="O77" s="70">
        <v>-2674.0147500000239</v>
      </c>
      <c r="P77" s="70">
        <v>-1923.4676899999904</v>
      </c>
      <c r="Q77" s="70">
        <v>2407</v>
      </c>
      <c r="R77" s="70">
        <v>2672</v>
      </c>
      <c r="S77" s="70">
        <v>482</v>
      </c>
      <c r="T77" s="70">
        <v>14386.828299999994</v>
      </c>
      <c r="U77" s="70">
        <v>22973.228189999994</v>
      </c>
      <c r="V77" s="70">
        <v>40899.03807000001</v>
      </c>
      <c r="W77" s="70">
        <v>6862.6230000000069</v>
      </c>
      <c r="X77" s="70">
        <v>85121.717560000019</v>
      </c>
      <c r="Y77" s="70">
        <v>16526</v>
      </c>
      <c r="Z77" s="70">
        <v>38979</v>
      </c>
      <c r="AA77" s="70">
        <v>32135</v>
      </c>
      <c r="AB77" s="70">
        <v>7273</v>
      </c>
      <c r="AC77" s="70">
        <v>94913</v>
      </c>
      <c r="AD77" s="70">
        <v>9472</v>
      </c>
    </row>
    <row r="78" spans="2:30" ht="14.25" customHeight="1" x14ac:dyDescent="0.45">
      <c r="B78" s="82" t="s">
        <v>308</v>
      </c>
      <c r="C78" s="83">
        <v>0</v>
      </c>
      <c r="D78" s="83">
        <v>0</v>
      </c>
      <c r="E78" s="83">
        <v>0</v>
      </c>
      <c r="F78" s="83">
        <v>0</v>
      </c>
      <c r="G78" s="83">
        <v>0</v>
      </c>
      <c r="H78" s="83">
        <v>0.15756501505955919</v>
      </c>
      <c r="I78" s="83">
        <v>-0.74117134763981873</v>
      </c>
      <c r="J78" s="83">
        <v>0.22800494463588228</v>
      </c>
      <c r="K78" s="83">
        <v>0.19064943302890355</v>
      </c>
      <c r="L78" s="83">
        <v>0</v>
      </c>
      <c r="M78" s="83">
        <v>0</v>
      </c>
      <c r="N78" s="83">
        <v>0.12850363353220945</v>
      </c>
      <c r="O78" s="83">
        <v>-6.9894290891860944E-2</v>
      </c>
      <c r="P78" s="83">
        <v>-3.9154931345950765E-2</v>
      </c>
      <c r="Q78" s="83">
        <v>3.0526315789473683E-2</v>
      </c>
      <c r="R78" s="83">
        <v>2.2378559463986598E-2</v>
      </c>
      <c r="S78" s="83">
        <v>1.6874859959668384E-3</v>
      </c>
      <c r="T78" s="83">
        <v>5.5628824506303264E-2</v>
      </c>
      <c r="U78" s="83">
        <v>7.840900194493311E-2</v>
      </c>
      <c r="V78" s="83">
        <v>0.12276867432572162</v>
      </c>
      <c r="W78" s="83">
        <v>8.8789852295536625E-2</v>
      </c>
      <c r="X78" s="83">
        <v>8.8480092958656234E-2</v>
      </c>
      <c r="Y78" s="83">
        <v>0.13965083067146647</v>
      </c>
      <c r="Z78" s="83">
        <v>0.17622406076224062</v>
      </c>
      <c r="AA78" s="83">
        <v>0.11474081109452772</v>
      </c>
      <c r="AB78" s="83">
        <v>8.2133459814118417E-2</v>
      </c>
      <c r="AC78" s="83">
        <v>0.13403045986344606</v>
      </c>
      <c r="AD78" s="83">
        <v>7.5765695865362317E-2</v>
      </c>
    </row>
    <row r="79" spans="2:30" ht="14.25" customHeight="1" x14ac:dyDescent="0.45">
      <c r="B79" s="69" t="s">
        <v>309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4">
        <v>0</v>
      </c>
      <c r="O79" s="74">
        <v>0</v>
      </c>
      <c r="P79" s="74">
        <v>0</v>
      </c>
      <c r="Q79" s="74">
        <v>3903</v>
      </c>
      <c r="R79" s="74">
        <v>20898</v>
      </c>
      <c r="S79" s="74">
        <v>24801</v>
      </c>
      <c r="T79" s="74">
        <v>-3514</v>
      </c>
      <c r="U79" s="74">
        <v>-1219</v>
      </c>
      <c r="V79" s="74">
        <v>-13100</v>
      </c>
      <c r="W79" s="74">
        <v>-2862</v>
      </c>
      <c r="X79" s="74">
        <v>-20695</v>
      </c>
      <c r="Y79" s="74">
        <v>33079</v>
      </c>
      <c r="Z79" s="74">
        <v>-17714</v>
      </c>
      <c r="AA79" s="74">
        <v>-15214</v>
      </c>
      <c r="AB79" s="74">
        <v>-650</v>
      </c>
      <c r="AC79" s="74">
        <v>-499</v>
      </c>
      <c r="AD79" s="74">
        <v>16670</v>
      </c>
    </row>
    <row r="80" spans="2:30" ht="14.25" customHeight="1" x14ac:dyDescent="0.45">
      <c r="B80" s="80" t="s">
        <v>310</v>
      </c>
      <c r="C80" s="70">
        <v>0</v>
      </c>
      <c r="D80" s="70">
        <v>0</v>
      </c>
      <c r="E80" s="70">
        <v>-2038.3420000000001</v>
      </c>
      <c r="F80" s="70">
        <v>-2345.174</v>
      </c>
      <c r="G80" s="70">
        <v>-1739</v>
      </c>
      <c r="H80" s="70">
        <v>1048.5793100000001</v>
      </c>
      <c r="I80" s="70">
        <v>-4932.4206899999999</v>
      </c>
      <c r="J80" s="70">
        <v>16150.945930000002</v>
      </c>
      <c r="K80" s="70">
        <v>9344.3179643882104</v>
      </c>
      <c r="L80" s="70">
        <v>-3780</v>
      </c>
      <c r="M80" s="70">
        <v>-7377</v>
      </c>
      <c r="N80" s="70">
        <v>15401.036690000095</v>
      </c>
      <c r="O80" s="70">
        <v>-2674.0147500000239</v>
      </c>
      <c r="P80" s="70">
        <v>-1923.4676899999904</v>
      </c>
      <c r="Q80" s="70">
        <v>6310</v>
      </c>
      <c r="R80" s="70">
        <v>23570</v>
      </c>
      <c r="S80" s="70">
        <v>25283</v>
      </c>
      <c r="T80" s="70">
        <v>10872.828299999994</v>
      </c>
      <c r="U80" s="70">
        <v>21754.228189999994</v>
      </c>
      <c r="V80" s="70">
        <v>27799.03807000001</v>
      </c>
      <c r="W80" s="70">
        <v>4000.6230000000069</v>
      </c>
      <c r="X80" s="70">
        <v>64426.717560000019</v>
      </c>
      <c r="Y80" s="70">
        <v>49605</v>
      </c>
      <c r="Z80" s="70">
        <v>21265</v>
      </c>
      <c r="AA80" s="70">
        <v>16921</v>
      </c>
      <c r="AB80" s="70">
        <v>6623</v>
      </c>
      <c r="AC80" s="70">
        <v>94414</v>
      </c>
      <c r="AD80" s="70">
        <v>26142</v>
      </c>
    </row>
    <row r="81" spans="2:30" ht="14.25" customHeight="1" thickBot="1" x14ac:dyDescent="0.5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</row>
    <row r="82" spans="2:30" ht="14.25" customHeight="1" thickBot="1" x14ac:dyDescent="0.5">
      <c r="B82" s="9" t="s">
        <v>318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</row>
    <row r="83" spans="2:30" ht="14.25" customHeight="1" x14ac:dyDescent="0.45">
      <c r="B83" s="69" t="s">
        <v>289</v>
      </c>
      <c r="C83" s="74">
        <v>268980.46346</v>
      </c>
      <c r="D83" s="74">
        <v>544816</v>
      </c>
      <c r="E83" s="74">
        <v>223746</v>
      </c>
      <c r="F83" s="74">
        <v>229423.82925932511</v>
      </c>
      <c r="G83" s="74">
        <v>321459</v>
      </c>
      <c r="H83" s="74">
        <v>389673.41590000025</v>
      </c>
      <c r="I83" s="74">
        <v>1164262.7565299999</v>
      </c>
      <c r="J83" s="74">
        <v>490943.19624999998</v>
      </c>
      <c r="K83" s="74">
        <v>553098.26688999997</v>
      </c>
      <c r="L83" s="74">
        <v>776613.05564999999</v>
      </c>
      <c r="M83" s="74">
        <v>934148.21719</v>
      </c>
      <c r="N83" s="74">
        <v>2754806.2171900002</v>
      </c>
      <c r="O83" s="74">
        <v>1170627.74208</v>
      </c>
      <c r="P83" s="74">
        <v>1373964.6591890401</v>
      </c>
      <c r="Q83" s="74">
        <v>1824955</v>
      </c>
      <c r="R83" s="74">
        <v>1555795</v>
      </c>
      <c r="S83" s="74">
        <v>5925344</v>
      </c>
      <c r="T83" s="74">
        <v>1464378.1717000001</v>
      </c>
      <c r="U83" s="74">
        <v>1412401.61845</v>
      </c>
      <c r="V83" s="74">
        <v>1359637.9489200001</v>
      </c>
      <c r="W83" s="74">
        <v>1601750.7278799999</v>
      </c>
      <c r="X83" s="74">
        <v>5838168.4669500003</v>
      </c>
      <c r="Y83" s="74">
        <v>1493129</v>
      </c>
      <c r="Z83" s="74">
        <v>1489907</v>
      </c>
      <c r="AA83" s="74">
        <v>1670134</v>
      </c>
      <c r="AB83" s="74">
        <v>1616019</v>
      </c>
      <c r="AC83" s="74">
        <v>6269189</v>
      </c>
      <c r="AD83" s="74">
        <v>1649662</v>
      </c>
    </row>
    <row r="84" spans="2:30" ht="14.25" customHeight="1" x14ac:dyDescent="0.45">
      <c r="B84" s="69" t="s">
        <v>305</v>
      </c>
      <c r="C84" s="74">
        <v>0</v>
      </c>
      <c r="D84" s="74">
        <v>0</v>
      </c>
      <c r="E84" s="74">
        <v>0</v>
      </c>
      <c r="F84" s="74">
        <v>0</v>
      </c>
      <c r="G84" s="74">
        <v>0</v>
      </c>
      <c r="H84" s="74">
        <v>6654.8993099999998</v>
      </c>
      <c r="I84" s="74">
        <v>6654.8993099999998</v>
      </c>
      <c r="J84" s="74">
        <v>70835.945930000002</v>
      </c>
      <c r="K84" s="74">
        <v>49013.090760000101</v>
      </c>
      <c r="L84" s="74">
        <v>0</v>
      </c>
      <c r="M84" s="74">
        <v>0</v>
      </c>
      <c r="N84" s="74">
        <v>119849.0366900001</v>
      </c>
      <c r="O84" s="74">
        <v>38257.985249999976</v>
      </c>
      <c r="P84" s="74">
        <v>49124.53231000001</v>
      </c>
      <c r="Q84" s="74">
        <v>78850</v>
      </c>
      <c r="R84" s="74">
        <v>119400</v>
      </c>
      <c r="S84" s="74">
        <v>285632</v>
      </c>
      <c r="T84" s="74">
        <v>258621.82829999999</v>
      </c>
      <c r="U84" s="74">
        <v>292992.22818999999</v>
      </c>
      <c r="V84" s="74">
        <v>333139.03807000001</v>
      </c>
      <c r="W84" s="74">
        <v>77290.623000000007</v>
      </c>
      <c r="X84" s="74">
        <v>962043.71756000002</v>
      </c>
      <c r="Y84" s="74">
        <v>118338</v>
      </c>
      <c r="Z84" s="74">
        <v>221190</v>
      </c>
      <c r="AA84" s="74">
        <v>280066</v>
      </c>
      <c r="AB84" s="74">
        <v>88551</v>
      </c>
      <c r="AC84" s="74">
        <v>708145</v>
      </c>
      <c r="AD84" s="74">
        <v>125017</v>
      </c>
    </row>
    <row r="85" spans="2:30" ht="14.25" customHeight="1" x14ac:dyDescent="0.45">
      <c r="B85" s="69" t="s">
        <v>311</v>
      </c>
      <c r="C85" s="68">
        <v>21.827227000000001</v>
      </c>
      <c r="D85" s="74">
        <v>20469</v>
      </c>
      <c r="E85" s="74">
        <v>10785</v>
      </c>
      <c r="F85" s="74">
        <v>12603.560758275</v>
      </c>
      <c r="G85" s="74">
        <v>18453</v>
      </c>
      <c r="H85" s="74">
        <v>19061.157730000006</v>
      </c>
      <c r="I85" s="74">
        <v>60903</v>
      </c>
      <c r="J85" s="74">
        <v>48391</v>
      </c>
      <c r="K85" s="74">
        <v>59644</v>
      </c>
      <c r="L85" s="74">
        <v>62701</v>
      </c>
      <c r="M85" s="74">
        <v>62316</v>
      </c>
      <c r="N85" s="74">
        <v>233051</v>
      </c>
      <c r="O85" s="74">
        <v>85723</v>
      </c>
      <c r="P85" s="74">
        <v>97223</v>
      </c>
      <c r="Q85" s="74">
        <v>111793</v>
      </c>
      <c r="R85" s="74">
        <v>129588</v>
      </c>
      <c r="S85" s="74">
        <v>424326</v>
      </c>
      <c r="T85" s="74">
        <v>163597</v>
      </c>
      <c r="U85" s="74">
        <v>201346</v>
      </c>
      <c r="V85" s="74">
        <v>198388</v>
      </c>
      <c r="W85" s="74">
        <v>186963.00000000006</v>
      </c>
      <c r="X85" s="74">
        <v>750294</v>
      </c>
      <c r="Y85" s="74">
        <v>210083</v>
      </c>
      <c r="Z85" s="74">
        <v>292062</v>
      </c>
      <c r="AA85" s="74">
        <v>326834</v>
      </c>
      <c r="AB85" s="74">
        <v>265737</v>
      </c>
      <c r="AC85" s="74">
        <v>1094716</v>
      </c>
      <c r="AD85" s="74">
        <v>263163</v>
      </c>
    </row>
    <row r="86" spans="2:30" ht="14.25" customHeight="1" x14ac:dyDescent="0.45">
      <c r="B86" s="80" t="s">
        <v>312</v>
      </c>
      <c r="C86" s="70">
        <f>SUM(C83:C85)</f>
        <v>269002.29068699997</v>
      </c>
      <c r="D86" s="70">
        <v>565285</v>
      </c>
      <c r="E86" s="70">
        <v>234531</v>
      </c>
      <c r="F86" s="70">
        <v>242027.39001760012</v>
      </c>
      <c r="G86" s="70">
        <v>339912</v>
      </c>
      <c r="H86" s="70">
        <v>415389.47294000024</v>
      </c>
      <c r="I86" s="70">
        <v>1231820.6558399999</v>
      </c>
      <c r="J86" s="70">
        <v>610170.14217999997</v>
      </c>
      <c r="K86" s="70">
        <v>661755.35765000002</v>
      </c>
      <c r="L86" s="70">
        <v>839314.05564999999</v>
      </c>
      <c r="M86" s="70">
        <v>996464.21719</v>
      </c>
      <c r="N86" s="70">
        <v>3107706.2538800002</v>
      </c>
      <c r="O86" s="70">
        <v>1294608.7273299999</v>
      </c>
      <c r="P86" s="70">
        <v>1520312.19149904</v>
      </c>
      <c r="Q86" s="70">
        <v>2015598</v>
      </c>
      <c r="R86" s="70">
        <v>1804783</v>
      </c>
      <c r="S86" s="70">
        <v>6635302</v>
      </c>
      <c r="T86" s="70">
        <v>1886597</v>
      </c>
      <c r="U86" s="70">
        <v>1906739.8466399999</v>
      </c>
      <c r="V86" s="70">
        <v>1891164.9869900001</v>
      </c>
      <c r="W86" s="70">
        <v>1866004.3508799998</v>
      </c>
      <c r="X86" s="70">
        <v>7550506.1845100001</v>
      </c>
      <c r="Y86" s="70">
        <v>1821550</v>
      </c>
      <c r="Z86" s="70">
        <v>2003159</v>
      </c>
      <c r="AA86" s="70">
        <v>2277034</v>
      </c>
      <c r="AB86" s="70">
        <v>1970307</v>
      </c>
      <c r="AC86" s="70">
        <v>8072050</v>
      </c>
      <c r="AD86" s="70">
        <v>2037842</v>
      </c>
    </row>
    <row r="87" spans="2:30" ht="14.25" customHeight="1" x14ac:dyDescent="0.45">
      <c r="B87" s="69" t="s">
        <v>313</v>
      </c>
      <c r="C87" s="74">
        <v>-167389</v>
      </c>
      <c r="D87" s="74">
        <v>-311657.59599999996</v>
      </c>
      <c r="E87" s="74">
        <v>-137262.04300000001</v>
      </c>
      <c r="F87" s="74">
        <v>-132921.81600000002</v>
      </c>
      <c r="G87" s="74">
        <v>-185552.51</v>
      </c>
      <c r="H87" s="74">
        <v>-206428.68</v>
      </c>
      <c r="I87" s="74">
        <v>-662305.67999999993</v>
      </c>
      <c r="J87" s="74">
        <v>-344812</v>
      </c>
      <c r="K87" s="74">
        <v>-325032.15094080486</v>
      </c>
      <c r="L87" s="74">
        <v>-444418</v>
      </c>
      <c r="M87" s="74">
        <v>-504746</v>
      </c>
      <c r="N87" s="74">
        <v>-1620068</v>
      </c>
      <c r="O87" s="74">
        <v>-645044</v>
      </c>
      <c r="P87" s="74">
        <v>-755610</v>
      </c>
      <c r="Q87" s="74">
        <v>-986331</v>
      </c>
      <c r="R87" s="74">
        <v>-965504.27616353275</v>
      </c>
      <c r="S87" s="74">
        <v>-3352491.0000000005</v>
      </c>
      <c r="T87" s="74">
        <v>-836326</v>
      </c>
      <c r="U87" s="74">
        <v>-964295</v>
      </c>
      <c r="V87" s="74">
        <v>-1015495</v>
      </c>
      <c r="W87" s="74">
        <v>-1307763</v>
      </c>
      <c r="X87" s="74">
        <v>-4123879</v>
      </c>
      <c r="Y87" s="74">
        <v>-1184892</v>
      </c>
      <c r="Z87" s="74">
        <v>-1331953</v>
      </c>
      <c r="AA87" s="74">
        <v>-1571303</v>
      </c>
      <c r="AB87" s="74">
        <v>-1556539</v>
      </c>
      <c r="AC87" s="74">
        <v>-5644687</v>
      </c>
      <c r="AD87" s="74">
        <v>-1288066</v>
      </c>
    </row>
    <row r="88" spans="2:30" ht="14.25" customHeight="1" x14ac:dyDescent="0.45">
      <c r="B88" s="69" t="s">
        <v>306</v>
      </c>
      <c r="C88" s="74">
        <v>0</v>
      </c>
      <c r="D88" s="74">
        <v>0</v>
      </c>
      <c r="E88" s="74">
        <v>-2038.3420000000001</v>
      </c>
      <c r="F88" s="74">
        <v>-2345.174</v>
      </c>
      <c r="G88" s="74">
        <v>-1739</v>
      </c>
      <c r="H88" s="74">
        <v>-5606.32</v>
      </c>
      <c r="I88" s="74">
        <v>-11587.32</v>
      </c>
      <c r="J88" s="74">
        <v>-54685</v>
      </c>
      <c r="K88" s="74">
        <v>-39668.772795611891</v>
      </c>
      <c r="L88" s="74">
        <v>-3780</v>
      </c>
      <c r="M88" s="74">
        <v>-7377</v>
      </c>
      <c r="N88" s="74">
        <v>-104448</v>
      </c>
      <c r="O88" s="74">
        <v>-40932</v>
      </c>
      <c r="P88" s="74">
        <v>-51048</v>
      </c>
      <c r="Q88" s="74">
        <v>-76443</v>
      </c>
      <c r="R88" s="74">
        <v>-116728</v>
      </c>
      <c r="S88" s="74">
        <v>-285150</v>
      </c>
      <c r="T88" s="74">
        <v>-244235</v>
      </c>
      <c r="U88" s="74">
        <v>-270019</v>
      </c>
      <c r="V88" s="74">
        <v>-292240</v>
      </c>
      <c r="W88" s="74">
        <v>-70428</v>
      </c>
      <c r="X88" s="74">
        <v>-876922</v>
      </c>
      <c r="Y88" s="74">
        <v>-101812</v>
      </c>
      <c r="Z88" s="74">
        <v>-182211</v>
      </c>
      <c r="AA88" s="74">
        <v>-247931</v>
      </c>
      <c r="AB88" s="74">
        <v>-81278</v>
      </c>
      <c r="AC88" s="74">
        <v>-613232</v>
      </c>
      <c r="AD88" s="74">
        <v>-115545</v>
      </c>
    </row>
    <row r="89" spans="2:30" ht="14.25" customHeight="1" x14ac:dyDescent="0.45">
      <c r="B89" s="69" t="s">
        <v>314</v>
      </c>
      <c r="C89" s="74">
        <v>0</v>
      </c>
      <c r="D89" s="74">
        <v>0</v>
      </c>
      <c r="E89" s="74">
        <v>0</v>
      </c>
      <c r="F89" s="74">
        <v>0</v>
      </c>
      <c r="G89" s="74">
        <v>0</v>
      </c>
      <c r="H89" s="74">
        <v>0</v>
      </c>
      <c r="I89" s="74">
        <v>0</v>
      </c>
      <c r="J89" s="74">
        <v>0</v>
      </c>
      <c r="K89" s="74">
        <v>0</v>
      </c>
      <c r="L89" s="74">
        <v>0</v>
      </c>
      <c r="M89" s="74">
        <v>0</v>
      </c>
      <c r="N89" s="74">
        <v>0</v>
      </c>
      <c r="O89" s="74">
        <v>0</v>
      </c>
      <c r="P89" s="74">
        <v>0</v>
      </c>
      <c r="Q89" s="74">
        <v>3903</v>
      </c>
      <c r="R89" s="74">
        <v>20898</v>
      </c>
      <c r="S89" s="74">
        <v>24801</v>
      </c>
      <c r="T89" s="74">
        <v>-3514</v>
      </c>
      <c r="U89" s="74">
        <v>-1219</v>
      </c>
      <c r="V89" s="74">
        <v>-13100</v>
      </c>
      <c r="W89" s="74">
        <v>-2862</v>
      </c>
      <c r="X89" s="74">
        <v>-20695</v>
      </c>
      <c r="Y89" s="74">
        <v>33079</v>
      </c>
      <c r="Z89" s="74">
        <v>-17714</v>
      </c>
      <c r="AA89" s="74">
        <v>-15214</v>
      </c>
      <c r="AB89" s="74">
        <v>-650</v>
      </c>
      <c r="AC89" s="74">
        <v>-499</v>
      </c>
      <c r="AD89" s="74">
        <v>16670</v>
      </c>
    </row>
    <row r="90" spans="2:30" ht="14.25" customHeight="1" x14ac:dyDescent="0.45">
      <c r="B90" s="80" t="s">
        <v>315</v>
      </c>
      <c r="C90" s="70">
        <f>SUM(C87:C88)</f>
        <v>-167389</v>
      </c>
      <c r="D90" s="70">
        <v>-311657.59599999996</v>
      </c>
      <c r="E90" s="70">
        <v>-139300.38500000001</v>
      </c>
      <c r="F90" s="70">
        <v>-135266.99000000002</v>
      </c>
      <c r="G90" s="70">
        <v>-187291.51</v>
      </c>
      <c r="H90" s="70">
        <v>-212035</v>
      </c>
      <c r="I90" s="70">
        <v>-673892.99999999988</v>
      </c>
      <c r="J90" s="70">
        <v>-399497</v>
      </c>
      <c r="K90" s="70">
        <v>-364700.92373641673</v>
      </c>
      <c r="L90" s="70">
        <v>-448198</v>
      </c>
      <c r="M90" s="70">
        <v>-512123</v>
      </c>
      <c r="N90" s="70">
        <v>-1724516</v>
      </c>
      <c r="O90" s="70">
        <v>-685976</v>
      </c>
      <c r="P90" s="70">
        <v>-806658</v>
      </c>
      <c r="Q90" s="70">
        <v>-1058871</v>
      </c>
      <c r="R90" s="70">
        <v>-1061334.2761635329</v>
      </c>
      <c r="S90" s="70">
        <v>-3612840.0000000005</v>
      </c>
      <c r="T90" s="70">
        <v>-1084075</v>
      </c>
      <c r="U90" s="70">
        <v>-1235533</v>
      </c>
      <c r="V90" s="70">
        <v>-1320835</v>
      </c>
      <c r="W90" s="70">
        <v>-1381053</v>
      </c>
      <c r="X90" s="70">
        <v>-5021496</v>
      </c>
      <c r="Y90" s="70">
        <v>-1253625</v>
      </c>
      <c r="Z90" s="70">
        <v>-1531878</v>
      </c>
      <c r="AA90" s="70">
        <v>-1834448</v>
      </c>
      <c r="AB90" s="70">
        <v>-1638467</v>
      </c>
      <c r="AC90" s="70">
        <v>-6258418</v>
      </c>
      <c r="AD90" s="70">
        <v>-1386941</v>
      </c>
    </row>
    <row r="91" spans="2:30" ht="14.25" customHeight="1" x14ac:dyDescent="0.45">
      <c r="B91" s="80" t="s">
        <v>316</v>
      </c>
      <c r="C91" s="70">
        <f>C86+C90</f>
        <v>101613.29068699997</v>
      </c>
      <c r="D91" s="70">
        <v>253627.40400000004</v>
      </c>
      <c r="E91" s="70">
        <v>95230.614999999991</v>
      </c>
      <c r="F91" s="70">
        <v>106760.4000176001</v>
      </c>
      <c r="G91" s="70">
        <v>152620.49</v>
      </c>
      <c r="H91" s="70">
        <v>203354.47294000024</v>
      </c>
      <c r="I91" s="70">
        <v>557927.65584000002</v>
      </c>
      <c r="J91" s="70">
        <v>210673.14217999997</v>
      </c>
      <c r="K91" s="70">
        <v>297054.43391358329</v>
      </c>
      <c r="L91" s="70">
        <v>391116.05564999999</v>
      </c>
      <c r="M91" s="70">
        <v>484341.21719</v>
      </c>
      <c r="N91" s="70">
        <v>1383190.2538800002</v>
      </c>
      <c r="O91" s="70">
        <v>608632.72732999991</v>
      </c>
      <c r="P91" s="70">
        <v>713654.19149904</v>
      </c>
      <c r="Q91" s="70">
        <v>956727</v>
      </c>
      <c r="R91" s="70">
        <v>743448.72383646714</v>
      </c>
      <c r="S91" s="70">
        <v>3022461.9999999995</v>
      </c>
      <c r="T91" s="70">
        <v>802522</v>
      </c>
      <c r="U91" s="70">
        <v>671206.84663999989</v>
      </c>
      <c r="V91" s="70">
        <v>570329.98699000012</v>
      </c>
      <c r="W91" s="70">
        <v>484951.35087999981</v>
      </c>
      <c r="X91" s="70">
        <v>2529010.1845100001</v>
      </c>
      <c r="Y91" s="70">
        <v>567925</v>
      </c>
      <c r="Z91" s="70">
        <v>471281</v>
      </c>
      <c r="AA91" s="70">
        <v>442586</v>
      </c>
      <c r="AB91" s="70">
        <v>331840</v>
      </c>
      <c r="AC91" s="70">
        <v>1813632</v>
      </c>
      <c r="AD91" s="70">
        <v>650901</v>
      </c>
    </row>
    <row r="92" spans="2:30" ht="14.25" customHeight="1" x14ac:dyDescent="0.45">
      <c r="B92" s="82" t="s">
        <v>317</v>
      </c>
      <c r="C92" s="83">
        <f>C91/C86</f>
        <v>0.3777413583634982</v>
      </c>
      <c r="D92" s="83">
        <v>0.44867173903429253</v>
      </c>
      <c r="E92" s="83">
        <v>0.40604702576631657</v>
      </c>
      <c r="F92" s="83">
        <v>0.44110875223600327</v>
      </c>
      <c r="G92" s="83">
        <v>0.44900000588387579</v>
      </c>
      <c r="H92" s="83">
        <v>0.48955133961561226</v>
      </c>
      <c r="I92" s="83">
        <v>0.45292929063568871</v>
      </c>
      <c r="J92" s="83">
        <v>0.34526950372778398</v>
      </c>
      <c r="K92" s="83">
        <v>0.44888859678971316</v>
      </c>
      <c r="L92" s="83">
        <v>0.46599488358038199</v>
      </c>
      <c r="M92" s="83">
        <v>0.4860598191431581</v>
      </c>
      <c r="N92" s="83">
        <v>0.4450839754088966</v>
      </c>
      <c r="O92" s="83">
        <v>0.47012870721584243</v>
      </c>
      <c r="P92" s="83">
        <v>0.46941292419379421</v>
      </c>
      <c r="Q92" s="83">
        <v>0.47466161407185359</v>
      </c>
      <c r="R92" s="83">
        <v>0.41193247267758348</v>
      </c>
      <c r="S92" s="83">
        <v>0.45551234894809606</v>
      </c>
      <c r="T92" s="83">
        <v>0.42538072518932235</v>
      </c>
      <c r="U92" s="83">
        <v>0.352018052081295</v>
      </c>
      <c r="V92" s="83">
        <v>0.30157600786473099</v>
      </c>
      <c r="W92" s="83">
        <v>0.25988757778153027</v>
      </c>
      <c r="X92" s="83">
        <v>0.33494578015157583</v>
      </c>
      <c r="Y92" s="83">
        <v>0.31178117537262223</v>
      </c>
      <c r="Z92" s="83">
        <v>0.23526889278384791</v>
      </c>
      <c r="AA92" s="83">
        <v>0.19436951753904422</v>
      </c>
      <c r="AB92" s="83">
        <v>0.16842045427438465</v>
      </c>
      <c r="AC92" s="83">
        <v>0.22468047150352141</v>
      </c>
      <c r="AD92" s="83">
        <v>0.31940700015015883</v>
      </c>
    </row>
    <row r="93" spans="2:30" ht="14.25" customHeight="1" thickBot="1" x14ac:dyDescent="0.5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</row>
    <row r="94" spans="2:30" ht="14.25" customHeight="1" thickBot="1" x14ac:dyDescent="0.5">
      <c r="B94" s="9" t="s">
        <v>138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</row>
    <row r="95" spans="2:30" ht="14.25" customHeight="1" x14ac:dyDescent="0.45">
      <c r="B95" s="5" t="s">
        <v>139</v>
      </c>
      <c r="C95" s="4">
        <f t="shared" ref="C95:K95" si="18">C96+C97</f>
        <v>137858.86827349989</v>
      </c>
      <c r="D95" s="4">
        <f t="shared" si="18"/>
        <v>257899</v>
      </c>
      <c r="E95" s="4">
        <f t="shared" si="18"/>
        <v>103487.95233252522</v>
      </c>
      <c r="F95" s="4">
        <f t="shared" si="18"/>
        <v>106124.18988938343</v>
      </c>
      <c r="G95" s="4">
        <f t="shared" si="18"/>
        <v>147060.20398693418</v>
      </c>
      <c r="H95" s="4">
        <f t="shared" si="18"/>
        <v>159885.49384815851</v>
      </c>
      <c r="I95" s="4">
        <f t="shared" si="18"/>
        <v>516557.84005700133</v>
      </c>
      <c r="J95" s="4">
        <f t="shared" si="18"/>
        <v>263237.83400000003</v>
      </c>
      <c r="K95" s="4">
        <f t="shared" si="18"/>
        <v>246105.22199999998</v>
      </c>
      <c r="L95" s="4">
        <v>291566.04599999986</v>
      </c>
      <c r="M95" s="4">
        <f t="shared" ref="M95:Z95" si="19">M96+M97</f>
        <v>307537.57000000024</v>
      </c>
      <c r="N95" s="4">
        <f t="shared" si="19"/>
        <v>1108446.672</v>
      </c>
      <c r="O95" s="4">
        <f t="shared" si="19"/>
        <v>317549.14499999897</v>
      </c>
      <c r="P95" s="4">
        <f t="shared" si="19"/>
        <v>324991.05299999827</v>
      </c>
      <c r="Q95" s="4">
        <f t="shared" si="19"/>
        <v>405927.4</v>
      </c>
      <c r="R95" s="4">
        <f t="shared" si="19"/>
        <v>367334.864</v>
      </c>
      <c r="S95" s="4">
        <f t="shared" si="19"/>
        <v>1415802.461999997</v>
      </c>
      <c r="T95" s="4">
        <f>T96+T97</f>
        <v>306791.70776000002</v>
      </c>
      <c r="U95" s="4">
        <f t="shared" si="19"/>
        <v>352837.59539999999</v>
      </c>
      <c r="V95" s="4">
        <f t="shared" si="19"/>
        <v>362709.25899999996</v>
      </c>
      <c r="W95" s="4">
        <f t="shared" si="19"/>
        <v>433877.66333100002</v>
      </c>
      <c r="X95" s="4">
        <f t="shared" si="19"/>
        <v>1456216.2254909999</v>
      </c>
      <c r="Y95" s="4">
        <f t="shared" si="19"/>
        <v>394045.239</v>
      </c>
      <c r="Z95" s="4">
        <f t="shared" si="19"/>
        <v>475200.12583500001</v>
      </c>
      <c r="AA95" s="4">
        <v>597899.30500000005</v>
      </c>
      <c r="AB95" s="4">
        <v>602354.53799999994</v>
      </c>
      <c r="AC95" s="4">
        <v>2069556.6178350002</v>
      </c>
      <c r="AD95" s="4">
        <v>527653.00156</v>
      </c>
    </row>
    <row r="96" spans="2:30" ht="14.25" customHeight="1" x14ac:dyDescent="0.45">
      <c r="B96" s="7" t="s">
        <v>140</v>
      </c>
      <c r="C96" s="6">
        <f>46.9952789248*1000</f>
        <v>46995.278924799997</v>
      </c>
      <c r="D96" s="6">
        <v>183007</v>
      </c>
      <c r="E96" s="6">
        <v>61879.236332525223</v>
      </c>
      <c r="F96" s="6">
        <v>80716.267889383424</v>
      </c>
      <c r="G96" s="6">
        <v>93052.212986934173</v>
      </c>
      <c r="H96" s="6">
        <v>79988.170608158573</v>
      </c>
      <c r="I96" s="6">
        <v>315635.88781700138</v>
      </c>
      <c r="J96" s="6">
        <v>93339.274999999994</v>
      </c>
      <c r="K96" s="6">
        <v>101602.67600000001</v>
      </c>
      <c r="L96" s="6">
        <v>100281.73499999999</v>
      </c>
      <c r="M96" s="6">
        <v>105761.14000000019</v>
      </c>
      <c r="N96" s="6">
        <v>400984.82600000018</v>
      </c>
      <c r="O96" s="6">
        <v>127665.08099999896</v>
      </c>
      <c r="P96" s="6">
        <v>164301.82899999822</v>
      </c>
      <c r="Q96" s="6">
        <v>200345.68799999999</v>
      </c>
      <c r="R96" s="6">
        <v>148761.51199999999</v>
      </c>
      <c r="S96" s="6">
        <f>SUM(O96:R96)</f>
        <v>641074.10999999719</v>
      </c>
      <c r="T96" s="6">
        <v>149637.40895900002</v>
      </c>
      <c r="U96" s="6">
        <v>211801.93239999999</v>
      </c>
      <c r="V96" s="6">
        <v>187779.78599999999</v>
      </c>
      <c r="W96" s="6">
        <v>258150.58133099999</v>
      </c>
      <c r="X96" s="6">
        <v>807369.70869</v>
      </c>
      <c r="Y96" s="6">
        <v>234898.489</v>
      </c>
      <c r="Z96" s="6">
        <v>282051.349835</v>
      </c>
      <c r="AA96" s="6">
        <v>278648.33400000003</v>
      </c>
      <c r="AB96" s="6">
        <v>244988.24800000002</v>
      </c>
      <c r="AC96" s="6">
        <v>1040586.4208350001</v>
      </c>
      <c r="AD96" s="6">
        <v>251080.50946000003</v>
      </c>
    </row>
    <row r="97" spans="2:30" ht="14.25" customHeight="1" x14ac:dyDescent="0.45">
      <c r="B97" s="7" t="s">
        <v>141</v>
      </c>
      <c r="C97" s="6">
        <f>90.8635893486999*1000</f>
        <v>90863.589348699898</v>
      </c>
      <c r="D97" s="6">
        <v>74892</v>
      </c>
      <c r="E97" s="6">
        <v>41608.716</v>
      </c>
      <c r="F97" s="6">
        <v>25407.922000000006</v>
      </c>
      <c r="G97" s="6">
        <v>54007.991000000002</v>
      </c>
      <c r="H97" s="6">
        <v>79897.323239999954</v>
      </c>
      <c r="I97" s="6">
        <v>200921.95223999996</v>
      </c>
      <c r="J97" s="6">
        <v>169898.55900000001</v>
      </c>
      <c r="K97" s="6">
        <v>144502.54599999997</v>
      </c>
      <c r="L97" s="6">
        <v>191284.3109999999</v>
      </c>
      <c r="M97" s="6">
        <v>201776.43000000005</v>
      </c>
      <c r="N97" s="6">
        <v>707461.8459999999</v>
      </c>
      <c r="O97" s="6">
        <v>189884.06400000004</v>
      </c>
      <c r="P97" s="6">
        <v>160689.22400000005</v>
      </c>
      <c r="Q97" s="6">
        <v>205581.712</v>
      </c>
      <c r="R97" s="6">
        <v>218573.35200000001</v>
      </c>
      <c r="S97" s="6">
        <f>SUM(O97:R97)</f>
        <v>774728.35199999996</v>
      </c>
      <c r="T97" s="6">
        <v>157154.298801</v>
      </c>
      <c r="U97" s="6">
        <v>141035.663</v>
      </c>
      <c r="V97" s="6">
        <v>174929.473</v>
      </c>
      <c r="W97" s="6">
        <v>175727.08199999999</v>
      </c>
      <c r="X97" s="6">
        <v>648846.51680099999</v>
      </c>
      <c r="Y97" s="6">
        <v>159146.75</v>
      </c>
      <c r="Z97" s="6">
        <v>193148.77600000001</v>
      </c>
      <c r="AA97" s="6">
        <v>319250.97100000002</v>
      </c>
      <c r="AB97" s="6">
        <v>357366.29</v>
      </c>
      <c r="AC97" s="6">
        <v>1028970.1969999999</v>
      </c>
      <c r="AD97" s="6">
        <v>276572.49210000003</v>
      </c>
    </row>
    <row r="98" spans="2:30" s="3" customFormat="1" ht="14.25" customHeight="1" x14ac:dyDescent="0.35">
      <c r="B98" s="18" t="s">
        <v>142</v>
      </c>
      <c r="C98" s="52">
        <f>C96/C95</f>
        <v>0.34089412972378019</v>
      </c>
      <c r="D98" s="52">
        <f t="shared" ref="D98:Z98" si="20">D96/D95</f>
        <v>0.70960724934955155</v>
      </c>
      <c r="E98" s="52">
        <f t="shared" si="20"/>
        <v>0.5979366190732639</v>
      </c>
      <c r="F98" s="52">
        <f t="shared" si="20"/>
        <v>0.76058312410692153</v>
      </c>
      <c r="G98" s="52">
        <f t="shared" si="20"/>
        <v>0.63274910862493816</v>
      </c>
      <c r="H98" s="52">
        <f t="shared" si="20"/>
        <v>0.50028410134644519</v>
      </c>
      <c r="I98" s="52">
        <f t="shared" si="20"/>
        <v>0.61103687397750361</v>
      </c>
      <c r="J98" s="52">
        <f t="shared" si="20"/>
        <v>0.35458153405106646</v>
      </c>
      <c r="K98" s="52">
        <f t="shared" si="20"/>
        <v>0.41284242233592272</v>
      </c>
      <c r="L98" s="52">
        <f t="shared" si="20"/>
        <v>0.34394174622102613</v>
      </c>
      <c r="M98" s="52">
        <f t="shared" si="20"/>
        <v>0.34389664976542578</v>
      </c>
      <c r="N98" s="52">
        <f t="shared" si="20"/>
        <v>0.36175382734154682</v>
      </c>
      <c r="O98" s="52">
        <f t="shared" si="20"/>
        <v>0.40203251373893439</v>
      </c>
      <c r="P98" s="52">
        <f t="shared" si="20"/>
        <v>0.50555800685380436</v>
      </c>
      <c r="Q98" s="52">
        <f t="shared" si="20"/>
        <v>0.49355054130369119</v>
      </c>
      <c r="R98" s="52">
        <f t="shared" si="20"/>
        <v>0.40497520540277382</v>
      </c>
      <c r="S98" s="52">
        <f t="shared" si="20"/>
        <v>0.45279912078581946</v>
      </c>
      <c r="T98" s="79">
        <f t="shared" si="20"/>
        <v>0.48774919652019999</v>
      </c>
      <c r="U98" s="79">
        <f t="shared" si="20"/>
        <v>0.6002816456106026</v>
      </c>
      <c r="V98" s="79">
        <f t="shared" si="20"/>
        <v>0.51771434376314063</v>
      </c>
      <c r="W98" s="79">
        <f t="shared" si="20"/>
        <v>0.59498472299566163</v>
      </c>
      <c r="X98" s="79">
        <f t="shared" si="20"/>
        <v>0.5544298261185594</v>
      </c>
      <c r="Y98" s="79">
        <f t="shared" si="20"/>
        <v>0.59612061192801269</v>
      </c>
      <c r="Z98" s="79">
        <f t="shared" si="20"/>
        <v>0.59354224567889624</v>
      </c>
      <c r="AA98" s="79">
        <v>0.46604558939903767</v>
      </c>
      <c r="AB98" s="79">
        <v>0.40671769289467868</v>
      </c>
      <c r="AC98" s="79">
        <v>0.50280645229391019</v>
      </c>
      <c r="AD98" s="79">
        <v>0.47584398973886893</v>
      </c>
    </row>
    <row r="99" spans="2:30" ht="14.25" customHeight="1" x14ac:dyDescent="0.45">
      <c r="B99" s="5" t="s">
        <v>143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>
        <v>0</v>
      </c>
      <c r="AB99" s="4">
        <v>0</v>
      </c>
      <c r="AC99" s="4">
        <v>0</v>
      </c>
      <c r="AD99" s="4">
        <v>0</v>
      </c>
    </row>
    <row r="100" spans="2:30" ht="14.25" customHeight="1" x14ac:dyDescent="0.45">
      <c r="B100" s="7" t="s">
        <v>144</v>
      </c>
      <c r="C100" s="6">
        <f>30.700311*1000</f>
        <v>30700.310999999998</v>
      </c>
      <c r="D100" s="6">
        <v>61823</v>
      </c>
      <c r="E100" s="6">
        <v>29200</v>
      </c>
      <c r="F100" s="6">
        <v>26142.225514689337</v>
      </c>
      <c r="G100" s="6">
        <v>33617.758290663674</v>
      </c>
      <c r="H100" s="6">
        <v>34422.359276378455</v>
      </c>
      <c r="I100" s="6">
        <v>123382.34308173147</v>
      </c>
      <c r="J100" s="6">
        <v>61829.859999999971</v>
      </c>
      <c r="K100" s="6">
        <v>78217.931000000026</v>
      </c>
      <c r="L100" s="6">
        <v>73376.252000000008</v>
      </c>
      <c r="M100" s="6">
        <v>64198.5</v>
      </c>
      <c r="N100" s="6">
        <v>277622.54300000001</v>
      </c>
      <c r="O100" s="6">
        <v>99348.160999999993</v>
      </c>
      <c r="P100" s="6">
        <v>95001.8</v>
      </c>
      <c r="Q100" s="6">
        <v>83208.904999999999</v>
      </c>
      <c r="R100" s="6">
        <v>100064.967</v>
      </c>
      <c r="S100" s="6">
        <v>377623.83299999998</v>
      </c>
      <c r="T100" s="6">
        <v>82561.59</v>
      </c>
      <c r="U100" s="6">
        <v>97499.14</v>
      </c>
      <c r="V100" s="6">
        <v>87105.033999000007</v>
      </c>
      <c r="W100" s="6">
        <v>94821.531999999992</v>
      </c>
      <c r="X100" s="6">
        <v>361987.29599899997</v>
      </c>
      <c r="Y100" s="6">
        <v>100662.526</v>
      </c>
      <c r="Z100" s="6">
        <v>131962.25</v>
      </c>
      <c r="AA100" s="6">
        <v>132870.71340000001</v>
      </c>
      <c r="AB100" s="6">
        <v>130903.874</v>
      </c>
      <c r="AC100" s="6">
        <v>496399.36339999991</v>
      </c>
      <c r="AD100" s="6">
        <v>135380.64000000001</v>
      </c>
    </row>
    <row r="101" spans="2:30" ht="14.25" customHeight="1" x14ac:dyDescent="0.45">
      <c r="B101" s="7" t="s">
        <v>126</v>
      </c>
      <c r="C101" s="6">
        <f>37.539421*1000</f>
        <v>37539.420999999995</v>
      </c>
      <c r="D101" s="6">
        <v>68083</v>
      </c>
      <c r="E101" s="6">
        <v>35101.629999999997</v>
      </c>
      <c r="F101" s="6">
        <v>32947.473572799296</v>
      </c>
      <c r="G101" s="6">
        <v>34541.310916644194</v>
      </c>
      <c r="H101" s="6">
        <v>38363.764517742973</v>
      </c>
      <c r="I101" s="6">
        <v>140954.17900718647</v>
      </c>
      <c r="J101" s="6">
        <v>66681.97000000003</v>
      </c>
      <c r="K101" s="6">
        <v>73364.320000000022</v>
      </c>
      <c r="L101" s="6">
        <v>71655.740000000005</v>
      </c>
      <c r="M101" s="6">
        <v>74175.440999999933</v>
      </c>
      <c r="N101" s="6">
        <v>285877.47099999996</v>
      </c>
      <c r="O101" s="6">
        <v>76614.51999999999</v>
      </c>
      <c r="P101" s="6">
        <v>79718.13</v>
      </c>
      <c r="Q101" s="6">
        <v>69671.33</v>
      </c>
      <c r="R101" s="6">
        <v>68292.793000000005</v>
      </c>
      <c r="S101" s="6">
        <v>294296.77299999999</v>
      </c>
      <c r="T101" s="6">
        <v>76294.76999999999</v>
      </c>
      <c r="U101" s="6">
        <v>85926.87</v>
      </c>
      <c r="V101" s="6">
        <v>75977.329999999987</v>
      </c>
      <c r="W101" s="6">
        <v>79323.92</v>
      </c>
      <c r="X101" s="6">
        <v>317522.88999999996</v>
      </c>
      <c r="Y101" s="6">
        <v>89187.142000000007</v>
      </c>
      <c r="Z101" s="6">
        <v>99616.120999999999</v>
      </c>
      <c r="AA101" s="6">
        <v>100058.31301</v>
      </c>
      <c r="AB101" s="6">
        <v>106396.07</v>
      </c>
      <c r="AC101" s="6">
        <v>395257.64601000003</v>
      </c>
      <c r="AD101" s="6">
        <v>122141.84</v>
      </c>
    </row>
    <row r="102" spans="2:30" ht="14.25" customHeight="1" x14ac:dyDescent="0.45">
      <c r="B102" s="7" t="s">
        <v>127</v>
      </c>
      <c r="C102" s="6">
        <f>50.59576*1000</f>
        <v>50595.76</v>
      </c>
      <c r="D102" s="6">
        <v>107708</v>
      </c>
      <c r="E102" s="6">
        <v>49511.58</v>
      </c>
      <c r="F102" s="6">
        <v>44708.642531677564</v>
      </c>
      <c r="G102" s="6">
        <v>53705.074885820402</v>
      </c>
      <c r="H102" s="6">
        <v>55229.672687169586</v>
      </c>
      <c r="I102" s="6">
        <v>203154.97010466753</v>
      </c>
      <c r="J102" s="6">
        <v>95754.769999999931</v>
      </c>
      <c r="K102" s="6">
        <v>82231.320000000022</v>
      </c>
      <c r="L102" s="6">
        <v>87459.609999999957</v>
      </c>
      <c r="M102" s="6">
        <v>90434.030000000028</v>
      </c>
      <c r="N102" s="6">
        <v>355879.73</v>
      </c>
      <c r="O102" s="6">
        <v>130633.70700000004</v>
      </c>
      <c r="P102" s="6">
        <v>141663.34000000008</v>
      </c>
      <c r="Q102" s="6">
        <v>133311.96300000002</v>
      </c>
      <c r="R102" s="6">
        <v>120852.63</v>
      </c>
      <c r="S102" s="6">
        <v>526461.64000000013</v>
      </c>
      <c r="T102" s="6">
        <v>128918.5</v>
      </c>
      <c r="U102" s="6">
        <v>162230.29999999999</v>
      </c>
      <c r="V102" s="6">
        <v>138139.06</v>
      </c>
      <c r="W102" s="6">
        <v>115628.2</v>
      </c>
      <c r="X102" s="6">
        <v>544916.06000000006</v>
      </c>
      <c r="Y102" s="6">
        <v>180492.62</v>
      </c>
      <c r="Z102" s="6">
        <v>201037.66999999998</v>
      </c>
      <c r="AA102" s="6">
        <v>174777.5018</v>
      </c>
      <c r="AB102" s="6">
        <v>170377.02000000002</v>
      </c>
      <c r="AC102" s="6">
        <v>726684.81180000014</v>
      </c>
      <c r="AD102" s="6">
        <v>221570.16799999998</v>
      </c>
    </row>
    <row r="103" spans="2:30" ht="14.25" customHeight="1" x14ac:dyDescent="0.45">
      <c r="B103" s="55" t="s">
        <v>7</v>
      </c>
      <c r="C103" s="6">
        <f>C102+C101+C100</f>
        <v>118835.492</v>
      </c>
      <c r="D103" s="6">
        <v>237614</v>
      </c>
      <c r="E103" s="6">
        <v>113813.20999999999</v>
      </c>
      <c r="F103" s="6">
        <v>103798.3416191662</v>
      </c>
      <c r="G103" s="6">
        <v>121864.14409312827</v>
      </c>
      <c r="H103" s="6">
        <v>128015.79648129102</v>
      </c>
      <c r="I103" s="6">
        <v>467491.49219358549</v>
      </c>
      <c r="J103" s="6">
        <v>224266.59999999992</v>
      </c>
      <c r="K103" s="6">
        <v>233813.57100000005</v>
      </c>
      <c r="L103" s="6">
        <v>232491.60199999998</v>
      </c>
      <c r="M103" s="6">
        <v>228807.97099999996</v>
      </c>
      <c r="N103" s="6">
        <v>919379.74399999995</v>
      </c>
      <c r="O103" s="6">
        <v>306596.38800000004</v>
      </c>
      <c r="P103" s="6">
        <v>316383.27000000008</v>
      </c>
      <c r="Q103" s="6">
        <v>286192.19799999997</v>
      </c>
      <c r="R103" s="6">
        <v>289210.39</v>
      </c>
      <c r="S103" s="6">
        <v>1198382.2460000003</v>
      </c>
      <c r="T103" s="6">
        <v>287774.86</v>
      </c>
      <c r="U103" s="6">
        <v>345656.31</v>
      </c>
      <c r="V103" s="6">
        <v>301221.42399899999</v>
      </c>
      <c r="W103" s="6">
        <v>289773.652</v>
      </c>
      <c r="X103" s="6">
        <v>1224426.245999</v>
      </c>
      <c r="Y103" s="6">
        <v>370342.288</v>
      </c>
      <c r="Z103" s="6">
        <v>432616.04099999997</v>
      </c>
      <c r="AA103" s="6">
        <v>407706.52821000002</v>
      </c>
      <c r="AB103" s="6">
        <v>407676.96400000004</v>
      </c>
      <c r="AC103" s="6">
        <v>1618341.82121</v>
      </c>
      <c r="AD103" s="6">
        <v>479092.64799999999</v>
      </c>
    </row>
    <row r="104" spans="2:30" ht="14.25" customHeight="1" x14ac:dyDescent="0.45">
      <c r="B104" s="55" t="s">
        <v>145</v>
      </c>
      <c r="C104" s="6">
        <f>2.6636*1000</f>
        <v>2663.6000000000004</v>
      </c>
      <c r="D104" s="6">
        <v>7304</v>
      </c>
      <c r="E104" s="6">
        <v>3900.4399999999987</v>
      </c>
      <c r="F104" s="6">
        <v>3277.56</v>
      </c>
      <c r="G104" s="6">
        <v>4058.8</v>
      </c>
      <c r="H104" s="6">
        <v>3802.26</v>
      </c>
      <c r="I104" s="6">
        <v>15039.06</v>
      </c>
      <c r="J104" s="6">
        <v>7616.8909999999978</v>
      </c>
      <c r="K104" s="6">
        <v>8467.2559999999994</v>
      </c>
      <c r="L104" s="6">
        <v>8902.67</v>
      </c>
      <c r="M104" s="6">
        <v>8502.8500000000058</v>
      </c>
      <c r="N104" s="6">
        <v>33489.667000000001</v>
      </c>
      <c r="O104" s="6">
        <v>10410.81</v>
      </c>
      <c r="P104" s="6">
        <v>11616.005999999999</v>
      </c>
      <c r="Q104" s="6">
        <v>11696.619999999999</v>
      </c>
      <c r="R104" s="6">
        <v>10886.191999999999</v>
      </c>
      <c r="S104" s="6">
        <v>44609.627999999997</v>
      </c>
      <c r="T104" s="6">
        <v>9514.98</v>
      </c>
      <c r="U104" s="6">
        <v>13332.22</v>
      </c>
      <c r="V104" s="6">
        <v>13475.96</v>
      </c>
      <c r="W104" s="6">
        <v>13619.005000000001</v>
      </c>
      <c r="X104" s="6">
        <v>49942.164999999994</v>
      </c>
      <c r="Y104" s="6">
        <v>15454.380000000001</v>
      </c>
      <c r="Z104" s="6">
        <v>18047.479999999996</v>
      </c>
      <c r="AA104" s="6">
        <v>22280.489999999998</v>
      </c>
      <c r="AB104" s="6">
        <v>23309.7</v>
      </c>
      <c r="AC104" s="6">
        <v>79092.05</v>
      </c>
      <c r="AD104" s="6">
        <v>21549.074000000001</v>
      </c>
    </row>
    <row r="105" spans="2:30" ht="14.25" customHeight="1" x14ac:dyDescent="0.45">
      <c r="B105" s="5" t="s">
        <v>146</v>
      </c>
      <c r="C105" s="4">
        <v>28826</v>
      </c>
      <c r="D105" s="4">
        <v>40863.42</v>
      </c>
      <c r="E105" s="4">
        <v>17592.438000000002</v>
      </c>
      <c r="F105" s="4">
        <v>13037.248</v>
      </c>
      <c r="G105" s="4">
        <v>17637.835999999999</v>
      </c>
      <c r="H105" s="4">
        <v>23932.477999999996</v>
      </c>
      <c r="I105" s="4">
        <v>72200</v>
      </c>
      <c r="J105" s="4">
        <v>28018.007999999998</v>
      </c>
      <c r="K105" s="4">
        <v>29472</v>
      </c>
      <c r="L105" s="4">
        <v>45687</v>
      </c>
      <c r="M105" s="4">
        <v>47629.079999999987</v>
      </c>
      <c r="N105" s="4">
        <v>150806.08799999999</v>
      </c>
      <c r="O105" s="4">
        <v>40200</v>
      </c>
      <c r="P105" s="4">
        <v>39818.400000000001</v>
      </c>
      <c r="Q105" s="4">
        <v>46296</v>
      </c>
      <c r="R105" s="4">
        <v>56117.760000000002</v>
      </c>
      <c r="S105" s="4">
        <v>182432.16</v>
      </c>
      <c r="T105" s="4">
        <v>12754.7</v>
      </c>
      <c r="U105" s="4">
        <v>14486.712000000001</v>
      </c>
      <c r="V105" s="4">
        <v>21162</v>
      </c>
      <c r="W105" s="4">
        <v>20928</v>
      </c>
      <c r="X105" s="4">
        <v>69331.411999999997</v>
      </c>
      <c r="Y105" s="4">
        <v>22608</v>
      </c>
      <c r="Z105" s="4">
        <v>21784</v>
      </c>
      <c r="AA105" s="4">
        <v>36927.760000000002</v>
      </c>
      <c r="AB105" s="4">
        <v>28366.694000000003</v>
      </c>
      <c r="AC105" s="4">
        <v>109686.454</v>
      </c>
      <c r="AD105" s="4">
        <v>37344</v>
      </c>
    </row>
    <row r="106" spans="2:30" ht="14.25" customHeight="1" x14ac:dyDescent="0.45">
      <c r="B106" s="5" t="s">
        <v>352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36584.012000000002</v>
      </c>
      <c r="U106" s="4">
        <v>38481.287000000004</v>
      </c>
      <c r="V106" s="4">
        <v>36221.994999999995</v>
      </c>
      <c r="W106" s="4">
        <v>61152</v>
      </c>
      <c r="X106" s="98">
        <v>172439.29399999999</v>
      </c>
      <c r="Y106" s="98">
        <v>25439.997000000003</v>
      </c>
      <c r="Z106" s="98">
        <v>50064</v>
      </c>
      <c r="AA106" s="4">
        <v>47781.599999999999</v>
      </c>
      <c r="AB106" s="4">
        <v>54317.03</v>
      </c>
      <c r="AC106" s="4">
        <v>177602.62700000001</v>
      </c>
      <c r="AD106" s="4">
        <v>54018.97</v>
      </c>
    </row>
    <row r="107" spans="2:30" ht="14.25" customHeight="1" x14ac:dyDescent="0.45">
      <c r="B107" s="5" t="s">
        <v>351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10137.620000000001</v>
      </c>
      <c r="I107" s="4">
        <v>10137.620000000001</v>
      </c>
      <c r="J107" s="4">
        <v>127490.63699999999</v>
      </c>
      <c r="K107" s="4">
        <v>95097.163509999838</v>
      </c>
      <c r="L107" s="4">
        <v>0</v>
      </c>
      <c r="M107" s="4">
        <v>0</v>
      </c>
      <c r="N107" s="4">
        <v>222587.80050999983</v>
      </c>
      <c r="O107" s="4">
        <v>28633.120999999999</v>
      </c>
      <c r="P107" s="4">
        <v>36664.741999999998</v>
      </c>
      <c r="Q107" s="4">
        <v>62526.642999999996</v>
      </c>
      <c r="R107" s="4">
        <v>94810.418000000005</v>
      </c>
      <c r="S107" s="4">
        <v>222634.924</v>
      </c>
      <c r="T107" s="4">
        <v>197502.85100000002</v>
      </c>
      <c r="U107" s="4">
        <v>252464.86</v>
      </c>
      <c r="V107" s="4">
        <v>275877.21500000003</v>
      </c>
      <c r="W107" s="4">
        <v>60661.97</v>
      </c>
      <c r="X107" s="98">
        <v>786506.89599999995</v>
      </c>
      <c r="Y107" s="98">
        <v>160124.59899999999</v>
      </c>
      <c r="Z107" s="98">
        <v>327799.41078000003</v>
      </c>
      <c r="AA107" s="4">
        <v>331888.72700100002</v>
      </c>
      <c r="AB107" s="4">
        <v>39721.008999999998</v>
      </c>
      <c r="AC107" s="4">
        <v>859533.74578100012</v>
      </c>
      <c r="AD107" s="4">
        <v>109630.00099999999</v>
      </c>
    </row>
    <row r="108" spans="2:30" ht="14.25" customHeight="1" thickBot="1" x14ac:dyDescent="0.5"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99"/>
      <c r="Y108" s="99"/>
      <c r="Z108" s="99"/>
      <c r="AA108" s="44"/>
      <c r="AB108" s="44"/>
      <c r="AC108" s="44"/>
      <c r="AD108" s="44"/>
    </row>
    <row r="109" spans="2:30" ht="14.25" customHeight="1" thickBot="1" x14ac:dyDescent="0.5">
      <c r="B109" s="9" t="s">
        <v>147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0"/>
      <c r="Y109" s="100"/>
      <c r="Z109" s="100"/>
      <c r="AA109" s="10"/>
      <c r="AB109" s="10"/>
      <c r="AC109" s="10"/>
      <c r="AD109" s="10"/>
    </row>
    <row r="110" spans="2:30" ht="14.25" customHeight="1" x14ac:dyDescent="0.45">
      <c r="B110" s="5" t="s">
        <v>148</v>
      </c>
      <c r="C110" s="26">
        <v>1.566034615384615</v>
      </c>
      <c r="D110" s="26">
        <v>1.6276019230769234</v>
      </c>
      <c r="E110" s="26">
        <v>1.7014846153846155</v>
      </c>
      <c r="F110" s="26">
        <v>1.6940153846153847</v>
      </c>
      <c r="G110" s="26">
        <v>1.8778846153846156</v>
      </c>
      <c r="H110" s="26">
        <v>2.043192307692308</v>
      </c>
      <c r="I110" s="26">
        <v>1.8291442307692312</v>
      </c>
      <c r="J110" s="26">
        <v>1.4613384615384617</v>
      </c>
      <c r="K110" s="26">
        <v>1.6942230769230773</v>
      </c>
      <c r="L110" s="26">
        <v>2.0107285714285714</v>
      </c>
      <c r="M110" s="26">
        <v>2.3825166666666666</v>
      </c>
      <c r="N110" s="26">
        <v>1.8800519230769228</v>
      </c>
      <c r="O110" s="26">
        <v>2.7349076923076927</v>
      </c>
      <c r="P110" s="26">
        <v>3.0513000000000003</v>
      </c>
      <c r="Q110" s="26">
        <v>3.5077928571428569</v>
      </c>
      <c r="R110" s="26">
        <v>3.114008333333333</v>
      </c>
      <c r="S110" s="26">
        <v>3.1095749999999995</v>
      </c>
      <c r="T110" s="26">
        <v>3.3743307692307698</v>
      </c>
      <c r="U110" s="26">
        <v>2.6952071428571434</v>
      </c>
      <c r="V110" s="26">
        <v>2.7335230769230767</v>
      </c>
      <c r="W110" s="26">
        <v>2.701938461538461</v>
      </c>
      <c r="X110" s="101">
        <v>2.8728339622641514</v>
      </c>
      <c r="Y110" s="101">
        <v>2.6952230769230763</v>
      </c>
      <c r="Z110" s="101">
        <v>2.1904230769230773</v>
      </c>
      <c r="AA110" s="26">
        <v>2.104538461538461</v>
      </c>
      <c r="AB110" s="26">
        <v>2.0457307692307691</v>
      </c>
      <c r="AC110" s="26">
        <v>2.2589788461538465</v>
      </c>
      <c r="AD110" s="26">
        <v>2.3365076923076922</v>
      </c>
    </row>
    <row r="111" spans="2:30" ht="14.25" customHeight="1" x14ac:dyDescent="0.45">
      <c r="B111" s="5" t="s">
        <v>149</v>
      </c>
      <c r="C111" s="26">
        <f>C112-C110</f>
        <v>0.1309590173780768</v>
      </c>
      <c r="D111" s="26">
        <f t="shared" ref="D111:Z111" si="21">D112-D110</f>
        <v>0.14262222893607412</v>
      </c>
      <c r="E111" s="26">
        <f t="shared" si="21"/>
        <v>6.2250838608265635E-2</v>
      </c>
      <c r="F111" s="26">
        <f t="shared" si="21"/>
        <v>7.2016524835962104E-2</v>
      </c>
      <c r="G111" s="26">
        <f t="shared" si="21"/>
        <v>-2.6547594091015148E-2</v>
      </c>
      <c r="H111" s="26">
        <f t="shared" si="21"/>
        <v>3.3802988174710169E-2</v>
      </c>
      <c r="I111" s="26">
        <f t="shared" si="21"/>
        <v>5.6886576337469075E-2</v>
      </c>
      <c r="J111" s="26">
        <f t="shared" si="21"/>
        <v>-2.0664094038537861E-2</v>
      </c>
      <c r="K111" s="26">
        <f t="shared" si="21"/>
        <v>-4.4851329744140855E-2</v>
      </c>
      <c r="L111" s="26">
        <f t="shared" si="21"/>
        <v>3.5138662268457299E-2</v>
      </c>
      <c r="M111" s="26">
        <f t="shared" si="21"/>
        <v>2.8036583851631658E-2</v>
      </c>
      <c r="N111" s="26">
        <f t="shared" si="21"/>
        <v>3.5237331361832824E-2</v>
      </c>
      <c r="O111" s="26">
        <f t="shared" si="21"/>
        <v>4.8012727774064512E-2</v>
      </c>
      <c r="P111" s="26">
        <f t="shared" si="21"/>
        <v>0.18045358307481019</v>
      </c>
      <c r="Q111" s="26">
        <f t="shared" si="21"/>
        <v>0.22357634828648809</v>
      </c>
      <c r="R111" s="26">
        <f t="shared" si="21"/>
        <v>0.18098791837012618</v>
      </c>
      <c r="S111" s="26">
        <f t="shared" si="21"/>
        <v>0.18116797089335801</v>
      </c>
      <c r="T111" s="26">
        <f t="shared" si="21"/>
        <v>0.2815014179853188</v>
      </c>
      <c r="U111" s="26">
        <f t="shared" si="21"/>
        <v>0.15092097130129467</v>
      </c>
      <c r="V111" s="26">
        <f t="shared" si="21"/>
        <v>-2.6415914851765088E-3</v>
      </c>
      <c r="W111" s="26">
        <f t="shared" si="21"/>
        <v>0.14274819627274926</v>
      </c>
      <c r="X111" s="101">
        <f t="shared" si="21"/>
        <v>0.1147457143275572</v>
      </c>
      <c r="Y111" s="101">
        <f t="shared" si="21"/>
        <v>0.13958087308734379</v>
      </c>
      <c r="Z111" s="101">
        <f t="shared" si="21"/>
        <v>0.12181747240186036</v>
      </c>
      <c r="AA111" s="26">
        <v>4.1025163092278216E-2</v>
      </c>
      <c r="AB111" s="26">
        <v>2.1734355436391795E-2</v>
      </c>
      <c r="AC111" s="26">
        <v>3.3297653612938571E-2</v>
      </c>
      <c r="AD111" s="26">
        <v>8.2756476049064887E-2</v>
      </c>
    </row>
    <row r="112" spans="2:30" ht="14.25" customHeight="1" x14ac:dyDescent="0.45">
      <c r="B112" s="5" t="s">
        <v>150</v>
      </c>
      <c r="C112" s="26">
        <f t="shared" ref="C112:Z112" si="22">C23/C95</f>
        <v>1.6969936327626918</v>
      </c>
      <c r="D112" s="26">
        <f t="shared" si="22"/>
        <v>1.7702241520129975</v>
      </c>
      <c r="E112" s="26">
        <f t="shared" si="22"/>
        <v>1.7637354539928811</v>
      </c>
      <c r="F112" s="26">
        <f t="shared" si="22"/>
        <v>1.7660319094513468</v>
      </c>
      <c r="G112" s="26">
        <f t="shared" si="22"/>
        <v>1.8513370212936004</v>
      </c>
      <c r="H112" s="26">
        <f t="shared" si="22"/>
        <v>2.0769952958670181</v>
      </c>
      <c r="I112" s="26">
        <f t="shared" si="22"/>
        <v>1.8860308071067002</v>
      </c>
      <c r="J112" s="26">
        <f t="shared" si="22"/>
        <v>1.4406743674999238</v>
      </c>
      <c r="K112" s="26">
        <f t="shared" si="22"/>
        <v>1.6493717471789364</v>
      </c>
      <c r="L112" s="26">
        <f t="shared" si="22"/>
        <v>2.0458672336970287</v>
      </c>
      <c r="M112" s="26">
        <f t="shared" si="22"/>
        <v>2.4105532505182983</v>
      </c>
      <c r="N112" s="26">
        <f t="shared" si="22"/>
        <v>1.9152892544387556</v>
      </c>
      <c r="O112" s="26">
        <f t="shared" si="22"/>
        <v>2.7829204200817572</v>
      </c>
      <c r="P112" s="26">
        <f t="shared" si="22"/>
        <v>3.2317535830748105</v>
      </c>
      <c r="Q112" s="26">
        <f t="shared" si="22"/>
        <v>3.731369205429345</v>
      </c>
      <c r="R112" s="26">
        <f t="shared" si="22"/>
        <v>3.2949962517034592</v>
      </c>
      <c r="S112" s="26">
        <f t="shared" si="22"/>
        <v>3.2907429708933575</v>
      </c>
      <c r="T112" s="26">
        <f t="shared" si="22"/>
        <v>3.6558321872160886</v>
      </c>
      <c r="U112" s="26">
        <f t="shared" si="22"/>
        <v>2.846128114158438</v>
      </c>
      <c r="V112" s="26">
        <f t="shared" si="22"/>
        <v>2.7308814854379002</v>
      </c>
      <c r="W112" s="26">
        <f t="shared" si="22"/>
        <v>2.8446866578112102</v>
      </c>
      <c r="X112" s="101">
        <f t="shared" si="22"/>
        <v>2.9875796765917086</v>
      </c>
      <c r="Y112" s="101">
        <f t="shared" si="22"/>
        <v>2.8348039500104201</v>
      </c>
      <c r="Z112" s="101">
        <f t="shared" si="22"/>
        <v>2.3122405493249376</v>
      </c>
      <c r="AA112" s="26">
        <v>2.1455636246307392</v>
      </c>
      <c r="AB112" s="26">
        <v>2.0674651246671609</v>
      </c>
      <c r="AC112" s="26">
        <v>2.292276499766785</v>
      </c>
      <c r="AD112" s="26">
        <v>2.4192641683567571</v>
      </c>
    </row>
    <row r="113" spans="2:30" ht="14.25" customHeight="1" x14ac:dyDescent="0.45">
      <c r="B113" s="55" t="s">
        <v>151</v>
      </c>
      <c r="C113" s="53">
        <f t="shared" ref="C113:Z113" si="23">C24/C96</f>
        <v>1.8235310601545645</v>
      </c>
      <c r="D113" s="53">
        <f t="shared" si="23"/>
        <v>1.7922151404591085</v>
      </c>
      <c r="E113" s="53">
        <f t="shared" si="23"/>
        <v>1.8530610071496434</v>
      </c>
      <c r="F113" s="53">
        <f t="shared" si="23"/>
        <v>1.7987427791408284</v>
      </c>
      <c r="G113" s="53">
        <f t="shared" si="23"/>
        <v>1.9624466107607885</v>
      </c>
      <c r="H113" s="53">
        <f t="shared" si="23"/>
        <v>2.109808666917897</v>
      </c>
      <c r="I113" s="53">
        <f t="shared" si="23"/>
        <v>1.9363577577539306</v>
      </c>
      <c r="J113" s="53">
        <f t="shared" si="23"/>
        <v>1.5206353381253499</v>
      </c>
      <c r="K113" s="53">
        <f t="shared" si="23"/>
        <v>1.775356782925678</v>
      </c>
      <c r="L113" s="53">
        <f t="shared" si="23"/>
        <v>2.1177183044350003</v>
      </c>
      <c r="M113" s="53">
        <f t="shared" si="23"/>
        <v>2.4719083417595464</v>
      </c>
      <c r="N113" s="53">
        <f t="shared" si="23"/>
        <v>1.9852970695704073</v>
      </c>
      <c r="O113" s="53">
        <f t="shared" si="23"/>
        <v>2.9897290395327687</v>
      </c>
      <c r="P113" s="53">
        <f t="shared" si="23"/>
        <v>3.4390000612835911</v>
      </c>
      <c r="Q113" s="53">
        <f t="shared" si="23"/>
        <v>3.8793597594174325</v>
      </c>
      <c r="R113" s="53">
        <f t="shared" si="23"/>
        <v>3.4621858374227874</v>
      </c>
      <c r="S113" s="53">
        <f t="shared" si="23"/>
        <v>3.4925291242848817</v>
      </c>
      <c r="T113" s="53">
        <f t="shared" si="23"/>
        <v>3.7737488501603473</v>
      </c>
      <c r="U113" s="53">
        <f t="shared" si="23"/>
        <v>3.0428711990353872</v>
      </c>
      <c r="V113" s="53">
        <f t="shared" si="23"/>
        <v>2.8256289524155704</v>
      </c>
      <c r="W113" s="53">
        <f t="shared" si="23"/>
        <v>2.9643318874374573</v>
      </c>
      <c r="X113" s="102">
        <f t="shared" si="23"/>
        <v>3.1026925744644633</v>
      </c>
      <c r="Y113" s="102">
        <f t="shared" si="23"/>
        <v>2.958294891373269</v>
      </c>
      <c r="Z113" s="102">
        <f t="shared" si="23"/>
        <v>2.4077991486205859</v>
      </c>
      <c r="AA113" s="53">
        <v>2.2546842142612626</v>
      </c>
      <c r="AB113" s="53">
        <v>2.1960686048907943</v>
      </c>
      <c r="AC113" s="53">
        <v>2.4412167496492829</v>
      </c>
      <c r="AD113" s="53">
        <v>2.5637593351408676</v>
      </c>
    </row>
    <row r="114" spans="2:30" ht="14.25" customHeight="1" x14ac:dyDescent="0.45">
      <c r="B114" s="55" t="s">
        <v>152</v>
      </c>
      <c r="C114" s="53">
        <f t="shared" ref="C114:Z114" si="24">C25/C97</f>
        <v>1.6315475972568012</v>
      </c>
      <c r="D114" s="53">
        <f t="shared" si="24"/>
        <v>1.7164867057896707</v>
      </c>
      <c r="E114" s="53">
        <f t="shared" si="24"/>
        <v>1.6308931664702173</v>
      </c>
      <c r="F114" s="53">
        <f t="shared" si="24"/>
        <v>1.6621155277515405</v>
      </c>
      <c r="G114" s="53">
        <f t="shared" si="24"/>
        <v>1.6599025133151128</v>
      </c>
      <c r="H114" s="53">
        <f t="shared" si="24"/>
        <v>2.0441446143246287</v>
      </c>
      <c r="I114" s="53">
        <f t="shared" si="24"/>
        <v>1.8069702984287512</v>
      </c>
      <c r="J114" s="53">
        <f t="shared" si="24"/>
        <v>1.3967452190103624</v>
      </c>
      <c r="K114" s="53">
        <f t="shared" si="24"/>
        <v>1.5607891088645596</v>
      </c>
      <c r="L114" s="53">
        <f t="shared" si="24"/>
        <v>2.0081989586694355</v>
      </c>
      <c r="M114" s="53">
        <f t="shared" si="24"/>
        <v>2.3783939720808789</v>
      </c>
      <c r="N114" s="53">
        <f t="shared" si="24"/>
        <v>1.8756092749063957</v>
      </c>
      <c r="O114" s="53">
        <f t="shared" si="24"/>
        <v>2.6438764234580523</v>
      </c>
      <c r="P114" s="53">
        <f t="shared" si="24"/>
        <v>3.0198478026130728</v>
      </c>
      <c r="Q114" s="53">
        <f t="shared" si="24"/>
        <v>3.5871478684835547</v>
      </c>
      <c r="R114" s="53">
        <f t="shared" si="24"/>
        <v>3.1812066459043917</v>
      </c>
      <c r="S114" s="53">
        <f t="shared" si="24"/>
        <v>3.1237684715584026</v>
      </c>
      <c r="T114" s="53">
        <f t="shared" si="24"/>
        <v>3.5435556281229545</v>
      </c>
      <c r="U114" s="53">
        <f t="shared" si="24"/>
        <v>2.5506669189054687</v>
      </c>
      <c r="V114" s="53">
        <f t="shared" si="24"/>
        <v>2.6291738728327387</v>
      </c>
      <c r="W114" s="53">
        <f t="shared" si="24"/>
        <v>2.6689227105017315</v>
      </c>
      <c r="X114" s="102">
        <f t="shared" si="24"/>
        <v>2.8443429258109498</v>
      </c>
      <c r="Y114" s="102">
        <f t="shared" si="24"/>
        <v>2.6525329609307131</v>
      </c>
      <c r="Z114" s="102">
        <f t="shared" si="24"/>
        <v>2.1726982106270243</v>
      </c>
      <c r="AA114" s="53">
        <v>2.0503210936201035</v>
      </c>
      <c r="AB114" s="53">
        <v>1.979302524588987</v>
      </c>
      <c r="AC114" s="53">
        <v>2.1416548374529842</v>
      </c>
      <c r="AD114" s="53">
        <v>2.2880872757627362</v>
      </c>
    </row>
    <row r="115" spans="2:30" ht="14.25" customHeight="1" x14ac:dyDescent="0.45">
      <c r="B115" s="5" t="s">
        <v>143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98"/>
      <c r="Y115" s="98"/>
      <c r="Z115" s="98"/>
      <c r="AA115" s="4"/>
      <c r="AB115" s="4">
        <v>0</v>
      </c>
      <c r="AC115" s="4">
        <v>0</v>
      </c>
      <c r="AD115" s="4">
        <v>0</v>
      </c>
    </row>
    <row r="116" spans="2:30" ht="14.25" customHeight="1" x14ac:dyDescent="0.45">
      <c r="B116" s="55" t="s">
        <v>153</v>
      </c>
      <c r="C116" s="54">
        <f t="shared" ref="C116:Z116" si="25">C27/C100*1000</f>
        <v>498.36100161982074</v>
      </c>
      <c r="D116" s="54">
        <f t="shared" si="25"/>
        <v>604.43169677951573</v>
      </c>
      <c r="E116" s="54">
        <f t="shared" si="25"/>
        <v>651.55802179041052</v>
      </c>
      <c r="F116" s="54">
        <f t="shared" si="25"/>
        <v>657.06142630237071</v>
      </c>
      <c r="G116" s="54">
        <f t="shared" si="25"/>
        <v>622.02243883130666</v>
      </c>
      <c r="H116" s="54">
        <f t="shared" si="25"/>
        <v>739.44669003169929</v>
      </c>
      <c r="I116" s="54">
        <f t="shared" si="25"/>
        <v>669.19657859784343</v>
      </c>
      <c r="J116" s="54">
        <f t="shared" si="25"/>
        <v>841.63218224980653</v>
      </c>
      <c r="K116" s="54">
        <f t="shared" si="25"/>
        <v>992.4322851239823</v>
      </c>
      <c r="L116" s="54">
        <f t="shared" si="25"/>
        <v>1174.7571002945203</v>
      </c>
      <c r="M116" s="54">
        <f t="shared" si="25"/>
        <v>1460.8419963083243</v>
      </c>
      <c r="N116" s="54">
        <f t="shared" si="25"/>
        <v>1115.3561114091517</v>
      </c>
      <c r="O116" s="54">
        <f t="shared" si="25"/>
        <v>1634.5445991697825</v>
      </c>
      <c r="P116" s="54">
        <f t="shared" si="25"/>
        <v>1671.4420147828778</v>
      </c>
      <c r="Q116" s="54">
        <f t="shared" si="25"/>
        <v>1641.4108562058352</v>
      </c>
      <c r="R116" s="54">
        <f t="shared" si="25"/>
        <v>1632.759245301105</v>
      </c>
      <c r="S116" s="54">
        <f t="shared" si="25"/>
        <v>1644.8670494798987</v>
      </c>
      <c r="T116" s="54">
        <f t="shared" si="25"/>
        <v>1727.0621847277894</v>
      </c>
      <c r="U116" s="54">
        <f t="shared" si="25"/>
        <v>1679.1225030292576</v>
      </c>
      <c r="V116" s="54">
        <f t="shared" si="25"/>
        <v>1739.1761766804334</v>
      </c>
      <c r="W116" s="54">
        <f t="shared" si="25"/>
        <v>1744.9412228437736</v>
      </c>
      <c r="X116" s="103">
        <f t="shared" si="25"/>
        <v>1721.7482682091745</v>
      </c>
      <c r="Y116" s="103">
        <f t="shared" si="25"/>
        <v>1555.3255637554735</v>
      </c>
      <c r="Z116" s="103">
        <f t="shared" si="25"/>
        <v>1297.5225869519502</v>
      </c>
      <c r="AA116" s="54">
        <v>1268.9026474362256</v>
      </c>
      <c r="AB116" s="54">
        <v>1279.8475314794732</v>
      </c>
      <c r="AC116" s="54">
        <v>1337.4795556798656</v>
      </c>
      <c r="AD116" s="54">
        <v>1164.3688491943897</v>
      </c>
    </row>
    <row r="117" spans="2:30" ht="14.25" customHeight="1" x14ac:dyDescent="0.45">
      <c r="B117" s="55" t="s">
        <v>154</v>
      </c>
      <c r="C117" s="54">
        <f t="shared" ref="C117:Z117" si="26">C28/C101*1000</f>
        <v>202.01191249060557</v>
      </c>
      <c r="D117" s="54">
        <f t="shared" si="26"/>
        <v>292.65910697237194</v>
      </c>
      <c r="E117" s="54">
        <f t="shared" si="26"/>
        <v>285.16521449644921</v>
      </c>
      <c r="F117" s="54">
        <f t="shared" si="26"/>
        <v>334.15099696260603</v>
      </c>
      <c r="G117" s="54">
        <f t="shared" si="26"/>
        <v>327.20240489060245</v>
      </c>
      <c r="H117" s="54">
        <f t="shared" si="26"/>
        <v>385.6423191513843</v>
      </c>
      <c r="I117" s="54">
        <f t="shared" si="26"/>
        <v>334.26384688795082</v>
      </c>
      <c r="J117" s="54">
        <f t="shared" si="26"/>
        <v>404.0072601334362</v>
      </c>
      <c r="K117" s="54">
        <f t="shared" si="26"/>
        <v>428.31447221210516</v>
      </c>
      <c r="L117" s="54">
        <f t="shared" si="26"/>
        <v>453.45953234172146</v>
      </c>
      <c r="M117" s="54">
        <f t="shared" si="26"/>
        <v>513.348481338993</v>
      </c>
      <c r="N117" s="54">
        <f t="shared" si="26"/>
        <v>451.01140551225882</v>
      </c>
      <c r="O117" s="54">
        <f t="shared" si="26"/>
        <v>553.17190527330865</v>
      </c>
      <c r="P117" s="54">
        <f t="shared" si="26"/>
        <v>739.95714651108847</v>
      </c>
      <c r="Q117" s="54">
        <f t="shared" si="26"/>
        <v>944.5779203583453</v>
      </c>
      <c r="R117" s="54">
        <f t="shared" si="26"/>
        <v>1160.0492016778403</v>
      </c>
      <c r="S117" s="54">
        <f t="shared" si="26"/>
        <v>837.25348901464167</v>
      </c>
      <c r="T117" s="54">
        <f t="shared" si="26"/>
        <v>1126.0404874410135</v>
      </c>
      <c r="U117" s="54">
        <f t="shared" si="26"/>
        <v>1113.2373377501124</v>
      </c>
      <c r="V117" s="54">
        <f t="shared" si="26"/>
        <v>1127.6389944210991</v>
      </c>
      <c r="W117" s="54">
        <f t="shared" si="26"/>
        <v>1096.6553342295742</v>
      </c>
      <c r="X117" s="103">
        <f t="shared" si="26"/>
        <v>1115.6172079436542</v>
      </c>
      <c r="Y117" s="103">
        <f t="shared" si="26"/>
        <v>1042.9418177790694</v>
      </c>
      <c r="Z117" s="103">
        <f t="shared" si="26"/>
        <v>901.84198198201273</v>
      </c>
      <c r="AA117" s="54">
        <v>755.27957374663322</v>
      </c>
      <c r="AB117" s="54">
        <v>683.71886292416627</v>
      </c>
      <c r="AC117" s="54">
        <v>837.86361463990841</v>
      </c>
      <c r="AD117" s="54">
        <v>633.45205868848871</v>
      </c>
    </row>
    <row r="118" spans="2:30" ht="14.25" customHeight="1" x14ac:dyDescent="0.45">
      <c r="B118" s="55" t="s">
        <v>155</v>
      </c>
      <c r="C118" s="54">
        <f t="shared" ref="C118:Z118" si="27">C29/C102*1000</f>
        <v>59.612219877713066</v>
      </c>
      <c r="D118" s="54">
        <f t="shared" si="27"/>
        <v>81.116682790507681</v>
      </c>
      <c r="E118" s="54">
        <f t="shared" si="27"/>
        <v>42.817492930441738</v>
      </c>
      <c r="F118" s="54">
        <f t="shared" si="27"/>
        <v>96.286516151768168</v>
      </c>
      <c r="G118" s="54">
        <f t="shared" si="27"/>
        <v>94.311385111526917</v>
      </c>
      <c r="H118" s="54">
        <f t="shared" si="27"/>
        <v>105.7724206168815</v>
      </c>
      <c r="I118" s="54">
        <f t="shared" si="27"/>
        <v>85.312100998294994</v>
      </c>
      <c r="J118" s="54">
        <f t="shared" si="27"/>
        <v>106.97117229773521</v>
      </c>
      <c r="K118" s="54">
        <f t="shared" si="27"/>
        <v>103.36694096604552</v>
      </c>
      <c r="L118" s="54">
        <f t="shared" si="27"/>
        <v>114.1779567734181</v>
      </c>
      <c r="M118" s="54">
        <f t="shared" si="27"/>
        <v>160.54622159379593</v>
      </c>
      <c r="N118" s="54">
        <f t="shared" si="27"/>
        <v>121.52420144861861</v>
      </c>
      <c r="O118" s="54">
        <f t="shared" si="27"/>
        <v>165.97553952901293</v>
      </c>
      <c r="P118" s="54">
        <f t="shared" si="27"/>
        <v>173.72878544300866</v>
      </c>
      <c r="Q118" s="54">
        <f t="shared" si="27"/>
        <v>172.43013667123031</v>
      </c>
      <c r="R118" s="54">
        <f t="shared" si="27"/>
        <v>202.59385335677013</v>
      </c>
      <c r="S118" s="54">
        <f t="shared" si="27"/>
        <v>178.10034554464403</v>
      </c>
      <c r="T118" s="54">
        <f t="shared" si="27"/>
        <v>356.15524536819777</v>
      </c>
      <c r="U118" s="54">
        <f t="shared" si="27"/>
        <v>363.45245000471556</v>
      </c>
      <c r="V118" s="54">
        <f t="shared" si="27"/>
        <v>360.882722091782</v>
      </c>
      <c r="W118" s="54">
        <f t="shared" si="27"/>
        <v>340.53111611181356</v>
      </c>
      <c r="X118" s="103">
        <f t="shared" si="27"/>
        <v>356.21082630598181</v>
      </c>
      <c r="Y118" s="103">
        <f t="shared" si="27"/>
        <v>329.947008359677</v>
      </c>
      <c r="Z118" s="103">
        <f t="shared" si="27"/>
        <v>288.97071877126314</v>
      </c>
      <c r="AA118" s="54">
        <v>278.29096708143931</v>
      </c>
      <c r="AB118" s="54">
        <v>256.21999962201477</v>
      </c>
      <c r="AC118" s="54">
        <v>288.90104291567354</v>
      </c>
      <c r="AD118" s="54">
        <v>239.92850878733822</v>
      </c>
    </row>
    <row r="119" spans="2:30" ht="14.25" customHeight="1" x14ac:dyDescent="0.45">
      <c r="B119" s="55" t="s">
        <v>156</v>
      </c>
      <c r="C119" s="54">
        <f t="shared" ref="C119:Z119" si="28">C30/C104*1000</f>
        <v>1294.6644541222406</v>
      </c>
      <c r="D119" s="54">
        <f t="shared" si="28"/>
        <v>1687.0478450164285</v>
      </c>
      <c r="E119" s="54">
        <f t="shared" si="28"/>
        <v>1667.1876772876908</v>
      </c>
      <c r="F119" s="54">
        <f t="shared" si="28"/>
        <v>1773.5100055634073</v>
      </c>
      <c r="G119" s="54">
        <f t="shared" si="28"/>
        <v>1740.9086429486547</v>
      </c>
      <c r="H119" s="54">
        <f t="shared" si="28"/>
        <v>1230.2539910474277</v>
      </c>
      <c r="I119" s="54">
        <f t="shared" si="28"/>
        <v>1599.7872538466095</v>
      </c>
      <c r="J119" s="54">
        <f t="shared" si="28"/>
        <v>2131.4470694145425</v>
      </c>
      <c r="K119" s="54">
        <f t="shared" si="28"/>
        <v>2636.1550896772223</v>
      </c>
      <c r="L119" s="54">
        <f t="shared" si="28"/>
        <v>4417.7662060932289</v>
      </c>
      <c r="M119" s="54">
        <f t="shared" si="28"/>
        <v>4473.0579911441391</v>
      </c>
      <c r="N119" s="54">
        <f t="shared" si="28"/>
        <v>3461.3661581048264</v>
      </c>
      <c r="O119" s="54">
        <f t="shared" si="28"/>
        <v>5022.0876185426496</v>
      </c>
      <c r="P119" s="54">
        <f t="shared" si="28"/>
        <v>5397.0357797680208</v>
      </c>
      <c r="Q119" s="54">
        <f t="shared" si="28"/>
        <v>6009.513859559429</v>
      </c>
      <c r="R119" s="54">
        <f t="shared" si="28"/>
        <v>6154.401833074412</v>
      </c>
      <c r="S119" s="54">
        <f t="shared" si="28"/>
        <v>5654.9675778511319</v>
      </c>
      <c r="T119" s="54">
        <f t="shared" si="28"/>
        <v>6774.3705189080802</v>
      </c>
      <c r="U119" s="54">
        <f t="shared" si="28"/>
        <v>6472.7404738295645</v>
      </c>
      <c r="V119" s="54">
        <f t="shared" si="28"/>
        <v>5565.7630328377345</v>
      </c>
      <c r="W119" s="54">
        <f t="shared" si="28"/>
        <v>5160.8028633516169</v>
      </c>
      <c r="X119" s="103">
        <f t="shared" si="28"/>
        <v>5927.7165897793984</v>
      </c>
      <c r="Y119" s="103">
        <f t="shared" si="28"/>
        <v>3947.0363741541232</v>
      </c>
      <c r="Z119" s="103">
        <f t="shared" si="28"/>
        <v>3692.9809591145145</v>
      </c>
      <c r="AA119" s="54">
        <v>3901.0362878015699</v>
      </c>
      <c r="AB119" s="54">
        <v>3475.2914022917498</v>
      </c>
      <c r="AC119" s="54">
        <v>3737.0759766626356</v>
      </c>
      <c r="AD119" s="54">
        <v>3625.306590900379</v>
      </c>
    </row>
    <row r="120" spans="2:30" ht="14.25" customHeight="1" x14ac:dyDescent="0.45">
      <c r="B120" s="5" t="s">
        <v>157</v>
      </c>
      <c r="C120" s="25">
        <f t="shared" ref="C120:Y120" si="29">(C32)/(C105)*1000</f>
        <v>0</v>
      </c>
      <c r="D120" s="25">
        <f t="shared" si="29"/>
        <v>242.88430875340342</v>
      </c>
      <c r="E120" s="25">
        <f t="shared" si="29"/>
        <v>179.54282516158366</v>
      </c>
      <c r="F120" s="25">
        <f t="shared" si="29"/>
        <v>228.34564932721995</v>
      </c>
      <c r="G120" s="25">
        <f t="shared" si="29"/>
        <v>223.44010909274812</v>
      </c>
      <c r="H120" s="25">
        <f t="shared" si="29"/>
        <v>241.45652614827424</v>
      </c>
      <c r="I120" s="25">
        <f t="shared" si="29"/>
        <v>219.5983379501385</v>
      </c>
      <c r="J120" s="25">
        <f t="shared" si="29"/>
        <v>191.84090460678004</v>
      </c>
      <c r="K120" s="25">
        <f t="shared" si="29"/>
        <v>209.11373507057544</v>
      </c>
      <c r="L120" s="25">
        <f t="shared" si="29"/>
        <v>239.83824632827717</v>
      </c>
      <c r="M120" s="25">
        <f t="shared" si="29"/>
        <v>156.17928101907501</v>
      </c>
      <c r="N120" s="25">
        <f t="shared" si="29"/>
        <v>198.50657488045178</v>
      </c>
      <c r="O120" s="25">
        <f t="shared" si="29"/>
        <v>186.31840796019898</v>
      </c>
      <c r="P120" s="25">
        <f t="shared" si="29"/>
        <v>448.68703915777633</v>
      </c>
      <c r="Q120" s="25">
        <f t="shared" si="29"/>
        <v>293.95628132020045</v>
      </c>
      <c r="R120" s="25">
        <f t="shared" si="29"/>
        <v>191.73965603758953</v>
      </c>
      <c r="S120" s="25">
        <f t="shared" si="29"/>
        <v>272.56707370016335</v>
      </c>
      <c r="T120" s="25">
        <f t="shared" si="29"/>
        <v>232.79039883337114</v>
      </c>
      <c r="U120" s="25">
        <f t="shared" si="29"/>
        <v>165.64272486399952</v>
      </c>
      <c r="V120" s="25">
        <f t="shared" si="29"/>
        <v>286.17091579245812</v>
      </c>
      <c r="W120" s="25">
        <f t="shared" si="29"/>
        <v>218.40251720183488</v>
      </c>
      <c r="X120" s="104">
        <f t="shared" si="29"/>
        <v>230.71024357617293</v>
      </c>
      <c r="Y120" s="104">
        <f t="shared" si="29"/>
        <v>202.58315640481246</v>
      </c>
      <c r="Z120" s="104">
        <f>(Z32)/(Z105)*1000</f>
        <v>177.24017627616601</v>
      </c>
      <c r="AA120" s="25">
        <v>161.01707766731585</v>
      </c>
      <c r="AB120" s="25">
        <v>150.84591810381568</v>
      </c>
      <c r="AC120" s="25">
        <v>170.17598180355071</v>
      </c>
      <c r="AD120" s="25">
        <v>147.14545844044557</v>
      </c>
    </row>
    <row r="121" spans="2:30" ht="14.25" customHeight="1" x14ac:dyDescent="0.45">
      <c r="B121" s="5" t="s">
        <v>158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35.000489910907639</v>
      </c>
      <c r="K121" s="25">
        <v>30.059231310017896</v>
      </c>
      <c r="L121" s="25">
        <v>0</v>
      </c>
      <c r="M121" s="25">
        <v>0</v>
      </c>
      <c r="N121" s="25">
        <v>32.529860610462769</v>
      </c>
      <c r="O121" s="25">
        <v>79.635605181493034</v>
      </c>
      <c r="P121" s="25">
        <v>81.134539562910803</v>
      </c>
      <c r="Q121" s="25">
        <v>75.96984019865981</v>
      </c>
      <c r="R121" s="25">
        <v>75.32710694907847</v>
      </c>
      <c r="S121" s="25">
        <v>78.016772973035529</v>
      </c>
      <c r="T121" s="25">
        <v>76.893772713149971</v>
      </c>
      <c r="U121" s="25">
        <v>67.535893457576606</v>
      </c>
      <c r="V121" s="25">
        <v>71.453142565727475</v>
      </c>
      <c r="W121" s="25">
        <v>67.826277482944676</v>
      </c>
      <c r="X121" s="104">
        <v>70.927271554849682</v>
      </c>
      <c r="Y121" s="104">
        <v>49.487776593051194</v>
      </c>
      <c r="Z121" s="104">
        <v>39.806798307855935</v>
      </c>
      <c r="AA121" s="25">
        <v>40.290439826046274</v>
      </c>
      <c r="AB121" s="25">
        <v>44.51084910061433</v>
      </c>
      <c r="AC121" s="25">
        <v>43.523965956891935</v>
      </c>
      <c r="AD121" s="25">
        <v>41.245897316878114</v>
      </c>
    </row>
    <row r="122" spans="2:30" ht="14.25" customHeight="1" x14ac:dyDescent="0.45">
      <c r="B122" s="5" t="s">
        <v>159</v>
      </c>
      <c r="C122" s="25">
        <v>17.7</v>
      </c>
      <c r="D122" s="25">
        <v>18.25</v>
      </c>
      <c r="E122" s="25">
        <v>21.49</v>
      </c>
      <c r="F122" s="25">
        <v>21.34</v>
      </c>
      <c r="G122" s="25">
        <v>22.75</v>
      </c>
      <c r="H122" s="25">
        <v>24.252280173674752</v>
      </c>
      <c r="I122" s="25">
        <v>22.53</v>
      </c>
      <c r="J122" s="25">
        <v>24.01</v>
      </c>
      <c r="K122" s="25">
        <v>24.21</v>
      </c>
      <c r="L122" s="25">
        <v>28.79</v>
      </c>
      <c r="M122" s="25">
        <v>31.553207990189691</v>
      </c>
      <c r="N122" s="25">
        <v>27.244265210836751</v>
      </c>
      <c r="O122" s="25">
        <v>40.65241110080251</v>
      </c>
      <c r="P122" s="25">
        <v>47.357998443166153</v>
      </c>
      <c r="Q122" s="25">
        <v>51.379665470624069</v>
      </c>
      <c r="R122" s="25">
        <v>56.049556746606868</v>
      </c>
      <c r="S122" s="25">
        <v>48.978428711167808</v>
      </c>
      <c r="T122" s="25">
        <v>55.948488964735333</v>
      </c>
      <c r="U122" s="25">
        <v>56.336507380630664</v>
      </c>
      <c r="V122" s="25">
        <v>60.947399060421809</v>
      </c>
      <c r="W122" s="25">
        <v>63.960629589386855</v>
      </c>
      <c r="X122" s="104">
        <v>59.434313284312033</v>
      </c>
      <c r="Y122" s="104">
        <v>62.643552713342274</v>
      </c>
      <c r="Z122" s="104">
        <v>56.962600931948245</v>
      </c>
      <c r="AA122" s="25">
        <v>53.737982128660896</v>
      </c>
      <c r="AB122" s="25">
        <v>53.139771223122942</v>
      </c>
      <c r="AC122" s="25">
        <v>56.342376924378577</v>
      </c>
      <c r="AD122" s="25">
        <v>46.00891857946435</v>
      </c>
    </row>
    <row r="123" spans="2:30" ht="14.25" customHeight="1" x14ac:dyDescent="0.45">
      <c r="B123" s="5" t="s">
        <v>160</v>
      </c>
      <c r="C123" s="25">
        <v>40.4</v>
      </c>
      <c r="D123" s="25">
        <v>43.29</v>
      </c>
      <c r="E123" s="25">
        <v>43.38</v>
      </c>
      <c r="F123" s="25">
        <v>44.58</v>
      </c>
      <c r="G123" s="25">
        <v>53.71</v>
      </c>
      <c r="H123" s="25">
        <v>51.852513644613161</v>
      </c>
      <c r="I123" s="25">
        <v>48.83</v>
      </c>
      <c r="J123" s="25">
        <v>56.34</v>
      </c>
      <c r="K123" s="25">
        <v>56.66</v>
      </c>
      <c r="L123" s="25">
        <v>60.92</v>
      </c>
      <c r="M123" s="25">
        <v>65.153858324096632</v>
      </c>
      <c r="N123" s="25">
        <v>59.905702754116454</v>
      </c>
      <c r="O123" s="25">
        <v>69.547798746469212</v>
      </c>
      <c r="P123" s="25">
        <v>68.935779856460854</v>
      </c>
      <c r="Q123" s="25">
        <v>70.038893988766574</v>
      </c>
      <c r="R123" s="25">
        <v>79.744424698156024</v>
      </c>
      <c r="S123" s="25">
        <v>72.204645178648022</v>
      </c>
      <c r="T123" s="25">
        <v>89.853546289331732</v>
      </c>
      <c r="U123" s="25">
        <v>87.411268977595768</v>
      </c>
      <c r="V123" s="25">
        <v>92.694311679001302</v>
      </c>
      <c r="W123" s="25">
        <v>101.85067259475129</v>
      </c>
      <c r="X123" s="104">
        <v>93.137571477236961</v>
      </c>
      <c r="Y123" s="104">
        <v>96.279998884019534</v>
      </c>
      <c r="Z123" s="104">
        <v>98.14101690021586</v>
      </c>
      <c r="AA123" s="25">
        <v>105.43910562764448</v>
      </c>
      <c r="AB123" s="25">
        <v>111.6904974313465</v>
      </c>
      <c r="AC123" s="25">
        <v>103.24309882999296</v>
      </c>
      <c r="AD123" s="25">
        <v>105.77065458568863</v>
      </c>
    </row>
    <row r="124" spans="2:30" ht="14.25" customHeight="1" x14ac:dyDescent="0.45">
      <c r="B124" s="5" t="s">
        <v>161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26.191495203016089</v>
      </c>
      <c r="I124" s="25">
        <v>26.191495203016089</v>
      </c>
      <c r="J124" s="25">
        <v>25.874247767700801</v>
      </c>
      <c r="K124" s="25">
        <v>24.2994449288386</v>
      </c>
      <c r="L124" s="25">
        <v>0</v>
      </c>
      <c r="M124" s="25">
        <v>0</v>
      </c>
      <c r="N124" s="25">
        <v>25.2014380437566</v>
      </c>
      <c r="O124" s="25">
        <v>74.595553617784105</v>
      </c>
      <c r="P124" s="25">
        <v>71.583523233301406</v>
      </c>
      <c r="Q124" s="25">
        <v>69.801821380760629</v>
      </c>
      <c r="R124" s="25">
        <v>70.90295586925906</v>
      </c>
      <c r="S124" s="25">
        <v>71.18068939275939</v>
      </c>
      <c r="T124" s="25">
        <v>73.491447670292033</v>
      </c>
      <c r="U124" s="25">
        <v>63.004222204230722</v>
      </c>
      <c r="V124" s="25">
        <v>62.418455368994472</v>
      </c>
      <c r="W124" s="25">
        <v>62.699027736817655</v>
      </c>
      <c r="X124" s="104">
        <v>65.495831968748689</v>
      </c>
      <c r="Y124" s="104">
        <v>37.393369136243713</v>
      </c>
      <c r="Z124" s="104">
        <v>32.009604705610975</v>
      </c>
      <c r="AA124" s="108">
        <v>34.741187869768353</v>
      </c>
      <c r="AB124" s="108">
        <v>37.761373247089466</v>
      </c>
      <c r="AC124" s="108">
        <v>34.333097924370435</v>
      </c>
      <c r="AD124" s="108">
        <v>34.869719835175367</v>
      </c>
    </row>
    <row r="125" spans="2:30" ht="14.25" customHeight="1" thickBot="1" x14ac:dyDescent="0.5">
      <c r="B125" s="21"/>
      <c r="C125" s="21"/>
      <c r="D125" s="44"/>
      <c r="E125" s="44"/>
      <c r="F125" s="44"/>
      <c r="G125" s="44"/>
      <c r="H125" s="44"/>
      <c r="I125" s="44"/>
      <c r="J125" s="44"/>
      <c r="K125" s="44"/>
      <c r="L125" s="90"/>
      <c r="P125" s="23"/>
      <c r="Q125" s="23"/>
      <c r="R125" s="23"/>
      <c r="S125" s="23"/>
      <c r="T125" s="23"/>
      <c r="AA125" s="23"/>
      <c r="AB125" s="23"/>
      <c r="AC125" s="23"/>
      <c r="AD125" s="23"/>
    </row>
    <row r="126" spans="2:30" ht="14.25" customHeight="1" thickBot="1" x14ac:dyDescent="0.5">
      <c r="B126" s="9" t="s">
        <v>162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91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</row>
    <row r="127" spans="2:30" ht="14.25" customHeight="1" x14ac:dyDescent="0.45">
      <c r="B127" s="5" t="s">
        <v>3</v>
      </c>
      <c r="C127" s="4">
        <v>78219</v>
      </c>
      <c r="D127" s="4">
        <v>212614.28200000001</v>
      </c>
      <c r="E127" s="4">
        <v>79381.493748251407</v>
      </c>
      <c r="F127" s="4">
        <v>86661.878251748567</v>
      </c>
      <c r="G127" s="4">
        <v>129484.73352735231</v>
      </c>
      <c r="H127" s="4">
        <v>184994</v>
      </c>
      <c r="I127" s="4">
        <v>480522</v>
      </c>
      <c r="J127" s="4">
        <v>170730.84004923279</v>
      </c>
      <c r="K127" s="4">
        <v>244134.22607574097</v>
      </c>
      <c r="L127" s="4">
        <v>325091.18347835477</v>
      </c>
      <c r="M127" s="4">
        <v>420123</v>
      </c>
      <c r="N127" s="4">
        <v>1160080</v>
      </c>
      <c r="O127" s="4">
        <v>526202</v>
      </c>
      <c r="P127" s="4">
        <v>616978</v>
      </c>
      <c r="Q127" s="4">
        <v>852664</v>
      </c>
      <c r="R127" s="4">
        <v>625923</v>
      </c>
      <c r="S127" s="4">
        <v>2621767</v>
      </c>
      <c r="T127" s="4">
        <v>675996.87303999986</v>
      </c>
      <c r="U127" s="4">
        <v>707433.84663999965</v>
      </c>
      <c r="V127" s="4">
        <v>519503.09030712384</v>
      </c>
      <c r="W127" s="4">
        <v>489163.37452287646</v>
      </c>
      <c r="X127" s="4">
        <v>2392097.1845100001</v>
      </c>
      <c r="Y127" s="4">
        <v>377102</v>
      </c>
      <c r="Z127" s="4">
        <v>218761</v>
      </c>
      <c r="AA127" s="4">
        <v>174637</v>
      </c>
      <c r="AB127" s="4">
        <v>75692</v>
      </c>
      <c r="AC127" s="4">
        <v>846192</v>
      </c>
      <c r="AD127" s="4">
        <v>398900</v>
      </c>
    </row>
    <row r="128" spans="2:30" ht="14.25" customHeight="1" x14ac:dyDescent="0.45">
      <c r="B128" s="6" t="s">
        <v>163</v>
      </c>
      <c r="C128" s="63">
        <f t="shared" ref="C128:Z128" si="30">C127/C95</f>
        <v>0.56738460847379346</v>
      </c>
      <c r="D128" s="63">
        <f t="shared" si="30"/>
        <v>0.8244090981353166</v>
      </c>
      <c r="E128" s="63">
        <f t="shared" si="30"/>
        <v>0.76706024188385258</v>
      </c>
      <c r="F128" s="63">
        <f t="shared" si="30"/>
        <v>0.81660814883090238</v>
      </c>
      <c r="G128" s="63">
        <f t="shared" si="30"/>
        <v>0.88048792274799648</v>
      </c>
      <c r="H128" s="63">
        <f t="shared" si="30"/>
        <v>1.1570405516318245</v>
      </c>
      <c r="I128" s="63">
        <f t="shared" si="30"/>
        <v>0.93023851878228225</v>
      </c>
      <c r="J128" s="63">
        <f t="shared" si="30"/>
        <v>0.64858017350664254</v>
      </c>
      <c r="K128" s="63">
        <f t="shared" si="30"/>
        <v>0.99199124704367703</v>
      </c>
      <c r="L128" s="63">
        <f t="shared" si="30"/>
        <v>1.1149829959224913</v>
      </c>
      <c r="M128" s="63">
        <f t="shared" si="30"/>
        <v>1.3660867516121677</v>
      </c>
      <c r="N128" s="63">
        <f t="shared" si="30"/>
        <v>1.0465816978879432</v>
      </c>
      <c r="O128" s="63">
        <f t="shared" si="30"/>
        <v>1.6570726398901239</v>
      </c>
      <c r="P128" s="63">
        <f t="shared" si="30"/>
        <v>1.8984461089148916</v>
      </c>
      <c r="Q128" s="63">
        <f t="shared" si="30"/>
        <v>2.1005332480635697</v>
      </c>
      <c r="R128" s="63">
        <f t="shared" si="30"/>
        <v>1.7039575094619932</v>
      </c>
      <c r="S128" s="63">
        <f t="shared" si="30"/>
        <v>1.8517886996017991</v>
      </c>
      <c r="T128" s="63">
        <f t="shared" si="30"/>
        <v>2.203439193241902</v>
      </c>
      <c r="U128" s="63">
        <f t="shared" si="30"/>
        <v>2.0049843210103671</v>
      </c>
      <c r="V128" s="63">
        <f t="shared" si="30"/>
        <v>1.4322851634375398</v>
      </c>
      <c r="W128" s="63">
        <f t="shared" si="30"/>
        <v>1.1274223493494286</v>
      </c>
      <c r="X128" s="63">
        <f t="shared" si="30"/>
        <v>1.6426799417809292</v>
      </c>
      <c r="Y128" s="63">
        <f t="shared" si="30"/>
        <v>0.95700179237541805</v>
      </c>
      <c r="Z128" s="63">
        <f t="shared" si="30"/>
        <v>0.46035551782652234</v>
      </c>
      <c r="AA128" s="63">
        <v>0.29208430004781488</v>
      </c>
      <c r="AB128" s="63">
        <v>0.12566021375271852</v>
      </c>
      <c r="AC128" s="63">
        <v>0.40887598469531916</v>
      </c>
      <c r="AD128" s="63">
        <v>0.75598925585689225</v>
      </c>
    </row>
    <row r="129" spans="2:30" ht="14.25" customHeight="1" x14ac:dyDescent="0.45">
      <c r="B129" s="6" t="s">
        <v>164</v>
      </c>
      <c r="C129" s="6">
        <v>4069.7959999999994</v>
      </c>
      <c r="D129" s="6">
        <v>29779.165999999997</v>
      </c>
      <c r="E129" s="6">
        <v>2469</v>
      </c>
      <c r="F129" s="6">
        <v>-96.783000000000001</v>
      </c>
      <c r="G129" s="6">
        <v>5685.1770000000006</v>
      </c>
      <c r="H129" s="6">
        <v>1484</v>
      </c>
      <c r="I129" s="6">
        <f>SUM(E129:H129)</f>
        <v>9541.3940000000002</v>
      </c>
      <c r="J129" s="6">
        <v>5541</v>
      </c>
      <c r="K129" s="6">
        <v>-5205</v>
      </c>
      <c r="L129" s="6">
        <v>0</v>
      </c>
      <c r="M129" s="6">
        <v>0</v>
      </c>
      <c r="N129" s="6">
        <f>SUM(J129:M129)</f>
        <v>336</v>
      </c>
      <c r="O129" s="6">
        <v>4328</v>
      </c>
      <c r="P129" s="6">
        <v>2700</v>
      </c>
      <c r="Q129" s="6">
        <v>4251</v>
      </c>
      <c r="R129" s="6">
        <v>38085</v>
      </c>
      <c r="S129" s="6">
        <v>49364</v>
      </c>
      <c r="T129" s="6">
        <v>9112</v>
      </c>
      <c r="U129" s="6">
        <v>7314</v>
      </c>
      <c r="V129" s="6">
        <v>-5249</v>
      </c>
      <c r="W129" s="6">
        <v>6137</v>
      </c>
      <c r="X129" s="6">
        <v>17314</v>
      </c>
      <c r="Y129" s="6">
        <v>6564</v>
      </c>
      <c r="Z129" s="6">
        <v>6612</v>
      </c>
      <c r="AA129" s="6">
        <v>776</v>
      </c>
      <c r="AB129" s="6">
        <v>6135</v>
      </c>
      <c r="AC129" s="6">
        <v>20087</v>
      </c>
      <c r="AD129" s="6">
        <v>3166</v>
      </c>
    </row>
    <row r="130" spans="2:30" ht="14.25" customHeight="1" x14ac:dyDescent="0.45">
      <c r="B130" s="5" t="s">
        <v>165</v>
      </c>
      <c r="C130" s="5">
        <f>C127-C129</f>
        <v>74149.203999999998</v>
      </c>
      <c r="D130" s="5">
        <f t="shared" ref="D130:Q130" si="31">D127-D129</f>
        <v>182835.11600000001</v>
      </c>
      <c r="E130" s="5">
        <f t="shared" si="31"/>
        <v>76912.493748251407</v>
      </c>
      <c r="F130" s="5">
        <f t="shared" si="31"/>
        <v>86758.661251748563</v>
      </c>
      <c r="G130" s="5">
        <f t="shared" si="31"/>
        <v>123799.55652735231</v>
      </c>
      <c r="H130" s="5">
        <f t="shared" si="31"/>
        <v>183510</v>
      </c>
      <c r="I130" s="5">
        <f t="shared" si="31"/>
        <v>470980.60600000003</v>
      </c>
      <c r="J130" s="5">
        <f t="shared" si="31"/>
        <v>165189.84004923279</v>
      </c>
      <c r="K130" s="5">
        <f t="shared" si="31"/>
        <v>249339.22607574097</v>
      </c>
      <c r="L130" s="5">
        <f t="shared" si="31"/>
        <v>325091.18347835477</v>
      </c>
      <c r="M130" s="5">
        <f>M127-M129</f>
        <v>420123</v>
      </c>
      <c r="N130" s="5">
        <f t="shared" si="31"/>
        <v>1159744</v>
      </c>
      <c r="O130" s="5">
        <f t="shared" si="31"/>
        <v>521874</v>
      </c>
      <c r="P130" s="5">
        <f t="shared" si="31"/>
        <v>614278</v>
      </c>
      <c r="Q130" s="5">
        <f t="shared" si="31"/>
        <v>848413</v>
      </c>
      <c r="R130" s="5">
        <f>R127-R129</f>
        <v>587838</v>
      </c>
      <c r="S130" s="5">
        <f t="shared" ref="S130" si="32">S127-S129</f>
        <v>2572403</v>
      </c>
      <c r="T130" s="5">
        <f>T127-T129</f>
        <v>666884.87303999986</v>
      </c>
      <c r="U130" s="5">
        <f>U127-U129</f>
        <v>700119.84663999965</v>
      </c>
      <c r="V130" s="5">
        <f>V127-V129</f>
        <v>524752.09030712384</v>
      </c>
      <c r="W130" s="5">
        <f t="shared" ref="W130:Z130" si="33">W127-W129</f>
        <v>483026.37452287646</v>
      </c>
      <c r="X130" s="5">
        <f t="shared" si="33"/>
        <v>2374783.1845100001</v>
      </c>
      <c r="Y130" s="5">
        <f t="shared" si="33"/>
        <v>370538</v>
      </c>
      <c r="Z130" s="5">
        <f t="shared" si="33"/>
        <v>212149</v>
      </c>
      <c r="AA130" s="5">
        <v>173861</v>
      </c>
      <c r="AB130" s="5">
        <v>69557</v>
      </c>
      <c r="AC130" s="5">
        <v>826105</v>
      </c>
      <c r="AD130" s="5">
        <v>395734</v>
      </c>
    </row>
    <row r="131" spans="2:30" ht="14.15" customHeight="1" x14ac:dyDescent="0.45">
      <c r="B131" s="6" t="s">
        <v>166</v>
      </c>
      <c r="C131" s="63">
        <f>C130/C95</f>
        <v>0.53786314169426153</v>
      </c>
      <c r="D131" s="63">
        <f>D130/D95</f>
        <v>0.70894077138724854</v>
      </c>
      <c r="E131" s="63">
        <v>0.71589730234942039</v>
      </c>
      <c r="F131" s="63">
        <v>0.80310804280142212</v>
      </c>
      <c r="G131" s="63">
        <v>0.84709900321904574</v>
      </c>
      <c r="H131" s="63">
        <v>1.1355415125608865</v>
      </c>
      <c r="I131" s="63">
        <v>0.90161869614610157</v>
      </c>
      <c r="J131" s="63">
        <v>0.56602318107484784</v>
      </c>
      <c r="K131" s="63">
        <v>0.92562945788413276</v>
      </c>
      <c r="L131" s="63">
        <v>1.1204536572036057</v>
      </c>
      <c r="M131" s="63">
        <v>1.4042805049744971</v>
      </c>
      <c r="N131" s="63">
        <v>1.0214946261341549</v>
      </c>
      <c r="O131" s="63">
        <v>1.590299272666859</v>
      </c>
      <c r="P131" s="63">
        <v>1.7706851218676172</v>
      </c>
      <c r="Q131" s="63">
        <v>2.1496010968412458</v>
      </c>
      <c r="R131" s="63">
        <v>1.6038466370604156</v>
      </c>
      <c r="S131" s="63">
        <v>1.7963832852256196</v>
      </c>
      <c r="T131" s="63">
        <v>2.0738431949098306</v>
      </c>
      <c r="U131" s="63">
        <v>1.7750517284660521</v>
      </c>
      <c r="V131" s="63">
        <v>1.2551468706230924</v>
      </c>
      <c r="W131" s="63">
        <v>1.2781003909648359</v>
      </c>
      <c r="X131" s="63">
        <v>1.5610505458272546</v>
      </c>
      <c r="Y131" s="63">
        <v>0.78134366350469353</v>
      </c>
      <c r="Z131" s="63">
        <v>0.27729573945204145</v>
      </c>
      <c r="AA131" s="63">
        <v>0.29078642264018018</v>
      </c>
      <c r="AB131" s="63">
        <v>0.11547518215924855</v>
      </c>
      <c r="AC131" s="63">
        <v>0.3991700410033735</v>
      </c>
      <c r="AD131" s="63">
        <v>0.74998910046946954</v>
      </c>
    </row>
    <row r="132" spans="2:30" ht="14.25" customHeight="1" x14ac:dyDescent="0.45">
      <c r="M132" s="92"/>
      <c r="N132" s="92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>
        <v>0</v>
      </c>
      <c r="AC132" s="93">
        <v>0</v>
      </c>
      <c r="AD132" s="93">
        <v>0</v>
      </c>
    </row>
    <row r="133" spans="2:30" s="12" customFormat="1" ht="14.25" customHeight="1" x14ac:dyDescent="0.45">
      <c r="B133" s="5" t="s">
        <v>167</v>
      </c>
      <c r="C133" s="26">
        <f t="shared" ref="C133:Z133" si="34">C112</f>
        <v>1.6969936327626918</v>
      </c>
      <c r="D133" s="26">
        <f t="shared" si="34"/>
        <v>1.7702241520129975</v>
      </c>
      <c r="E133" s="26">
        <f t="shared" si="34"/>
        <v>1.7637354539928811</v>
      </c>
      <c r="F133" s="26">
        <f t="shared" si="34"/>
        <v>1.7660319094513468</v>
      </c>
      <c r="G133" s="26">
        <f t="shared" si="34"/>
        <v>1.8513370212936004</v>
      </c>
      <c r="H133" s="26">
        <f t="shared" si="34"/>
        <v>2.0769952958670181</v>
      </c>
      <c r="I133" s="26">
        <f t="shared" si="34"/>
        <v>1.8860308071067002</v>
      </c>
      <c r="J133" s="26">
        <f t="shared" si="34"/>
        <v>1.4406743674999238</v>
      </c>
      <c r="K133" s="26">
        <f t="shared" si="34"/>
        <v>1.6493717471789364</v>
      </c>
      <c r="L133" s="26">
        <f t="shared" si="34"/>
        <v>2.0458672336970287</v>
      </c>
      <c r="M133" s="26">
        <f t="shared" si="34"/>
        <v>2.4105532505182983</v>
      </c>
      <c r="N133" s="26">
        <f t="shared" si="34"/>
        <v>1.9152892544387556</v>
      </c>
      <c r="O133" s="26">
        <f t="shared" si="34"/>
        <v>2.7829204200817572</v>
      </c>
      <c r="P133" s="26">
        <f t="shared" si="34"/>
        <v>3.2317535830748105</v>
      </c>
      <c r="Q133" s="26">
        <f t="shared" si="34"/>
        <v>3.731369205429345</v>
      </c>
      <c r="R133" s="26">
        <f t="shared" si="34"/>
        <v>3.2949962517034592</v>
      </c>
      <c r="S133" s="26">
        <f t="shared" si="34"/>
        <v>3.2907429708933575</v>
      </c>
      <c r="T133" s="26">
        <f t="shared" si="34"/>
        <v>3.6558321872160886</v>
      </c>
      <c r="U133" s="26">
        <f t="shared" si="34"/>
        <v>2.846128114158438</v>
      </c>
      <c r="V133" s="26">
        <f t="shared" si="34"/>
        <v>2.7308814854379002</v>
      </c>
      <c r="W133" s="26">
        <f t="shared" si="34"/>
        <v>2.8446866578112102</v>
      </c>
      <c r="X133" s="26">
        <f t="shared" si="34"/>
        <v>2.9875796765917086</v>
      </c>
      <c r="Y133" s="26">
        <f t="shared" si="34"/>
        <v>2.8348039500104201</v>
      </c>
      <c r="Z133" s="26">
        <f t="shared" si="34"/>
        <v>2.3122405493249376</v>
      </c>
      <c r="AA133" s="26">
        <v>2.1455636246307392</v>
      </c>
      <c r="AB133" s="26">
        <v>2.0674651246671609</v>
      </c>
      <c r="AC133" s="26">
        <v>2.292276499766785</v>
      </c>
      <c r="AD133" s="26">
        <v>2.4192641683567571</v>
      </c>
    </row>
    <row r="134" spans="2:30" ht="14.25" customHeight="1" x14ac:dyDescent="0.45">
      <c r="B134" s="55" t="s">
        <v>169</v>
      </c>
      <c r="C134" s="64">
        <f>C122</f>
        <v>17.7</v>
      </c>
      <c r="D134" s="64">
        <f t="shared" ref="D134:O134" si="35">D122</f>
        <v>18.25</v>
      </c>
      <c r="E134" s="64">
        <f t="shared" si="35"/>
        <v>21.49</v>
      </c>
      <c r="F134" s="64">
        <f t="shared" si="35"/>
        <v>21.34</v>
      </c>
      <c r="G134" s="64">
        <f t="shared" si="35"/>
        <v>22.75</v>
      </c>
      <c r="H134" s="64">
        <f t="shared" si="35"/>
        <v>24.252280173674752</v>
      </c>
      <c r="I134" s="64">
        <f t="shared" si="35"/>
        <v>22.53</v>
      </c>
      <c r="J134" s="64">
        <f t="shared" si="35"/>
        <v>24.01</v>
      </c>
      <c r="K134" s="64">
        <f t="shared" si="35"/>
        <v>24.21</v>
      </c>
      <c r="L134" s="64">
        <f t="shared" si="35"/>
        <v>28.79</v>
      </c>
      <c r="M134" s="64">
        <f t="shared" si="35"/>
        <v>31.553207990189691</v>
      </c>
      <c r="N134" s="64">
        <f t="shared" si="35"/>
        <v>27.244265210836751</v>
      </c>
      <c r="O134" s="64">
        <f t="shared" si="35"/>
        <v>40.65241110080251</v>
      </c>
      <c r="P134" s="64">
        <f>P122</f>
        <v>47.357998443166153</v>
      </c>
      <c r="Q134" s="64">
        <f t="shared" ref="Q134" si="36">Q122</f>
        <v>51.379665470624069</v>
      </c>
      <c r="R134" s="64">
        <f>R122</f>
        <v>56.049556746606868</v>
      </c>
      <c r="S134" s="64">
        <f t="shared" ref="S134" si="37">S122</f>
        <v>48.978428711167808</v>
      </c>
      <c r="T134" s="64">
        <f>T122</f>
        <v>55.948488964735333</v>
      </c>
      <c r="U134" s="64">
        <f>U122</f>
        <v>56.336507380630664</v>
      </c>
      <c r="V134" s="64">
        <f>V122</f>
        <v>60.947399060421809</v>
      </c>
      <c r="W134" s="64">
        <f t="shared" ref="W134:Z134" si="38">W122</f>
        <v>63.960629589386855</v>
      </c>
      <c r="X134" s="64">
        <f t="shared" si="38"/>
        <v>59.434313284312033</v>
      </c>
      <c r="Y134" s="64">
        <f t="shared" si="38"/>
        <v>62.643552713342274</v>
      </c>
      <c r="Z134" s="64">
        <f t="shared" si="38"/>
        <v>56.962600931948245</v>
      </c>
      <c r="AA134" s="64">
        <v>53.737982128660896</v>
      </c>
      <c r="AB134" s="64">
        <v>53.139771223122942</v>
      </c>
      <c r="AC134" s="64">
        <v>56.342376924378577</v>
      </c>
      <c r="AD134" s="64">
        <v>46.00891857946435</v>
      </c>
    </row>
    <row r="135" spans="2:30" ht="14.25" customHeight="1" x14ac:dyDescent="0.45">
      <c r="B135" s="55" t="s">
        <v>168</v>
      </c>
      <c r="C135" s="51">
        <f t="shared" ref="C135:Z135" si="39">C51</f>
        <v>0.29880917345442698</v>
      </c>
      <c r="D135" s="51">
        <f t="shared" si="39"/>
        <v>0.39670058210410303</v>
      </c>
      <c r="E135" s="51">
        <f t="shared" si="39"/>
        <v>0.38119202506687239</v>
      </c>
      <c r="F135" s="51">
        <f t="shared" si="39"/>
        <v>0.41903682278525795</v>
      </c>
      <c r="G135" s="51">
        <f t="shared" si="39"/>
        <v>0.33194846803955474</v>
      </c>
      <c r="H135" s="51">
        <f t="shared" si="39"/>
        <v>0.33837092923496587</v>
      </c>
      <c r="I135" s="51">
        <f t="shared" si="39"/>
        <v>0.36091619872288322</v>
      </c>
      <c r="J135" s="51">
        <f t="shared" si="39"/>
        <v>0.44318740570458376</v>
      </c>
      <c r="K135" s="51">
        <f t="shared" si="39"/>
        <v>0.59283555397184606</v>
      </c>
      <c r="L135" s="51">
        <f t="shared" si="39"/>
        <v>0.52515504021305248</v>
      </c>
      <c r="M135" s="51">
        <f t="shared" si="39"/>
        <v>0.50580028861077841</v>
      </c>
      <c r="N135" s="51">
        <f t="shared" si="39"/>
        <v>0.51493947468360535</v>
      </c>
      <c r="O135" s="51">
        <f t="shared" si="39"/>
        <v>0.56272760578465164</v>
      </c>
      <c r="P135" s="51">
        <f t="shared" si="39"/>
        <v>0.51304588110771798</v>
      </c>
      <c r="Q135" s="51">
        <f t="shared" si="39"/>
        <v>0.38356810692927179</v>
      </c>
      <c r="R135" s="51">
        <f t="shared" si="39"/>
        <v>0.46039051001601722</v>
      </c>
      <c r="S135" s="51">
        <f t="shared" si="39"/>
        <v>0.46977172985730764</v>
      </c>
      <c r="T135" s="51">
        <f t="shared" si="39"/>
        <v>0.52175027391121231</v>
      </c>
      <c r="U135" s="51">
        <f t="shared" si="39"/>
        <v>0.53924307394392734</v>
      </c>
      <c r="V135" s="51">
        <f t="shared" si="39"/>
        <v>0.46802506855812454</v>
      </c>
      <c r="W135" s="51">
        <f t="shared" si="39"/>
        <v>0.33788088237615083</v>
      </c>
      <c r="X135" s="51">
        <f t="shared" si="39"/>
        <v>0.45355660098937334</v>
      </c>
      <c r="Y135" s="51">
        <f t="shared" si="39"/>
        <v>0.43042341215298641</v>
      </c>
      <c r="Z135" s="51">
        <f t="shared" si="39"/>
        <v>0.3800502977812506</v>
      </c>
      <c r="AA135" s="51">
        <v>0.31898635716660267</v>
      </c>
      <c r="AB135" s="51">
        <v>0.31862741719846183</v>
      </c>
      <c r="AC135" s="51">
        <v>0.35796540024095141</v>
      </c>
      <c r="AD135" s="51">
        <v>0.40196197029467484</v>
      </c>
    </row>
    <row r="136" spans="2:30" ht="14.25" customHeight="1" x14ac:dyDescent="0.45">
      <c r="B136" s="55" t="s">
        <v>120</v>
      </c>
      <c r="C136" s="64">
        <f t="shared" ref="C136:Z136" si="40">C12</f>
        <v>346.51289749729762</v>
      </c>
      <c r="D136" s="64">
        <f t="shared" si="40"/>
        <v>412.71817597187169</v>
      </c>
      <c r="E136" s="64">
        <f t="shared" si="40"/>
        <v>415.58264532217009</v>
      </c>
      <c r="F136" s="64">
        <f t="shared" si="40"/>
        <v>415.08445190156601</v>
      </c>
      <c r="G136" s="64">
        <f t="shared" si="40"/>
        <v>417.12576289705765</v>
      </c>
      <c r="H136" s="64">
        <f t="shared" si="40"/>
        <v>419.4370714414049</v>
      </c>
      <c r="I136" s="64">
        <f t="shared" si="40"/>
        <v>416.97074249359918</v>
      </c>
      <c r="J136" s="64">
        <f t="shared" si="40"/>
        <v>424.31193538476521</v>
      </c>
      <c r="K136" s="64">
        <f t="shared" si="40"/>
        <v>427.29246873389093</v>
      </c>
      <c r="L136" s="64">
        <f t="shared" si="40"/>
        <v>424.72558476408665</v>
      </c>
      <c r="M136" s="64">
        <f t="shared" si="40"/>
        <v>417.72880881164673</v>
      </c>
      <c r="N136" s="64">
        <f t="shared" si="40"/>
        <v>423.46308299180231</v>
      </c>
      <c r="O136" s="64">
        <f t="shared" si="40"/>
        <v>422.224931168701</v>
      </c>
      <c r="P136" s="64">
        <f t="shared" si="40"/>
        <v>430.43128100133163</v>
      </c>
      <c r="Q136" s="64">
        <f t="shared" si="40"/>
        <v>425.73011216116225</v>
      </c>
      <c r="R136" s="64">
        <f t="shared" si="40"/>
        <v>426.17853740771045</v>
      </c>
      <c r="S136" s="64">
        <f t="shared" si="40"/>
        <v>426.2078556489181</v>
      </c>
      <c r="T136" s="64">
        <f t="shared" si="40"/>
        <v>431.7930776732058</v>
      </c>
      <c r="U136" s="64">
        <f t="shared" si="40"/>
        <v>437.95599206692748</v>
      </c>
      <c r="V136" s="64">
        <f t="shared" si="40"/>
        <v>432.80625812267033</v>
      </c>
      <c r="W136" s="64">
        <f t="shared" si="40"/>
        <v>429.75628846131258</v>
      </c>
      <c r="X136" s="64">
        <f t="shared" si="40"/>
        <v>433.12822022784059</v>
      </c>
      <c r="Y136" s="64">
        <f t="shared" si="40"/>
        <v>424.01267938408671</v>
      </c>
      <c r="Z136" s="64">
        <f t="shared" si="40"/>
        <v>435.38841544129747</v>
      </c>
      <c r="AA136" s="64">
        <v>433.09709361631803</v>
      </c>
      <c r="AB136" s="64">
        <v>436.89027655227386</v>
      </c>
      <c r="AC136" s="64">
        <v>432.68585279610971</v>
      </c>
      <c r="AD136" s="64">
        <v>433.96607495371228</v>
      </c>
    </row>
    <row r="137" spans="2:30" ht="14.25" customHeight="1" x14ac:dyDescent="0.45">
      <c r="B137" s="55" t="s">
        <v>353</v>
      </c>
      <c r="C137" s="63">
        <f>(C134*16.67)*(1-C135)/C136</f>
        <v>0.59707060136577961</v>
      </c>
      <c r="D137" s="63">
        <f t="shared" ref="D137:O137" si="41">(D134*16.67)*(1-D135)/D136</f>
        <v>0.44471090527021756</v>
      </c>
      <c r="E137" s="63">
        <f t="shared" si="41"/>
        <v>0.53342149741270795</v>
      </c>
      <c r="F137" s="63">
        <f t="shared" si="41"/>
        <v>0.49790003358736451</v>
      </c>
      <c r="G137" s="63">
        <f t="shared" si="41"/>
        <v>0.6073792502047739</v>
      </c>
      <c r="H137" s="63">
        <f t="shared" si="41"/>
        <v>0.63772867217829288</v>
      </c>
      <c r="I137" s="63">
        <f t="shared" si="41"/>
        <v>0.57563742035622045</v>
      </c>
      <c r="J137" s="63">
        <f t="shared" si="41"/>
        <v>0.52523246413770586</v>
      </c>
      <c r="K137" s="63">
        <f t="shared" si="41"/>
        <v>0.38456964296623741</v>
      </c>
      <c r="L137" s="63">
        <f t="shared" si="41"/>
        <v>0.53656294165951934</v>
      </c>
      <c r="M137" s="63">
        <f t="shared" si="41"/>
        <v>0.62228191553996104</v>
      </c>
      <c r="N137" s="63">
        <f t="shared" si="41"/>
        <v>0.52022482987820595</v>
      </c>
      <c r="O137" s="63">
        <f t="shared" si="41"/>
        <v>0.70182703797584456</v>
      </c>
      <c r="P137" s="63">
        <f>(P134*16.67)*(1-P135)/P136</f>
        <v>0.89312687285861858</v>
      </c>
      <c r="Q137" s="63">
        <f t="shared" ref="Q137" si="42">(Q134*16.67)*(1-Q135)/Q136</f>
        <v>1.2401596676462712</v>
      </c>
      <c r="R137" s="63">
        <f>(R134*16.67)*(1-R135)/R136</f>
        <v>1.1830300781301735</v>
      </c>
      <c r="S137" s="63">
        <f t="shared" ref="S137" si="43">(S134*16.67)*(1-S135)/S136</f>
        <v>1.0157384139790897</v>
      </c>
      <c r="T137" s="63">
        <f>(T134*16.67)*(1-T135)/T136</f>
        <v>1.0330064088639528</v>
      </c>
      <c r="U137" s="63">
        <f>(U134*16.67)*(1-U135)/U136</f>
        <v>0.98802269036581536</v>
      </c>
      <c r="V137" s="63">
        <f>(V134*16.67)*(1-V135)/V136</f>
        <v>1.2487871237921779</v>
      </c>
      <c r="W137" s="63">
        <f t="shared" ref="W137:Z137" si="44">(W134*16.67)*(1-W135)/W136</f>
        <v>1.6427149788070763</v>
      </c>
      <c r="X137" s="63">
        <f t="shared" si="44"/>
        <v>1.2499756480689863</v>
      </c>
      <c r="Y137" s="63">
        <f t="shared" si="44"/>
        <v>1.4027661121329351</v>
      </c>
      <c r="Z137" s="63">
        <f t="shared" si="44"/>
        <v>1.3520881210961737</v>
      </c>
      <c r="AA137" s="63">
        <v>1.4085993944264841</v>
      </c>
      <c r="AB137" s="63">
        <v>1.3815530164006959</v>
      </c>
      <c r="AC137" s="63">
        <v>1.3936589304299756</v>
      </c>
      <c r="AD137" s="63">
        <v>1.0569407618508051</v>
      </c>
    </row>
    <row r="138" spans="2:30" ht="14.25" customHeight="1" x14ac:dyDescent="0.45">
      <c r="B138" s="5" t="s">
        <v>170</v>
      </c>
      <c r="C138" s="26">
        <f>C133-C137</f>
        <v>1.0999230313969122</v>
      </c>
      <c r="D138" s="26">
        <f t="shared" ref="D138:O138" si="45">D133-D137</f>
        <v>1.3255132467427799</v>
      </c>
      <c r="E138" s="26">
        <f t="shared" si="45"/>
        <v>1.2303139565801731</v>
      </c>
      <c r="F138" s="26">
        <f t="shared" si="45"/>
        <v>1.2681318758639823</v>
      </c>
      <c r="G138" s="26">
        <f t="shared" si="45"/>
        <v>1.2439577710888265</v>
      </c>
      <c r="H138" s="26">
        <f t="shared" si="45"/>
        <v>1.4392666236887253</v>
      </c>
      <c r="I138" s="26">
        <f t="shared" si="45"/>
        <v>1.3103933867504798</v>
      </c>
      <c r="J138" s="26">
        <f t="shared" si="45"/>
        <v>0.91544190336221798</v>
      </c>
      <c r="K138" s="26">
        <f t="shared" si="45"/>
        <v>1.2648021042126989</v>
      </c>
      <c r="L138" s="26">
        <f t="shared" si="45"/>
        <v>1.5093042920375095</v>
      </c>
      <c r="M138" s="26">
        <f t="shared" si="45"/>
        <v>1.7882713349783372</v>
      </c>
      <c r="N138" s="26">
        <f t="shared" si="45"/>
        <v>1.3950644245605497</v>
      </c>
      <c r="O138" s="26">
        <f t="shared" si="45"/>
        <v>2.0810933821059128</v>
      </c>
      <c r="P138" s="26">
        <f>P133-P137</f>
        <v>2.3386267102161922</v>
      </c>
      <c r="Q138" s="26">
        <f t="shared" ref="Q138" si="46">Q133-Q137</f>
        <v>2.4912095377830736</v>
      </c>
      <c r="R138" s="26">
        <f>R133-R137</f>
        <v>2.1119661735732858</v>
      </c>
      <c r="S138" s="26">
        <f t="shared" ref="S138" si="47">S133-S137</f>
        <v>2.2750045569142676</v>
      </c>
      <c r="T138" s="26">
        <f>T133-T137</f>
        <v>2.6228257783521358</v>
      </c>
      <c r="U138" s="26">
        <f>U133-U137</f>
        <v>1.8581054237926227</v>
      </c>
      <c r="V138" s="26">
        <f>V133-V137</f>
        <v>1.4820943616457223</v>
      </c>
      <c r="W138" s="26">
        <f t="shared" ref="W138:Z138" si="48">W133-W137</f>
        <v>1.2019716790041339</v>
      </c>
      <c r="X138" s="26">
        <f t="shared" si="48"/>
        <v>1.7376040285227223</v>
      </c>
      <c r="Y138" s="26">
        <f t="shared" si="48"/>
        <v>1.432037837877485</v>
      </c>
      <c r="Z138" s="26">
        <f t="shared" si="48"/>
        <v>0.9601524282287639</v>
      </c>
      <c r="AA138" s="26">
        <v>0.73696423020425517</v>
      </c>
      <c r="AB138" s="26">
        <v>0.68591210826646498</v>
      </c>
      <c r="AC138" s="26">
        <v>0.89861756933680947</v>
      </c>
      <c r="AD138" s="26">
        <v>1.362323406505952</v>
      </c>
    </row>
    <row r="139" spans="2:30" ht="14.25" customHeight="1" x14ac:dyDescent="0.45">
      <c r="B139" s="5" t="s">
        <v>319</v>
      </c>
      <c r="C139" s="26">
        <f t="shared" ref="C139:Q139" si="49">C128-C138</f>
        <v>-0.5325384229231187</v>
      </c>
      <c r="D139" s="26">
        <f t="shared" si="49"/>
        <v>-0.50110414860746333</v>
      </c>
      <c r="E139" s="26">
        <f t="shared" si="49"/>
        <v>-0.46325371469632048</v>
      </c>
      <c r="F139" s="26">
        <f t="shared" si="49"/>
        <v>-0.45152372703307997</v>
      </c>
      <c r="G139" s="26">
        <f t="shared" si="49"/>
        <v>-0.36346984834083007</v>
      </c>
      <c r="H139" s="26">
        <f t="shared" si="49"/>
        <v>-0.28222607205690076</v>
      </c>
      <c r="I139" s="26">
        <f>I128-I138</f>
        <v>-0.38015486796819753</v>
      </c>
      <c r="J139" s="26">
        <f t="shared" si="49"/>
        <v>-0.26686172985557544</v>
      </c>
      <c r="K139" s="26">
        <f t="shared" si="49"/>
        <v>-0.27281085716902187</v>
      </c>
      <c r="L139" s="26">
        <f t="shared" si="49"/>
        <v>-0.3943212961150182</v>
      </c>
      <c r="M139" s="26">
        <f t="shared" si="49"/>
        <v>-0.42218458336616949</v>
      </c>
      <c r="N139" s="26">
        <f t="shared" si="49"/>
        <v>-0.34848272667260649</v>
      </c>
      <c r="O139" s="26">
        <f t="shared" si="49"/>
        <v>-0.42402074221578889</v>
      </c>
      <c r="P139" s="26">
        <f t="shared" si="49"/>
        <v>-0.44018060130130054</v>
      </c>
      <c r="Q139" s="26">
        <f t="shared" si="49"/>
        <v>-0.39067628971950397</v>
      </c>
      <c r="R139" s="26">
        <f>R128-R138</f>
        <v>-0.40800866411129255</v>
      </c>
      <c r="S139" s="26">
        <f t="shared" ref="S139" si="50">S128-S138</f>
        <v>-0.42321585731246847</v>
      </c>
      <c r="T139" s="26">
        <f>T128-T138</f>
        <v>-0.41938658511023386</v>
      </c>
      <c r="U139" s="26">
        <f>U128-U138</f>
        <v>0.14687889721774439</v>
      </c>
      <c r="V139" s="26">
        <f>V128-V138</f>
        <v>-4.9809198208182526E-2</v>
      </c>
      <c r="W139" s="26">
        <f t="shared" ref="W139:Z139" si="51">W128-W138</f>
        <v>-7.4549329654705287E-2</v>
      </c>
      <c r="X139" s="26">
        <f t="shared" si="51"/>
        <v>-9.492408674179309E-2</v>
      </c>
      <c r="Y139" s="26">
        <f t="shared" si="51"/>
        <v>-0.47503604550206691</v>
      </c>
      <c r="Z139" s="26">
        <f t="shared" si="51"/>
        <v>-0.49979691040224156</v>
      </c>
      <c r="AA139" s="26">
        <v>-0.44487993015644028</v>
      </c>
      <c r="AB139" s="26">
        <v>-0.56025189451374646</v>
      </c>
      <c r="AC139" s="26">
        <v>-0.48974158464149031</v>
      </c>
      <c r="AD139" s="26">
        <v>-0.60633415064905971</v>
      </c>
    </row>
    <row r="140" spans="2:30" ht="14.25" customHeight="1" thickBot="1" x14ac:dyDescent="0.5">
      <c r="P140" s="23"/>
      <c r="Q140" s="23"/>
      <c r="R140" s="23"/>
      <c r="S140" s="23"/>
      <c r="V140" s="93"/>
      <c r="W140" s="93"/>
      <c r="X140" s="93"/>
      <c r="Y140" s="93"/>
      <c r="Z140" s="93"/>
    </row>
    <row r="141" spans="2:30" ht="14.25" customHeight="1" thickBot="1" x14ac:dyDescent="0.5">
      <c r="B141" s="9" t="s">
        <v>218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91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</row>
    <row r="142" spans="2:30" ht="14.25" customHeight="1" x14ac:dyDescent="0.45">
      <c r="B142" s="5" t="s">
        <v>223</v>
      </c>
      <c r="C142" s="67">
        <f>SUM(C143:C144)</f>
        <v>1.9081838818919628</v>
      </c>
      <c r="D142" s="67">
        <f t="shared" ref="D142:Y142" si="52">SUM(D143:D144)</f>
        <v>2.110983645481106</v>
      </c>
      <c r="E142" s="67">
        <f t="shared" si="52"/>
        <v>2.0814901221341851</v>
      </c>
      <c r="F142" s="67">
        <f t="shared" si="52"/>
        <v>2.114688979504721</v>
      </c>
      <c r="G142" s="67">
        <f t="shared" si="52"/>
        <v>2.2162182978656135</v>
      </c>
      <c r="H142" s="67">
        <f t="shared" si="52"/>
        <v>2.4410624921607034</v>
      </c>
      <c r="I142" s="67">
        <f t="shared" si="52"/>
        <v>2.2358225252219626</v>
      </c>
      <c r="J142" s="67">
        <f t="shared" si="52"/>
        <v>1.8693504504305998</v>
      </c>
      <c r="K142" s="67">
        <f t="shared" si="52"/>
        <v>2.1718611695909473</v>
      </c>
      <c r="L142" s="67">
        <f t="shared" si="52"/>
        <v>2.6738145471965193</v>
      </c>
      <c r="M142" s="67">
        <f t="shared" si="52"/>
        <v>3.0953937183867839</v>
      </c>
      <c r="N142" s="67">
        <f t="shared" si="52"/>
        <v>2.4841650700911089</v>
      </c>
      <c r="O142" s="67">
        <f t="shared" si="52"/>
        <v>3.6359815455398694</v>
      </c>
      <c r="P142" s="67">
        <f t="shared" si="52"/>
        <v>4.1147759992623296</v>
      </c>
      <c r="Q142" s="67">
        <f t="shared" si="52"/>
        <v>4.578867848513795</v>
      </c>
      <c r="R142" s="67">
        <f t="shared" si="52"/>
        <v>4.2639193697347872</v>
      </c>
      <c r="S142" s="67">
        <f t="shared" si="52"/>
        <v>4.1790530635398921</v>
      </c>
      <c r="T142" s="67">
        <f t="shared" si="52"/>
        <v>4.727108623674539</v>
      </c>
      <c r="U142" s="67">
        <f t="shared" si="52"/>
        <v>3.9161084060048328</v>
      </c>
      <c r="V142" s="67">
        <f t="shared" si="52"/>
        <v>3.6994811188141683</v>
      </c>
      <c r="W142" s="67">
        <f t="shared" si="52"/>
        <v>3.8307904417124186</v>
      </c>
      <c r="X142" s="67">
        <f t="shared" si="52"/>
        <v>4.0098157691201646</v>
      </c>
      <c r="Y142" s="67">
        <f t="shared" si="52"/>
        <v>3.6657304066736267</v>
      </c>
      <c r="Z142" s="67">
        <f>SUM(Z143:Z144)</f>
        <v>3.0585778142367133</v>
      </c>
      <c r="AA142" s="67">
        <v>2.8474882878739805</v>
      </c>
      <c r="AB142" s="67">
        <v>2.7175539236486594</v>
      </c>
      <c r="AC142" s="67">
        <v>3.0190300627398914</v>
      </c>
      <c r="AD142" s="67">
        <v>3.0704429497678043</v>
      </c>
    </row>
    <row r="143" spans="2:30" ht="14.25" customHeight="1" x14ac:dyDescent="0.45">
      <c r="B143" s="55" t="s">
        <v>224</v>
      </c>
      <c r="C143" s="63">
        <f t="shared" ref="C143:Z143" si="53">C23/C95</f>
        <v>1.6969936327626918</v>
      </c>
      <c r="D143" s="63">
        <f t="shared" si="53"/>
        <v>1.7702241520129975</v>
      </c>
      <c r="E143" s="63">
        <f t="shared" si="53"/>
        <v>1.7637354539928811</v>
      </c>
      <c r="F143" s="63">
        <f t="shared" si="53"/>
        <v>1.7660319094513468</v>
      </c>
      <c r="G143" s="63">
        <f t="shared" si="53"/>
        <v>1.8513370212936004</v>
      </c>
      <c r="H143" s="63">
        <f t="shared" si="53"/>
        <v>2.0769952958670181</v>
      </c>
      <c r="I143" s="63">
        <f t="shared" si="53"/>
        <v>1.8860308071067002</v>
      </c>
      <c r="J143" s="63">
        <f t="shared" si="53"/>
        <v>1.4406743674999238</v>
      </c>
      <c r="K143" s="63">
        <f t="shared" si="53"/>
        <v>1.6493717471789364</v>
      </c>
      <c r="L143" s="63">
        <f t="shared" si="53"/>
        <v>2.0458672336970287</v>
      </c>
      <c r="M143" s="63">
        <f t="shared" si="53"/>
        <v>2.4105532505182983</v>
      </c>
      <c r="N143" s="63">
        <f t="shared" si="53"/>
        <v>1.9152892544387556</v>
      </c>
      <c r="O143" s="63">
        <f t="shared" si="53"/>
        <v>2.7829204200817572</v>
      </c>
      <c r="P143" s="63">
        <f t="shared" si="53"/>
        <v>3.2317535830748105</v>
      </c>
      <c r="Q143" s="63">
        <f t="shared" si="53"/>
        <v>3.731369205429345</v>
      </c>
      <c r="R143" s="63">
        <f t="shared" si="53"/>
        <v>3.2949962517034592</v>
      </c>
      <c r="S143" s="63">
        <f t="shared" si="53"/>
        <v>3.2907429708933575</v>
      </c>
      <c r="T143" s="63">
        <f t="shared" si="53"/>
        <v>3.6558321872160886</v>
      </c>
      <c r="U143" s="63">
        <f t="shared" si="53"/>
        <v>2.846128114158438</v>
      </c>
      <c r="V143" s="63">
        <f t="shared" si="53"/>
        <v>2.7308814854379002</v>
      </c>
      <c r="W143" s="63">
        <f t="shared" si="53"/>
        <v>2.8446866578112102</v>
      </c>
      <c r="X143" s="63">
        <f t="shared" si="53"/>
        <v>2.9875796765917086</v>
      </c>
      <c r="Y143" s="63">
        <f t="shared" si="53"/>
        <v>2.8348039500104201</v>
      </c>
      <c r="Z143" s="63">
        <f t="shared" si="53"/>
        <v>2.3122405493249376</v>
      </c>
      <c r="AA143" s="63">
        <v>2.1455636246307392</v>
      </c>
      <c r="AB143" s="63">
        <v>2.0674651246671609</v>
      </c>
      <c r="AC143" s="63">
        <v>2.292276499766785</v>
      </c>
      <c r="AD143" s="63">
        <v>2.4192641683567571</v>
      </c>
    </row>
    <row r="144" spans="2:30" ht="14.25" customHeight="1" x14ac:dyDescent="0.45">
      <c r="B144" s="55" t="s">
        <v>225</v>
      </c>
      <c r="C144" s="63">
        <f t="shared" ref="C144:Y144" si="54">(C26+C32+C33)/C11</f>
        <v>0.2111902491292709</v>
      </c>
      <c r="D144" s="63">
        <f t="shared" si="54"/>
        <v>0.3407594934681083</v>
      </c>
      <c r="E144" s="63">
        <f t="shared" si="54"/>
        <v>0.31775466814130393</v>
      </c>
      <c r="F144" s="63">
        <f t="shared" si="54"/>
        <v>0.34865707005337443</v>
      </c>
      <c r="G144" s="63">
        <f t="shared" si="54"/>
        <v>0.36488127657201308</v>
      </c>
      <c r="H144" s="63">
        <f t="shared" si="54"/>
        <v>0.36406719629368539</v>
      </c>
      <c r="I144" s="63">
        <f t="shared" si="54"/>
        <v>0.3497917181152625</v>
      </c>
      <c r="J144" s="63">
        <f t="shared" si="54"/>
        <v>0.42867608293067588</v>
      </c>
      <c r="K144" s="63">
        <f t="shared" si="54"/>
        <v>0.52248942241201102</v>
      </c>
      <c r="L144" s="63">
        <f t="shared" si="54"/>
        <v>0.6279473134994904</v>
      </c>
      <c r="M144" s="63">
        <f t="shared" si="54"/>
        <v>0.68484046786848574</v>
      </c>
      <c r="N144" s="63">
        <f t="shared" si="54"/>
        <v>0.56887581565235323</v>
      </c>
      <c r="O144" s="63">
        <f t="shared" si="54"/>
        <v>0.85306112545811197</v>
      </c>
      <c r="P144" s="63">
        <f t="shared" si="54"/>
        <v>0.88302241618751909</v>
      </c>
      <c r="Q144" s="63">
        <f t="shared" si="54"/>
        <v>0.84749864308445044</v>
      </c>
      <c r="R144" s="63">
        <f t="shared" si="54"/>
        <v>0.96892311803132802</v>
      </c>
      <c r="S144" s="63">
        <f t="shared" si="54"/>
        <v>0.88831009264653449</v>
      </c>
      <c r="T144" s="63">
        <f t="shared" si="54"/>
        <v>1.0712764364584502</v>
      </c>
      <c r="U144" s="63">
        <f t="shared" si="54"/>
        <v>1.0699802918463945</v>
      </c>
      <c r="V144" s="63">
        <f t="shared" si="54"/>
        <v>0.9685996333762682</v>
      </c>
      <c r="W144" s="63">
        <f t="shared" si="54"/>
        <v>0.98610378390120823</v>
      </c>
      <c r="X144" s="63">
        <f t="shared" si="54"/>
        <v>1.0222360925284562</v>
      </c>
      <c r="Y144" s="63">
        <f t="shared" si="54"/>
        <v>0.83092645666320664</v>
      </c>
      <c r="Z144" s="63">
        <f>(Z26+Z32+Z33)/Z11</f>
        <v>0.74633726491177588</v>
      </c>
      <c r="AA144" s="63">
        <v>0.70192466324324121</v>
      </c>
      <c r="AB144" s="63">
        <v>0.65008879898149863</v>
      </c>
      <c r="AC144" s="63">
        <v>0.72675356297310656</v>
      </c>
      <c r="AD144" s="63">
        <v>0.65117878141104735</v>
      </c>
    </row>
    <row r="145" spans="2:30" ht="14.25" customHeight="1" x14ac:dyDescent="0.45">
      <c r="B145" s="5" t="s">
        <v>226</v>
      </c>
      <c r="C145" s="67">
        <f>C142-C144</f>
        <v>1.6969936327626918</v>
      </c>
      <c r="D145" s="67">
        <f t="shared" ref="D145:Z145" si="55">D142-D144</f>
        <v>1.7702241520129975</v>
      </c>
      <c r="E145" s="67">
        <f t="shared" si="55"/>
        <v>1.7637354539928811</v>
      </c>
      <c r="F145" s="67">
        <f t="shared" si="55"/>
        <v>1.7660319094513466</v>
      </c>
      <c r="G145" s="67">
        <f t="shared" si="55"/>
        <v>1.8513370212936004</v>
      </c>
      <c r="H145" s="67">
        <f t="shared" si="55"/>
        <v>2.0769952958670181</v>
      </c>
      <c r="I145" s="67">
        <f t="shared" si="55"/>
        <v>1.8860308071067</v>
      </c>
      <c r="J145" s="67">
        <f t="shared" si="55"/>
        <v>1.4406743674999238</v>
      </c>
      <c r="K145" s="67">
        <f t="shared" si="55"/>
        <v>1.6493717471789364</v>
      </c>
      <c r="L145" s="67">
        <f t="shared" si="55"/>
        <v>2.0458672336970292</v>
      </c>
      <c r="M145" s="67">
        <f t="shared" si="55"/>
        <v>2.4105532505182983</v>
      </c>
      <c r="N145" s="67">
        <f t="shared" si="55"/>
        <v>1.9152892544387556</v>
      </c>
      <c r="O145" s="67">
        <f t="shared" si="55"/>
        <v>2.7829204200817577</v>
      </c>
      <c r="P145" s="67">
        <f>P142-P144</f>
        <v>3.2317535830748105</v>
      </c>
      <c r="Q145" s="67">
        <f t="shared" si="55"/>
        <v>3.7313692054293446</v>
      </c>
      <c r="R145" s="67">
        <f t="shared" si="55"/>
        <v>3.2949962517034592</v>
      </c>
      <c r="S145" s="67">
        <f t="shared" si="55"/>
        <v>3.2907429708933575</v>
      </c>
      <c r="T145" s="67">
        <f t="shared" si="55"/>
        <v>3.655832187216089</v>
      </c>
      <c r="U145" s="67">
        <f t="shared" si="55"/>
        <v>2.8461281141584385</v>
      </c>
      <c r="V145" s="67">
        <f t="shared" si="55"/>
        <v>2.7308814854379002</v>
      </c>
      <c r="W145" s="67">
        <f t="shared" si="55"/>
        <v>2.8446866578112102</v>
      </c>
      <c r="X145" s="67">
        <f t="shared" si="55"/>
        <v>2.9875796765917082</v>
      </c>
      <c r="Y145" s="67">
        <f t="shared" si="55"/>
        <v>2.8348039500104201</v>
      </c>
      <c r="Z145" s="67">
        <f t="shared" si="55"/>
        <v>2.3122405493249376</v>
      </c>
      <c r="AA145" s="67">
        <v>2.1455636246307392</v>
      </c>
      <c r="AB145" s="67">
        <v>2.0674651246671609</v>
      </c>
      <c r="AC145" s="67">
        <v>2.2922764997667846</v>
      </c>
      <c r="AD145" s="67">
        <v>2.4192641683567571</v>
      </c>
    </row>
    <row r="146" spans="2:30" ht="14.25" customHeight="1" x14ac:dyDescent="0.45">
      <c r="B146" s="6" t="s">
        <v>219</v>
      </c>
      <c r="C146" s="68">
        <f>C147+C148+C149</f>
        <v>-1.3817514368903752</v>
      </c>
      <c r="D146" s="68">
        <f t="shared" ref="D146:Y146" si="56">D147+D148+D149</f>
        <v>-1.2874586753146908</v>
      </c>
      <c r="E146" s="68">
        <f>E147+E148+E149</f>
        <v>-1.3676359897638899</v>
      </c>
      <c r="F146" s="68">
        <f t="shared" si="56"/>
        <v>-1.3265350671340699</v>
      </c>
      <c r="G146" s="68">
        <f t="shared" si="56"/>
        <v>-1.3155839858910137</v>
      </c>
      <c r="H146" s="68">
        <f t="shared" si="56"/>
        <v>-1.2948633344377805</v>
      </c>
      <c r="I146" s="68">
        <f t="shared" si="56"/>
        <v>-1.3224312942379908</v>
      </c>
      <c r="J146" s="68">
        <f t="shared" si="56"/>
        <v>-1.2801865103731667</v>
      </c>
      <c r="K146" s="68">
        <f t="shared" si="56"/>
        <v>-1.2953228472957186</v>
      </c>
      <c r="L146" s="68">
        <f t="shared" si="56"/>
        <v>-1.5498011992210738</v>
      </c>
      <c r="M146" s="68">
        <f>M147+M148+M149</f>
        <v>-1.6724059782929594</v>
      </c>
      <c r="N146" s="68">
        <f t="shared" si="56"/>
        <v>-1.4623679128030431</v>
      </c>
      <c r="O146" s="68">
        <f t="shared" si="56"/>
        <v>-2.0328141246824885</v>
      </c>
      <c r="P146" s="68">
        <f t="shared" si="56"/>
        <v>-2.3357829563763453</v>
      </c>
      <c r="Q146" s="68">
        <f t="shared" si="56"/>
        <v>-2.4176559465168816</v>
      </c>
      <c r="R146" s="68">
        <f t="shared" si="56"/>
        <v>-2.553247297019082</v>
      </c>
      <c r="S146" s="68">
        <f t="shared" si="56"/>
        <v>-2.3480416682682033</v>
      </c>
      <c r="T146" s="68">
        <f t="shared" si="56"/>
        <v>-2.6247892604885243</v>
      </c>
      <c r="U146" s="68">
        <f t="shared" si="56"/>
        <v>-2.1203275939735549</v>
      </c>
      <c r="V146" s="68">
        <f t="shared" si="56"/>
        <v>-2.4581079603489893</v>
      </c>
      <c r="W146" s="68">
        <f t="shared" si="56"/>
        <v>-2.5362233408878905</v>
      </c>
      <c r="X146" s="68">
        <f t="shared" si="56"/>
        <v>-2.4368675903508286</v>
      </c>
      <c r="Y146" s="68">
        <f t="shared" si="56"/>
        <v>-2.86988428294277</v>
      </c>
      <c r="Z146" s="68">
        <f>Z147+Z148+Z149</f>
        <v>-2.7686653437857802</v>
      </c>
      <c r="AA146" s="68">
        <v>-2.0572083398461838</v>
      </c>
      <c r="AB146" s="68">
        <v>-2.7840743504483352</v>
      </c>
      <c r="AC146" s="68">
        <v>-2.8426334072893762</v>
      </c>
      <c r="AD146" s="68">
        <v>-2.5877907445930322</v>
      </c>
    </row>
    <row r="147" spans="2:30" ht="14.25" customHeight="1" x14ac:dyDescent="0.45">
      <c r="B147" s="55" t="s">
        <v>227</v>
      </c>
      <c r="C147" s="63">
        <f t="shared" ref="C147:Y147" si="57">(C90-C74)/C95</f>
        <v>-1.2142055284242934</v>
      </c>
      <c r="D147" s="63">
        <f t="shared" si="57"/>
        <v>-1.2084482529982665</v>
      </c>
      <c r="E147" s="63">
        <f t="shared" si="57"/>
        <v>-1.3460541237921402</v>
      </c>
      <c r="F147" s="63">
        <f t="shared" si="57"/>
        <v>-1.2746103422885304</v>
      </c>
      <c r="G147" s="63">
        <f t="shared" si="57"/>
        <v>-1.2735703128539129</v>
      </c>
      <c r="H147" s="63">
        <f t="shared" si="57"/>
        <v>-1.2984897816756573</v>
      </c>
      <c r="I147" s="63">
        <f t="shared" si="57"/>
        <v>-1.2960168795930485</v>
      </c>
      <c r="J147" s="63">
        <f t="shared" si="57"/>
        <v>-1.3116465621731257</v>
      </c>
      <c r="K147" s="63">
        <f t="shared" si="57"/>
        <v>-1.3281924525003372</v>
      </c>
      <c r="L147" s="63">
        <f t="shared" si="57"/>
        <v>-1.5372091714684784</v>
      </c>
      <c r="M147" s="63">
        <f t="shared" si="57"/>
        <v>-1.6598486555057357</v>
      </c>
      <c r="N147" s="63">
        <f t="shared" si="57"/>
        <v>-1.4714621793821399</v>
      </c>
      <c r="O147" s="63">
        <f t="shared" si="57"/>
        <v>-2.0481144737454802</v>
      </c>
      <c r="P147" s="63">
        <f t="shared" si="57"/>
        <v>-2.3474953939732122</v>
      </c>
      <c r="Q147" s="63">
        <f t="shared" si="57"/>
        <v>-2.4293260321919634</v>
      </c>
      <c r="R147" s="63">
        <f t="shared" si="57"/>
        <v>-2.5842776420033271</v>
      </c>
      <c r="S147" s="63">
        <f t="shared" si="57"/>
        <v>-2.3652438033407006</v>
      </c>
      <c r="T147" s="63">
        <f t="shared" si="57"/>
        <v>-2.745061156147071</v>
      </c>
      <c r="U147" s="63">
        <f t="shared" si="57"/>
        <v>-2.7503503386589512</v>
      </c>
      <c r="V147" s="63">
        <f t="shared" si="57"/>
        <v>-2.8503215022696735</v>
      </c>
      <c r="W147" s="63">
        <f t="shared" si="57"/>
        <v>-3.0328134200265082</v>
      </c>
      <c r="X147" s="63">
        <f t="shared" si="57"/>
        <v>-2.8582959914463095</v>
      </c>
      <c r="Y147" s="63">
        <f t="shared" si="57"/>
        <v>-2.9281688643876751</v>
      </c>
      <c r="Z147" s="63">
        <f>(Z90-Z74)/Z95</f>
        <v>-2.8565501694991782</v>
      </c>
      <c r="AA147" s="63">
        <v>-2.7460242657415361</v>
      </c>
      <c r="AB147" s="63">
        <v>-2.6786018834641867</v>
      </c>
      <c r="AC147" s="63">
        <v>-2.7863833008021395</v>
      </c>
      <c r="AD147" s="63">
        <v>-2.5077617223589965</v>
      </c>
    </row>
    <row r="148" spans="2:30" ht="14.25" customHeight="1" x14ac:dyDescent="0.45">
      <c r="B148" s="55" t="s">
        <v>228</v>
      </c>
      <c r="C148" s="63">
        <v>-0.24821536513053741</v>
      </c>
      <c r="D148" s="63">
        <v>-0.14497810734040653</v>
      </c>
      <c r="E148" s="63">
        <v>-0.10632720637689627</v>
      </c>
      <c r="F148" s="63">
        <v>-0.13830350673592184</v>
      </c>
      <c r="G148" s="63">
        <v>-0.12252197252588826</v>
      </c>
      <c r="H148" s="63">
        <v>-7.0926814853755168E-2</v>
      </c>
      <c r="I148" s="63">
        <v>-0.10713442088543004</v>
      </c>
      <c r="J148" s="63">
        <v>-6.3278761653553978E-2</v>
      </c>
      <c r="K148" s="63">
        <v>-3.8365072114585008E-2</v>
      </c>
      <c r="L148" s="63">
        <v>-7.2982920713520763E-2</v>
      </c>
      <c r="M148" s="63">
        <v>-7.5395173785396077E-2</v>
      </c>
      <c r="N148" s="63">
        <v>-6.2540212558028579E-2</v>
      </c>
      <c r="O148" s="63">
        <v>-8.3396184980581683E-2</v>
      </c>
      <c r="P148" s="63">
        <v>-7.8425428444633086E-2</v>
      </c>
      <c r="Q148" s="63">
        <v>-7.5190274083830722E-2</v>
      </c>
      <c r="R148" s="63">
        <v>-6.1367636602387164E-2</v>
      </c>
      <c r="S148" s="63">
        <v>-7.4502042229604437E-2</v>
      </c>
      <c r="T148" s="63">
        <v>1.3150356292465798E-2</v>
      </c>
      <c r="U148" s="63">
        <v>0.53330119220652472</v>
      </c>
      <c r="V148" s="63">
        <v>0.28846073610349476</v>
      </c>
      <c r="W148" s="63">
        <v>0.39684330639484522</v>
      </c>
      <c r="X148" s="63">
        <v>0.31986312705787595</v>
      </c>
      <c r="Y148" s="63">
        <v>-6.3290291840139054E-2</v>
      </c>
      <c r="Z148" s="63">
        <v>-4.5448472312705948E-2</v>
      </c>
      <c r="AA148" s="63">
        <v>0.56634714329658342</v>
      </c>
      <c r="AB148" s="63">
        <v>-0.10547246698414864</v>
      </c>
      <c r="AC148" s="63">
        <v>-6.0487787965806353E-2</v>
      </c>
      <c r="AD148" s="63">
        <v>-9.7401951459580777E-2</v>
      </c>
    </row>
    <row r="149" spans="2:30" ht="14.25" customHeight="1" x14ac:dyDescent="0.45">
      <c r="B149" s="55" t="s">
        <v>229</v>
      </c>
      <c r="C149" s="63">
        <v>8.0669456664455658E-2</v>
      </c>
      <c r="D149" s="63">
        <v>6.5967685023982259E-2</v>
      </c>
      <c r="E149" s="63">
        <v>8.4745340405146655E-2</v>
      </c>
      <c r="F149" s="63">
        <v>8.6378781890382242E-2</v>
      </c>
      <c r="G149" s="63">
        <v>8.0508299488787308E-2</v>
      </c>
      <c r="H149" s="63">
        <v>7.4553262091632058E-2</v>
      </c>
      <c r="I149" s="63">
        <v>8.0720006240487779E-2</v>
      </c>
      <c r="J149" s="63">
        <v>9.4738813453512885E-2</v>
      </c>
      <c r="K149" s="63">
        <v>7.1234677319203632E-2</v>
      </c>
      <c r="L149" s="63">
        <v>6.0390892960925362E-2</v>
      </c>
      <c r="M149" s="63">
        <v>6.2837850998172309E-2</v>
      </c>
      <c r="N149" s="63">
        <v>7.1634479137125326E-2</v>
      </c>
      <c r="O149" s="63">
        <v>9.8696534043573328E-2</v>
      </c>
      <c r="P149" s="63">
        <v>9.0137866041500397E-2</v>
      </c>
      <c r="Q149" s="63">
        <v>8.6860359758912556E-2</v>
      </c>
      <c r="R149" s="63">
        <v>9.239798158663208E-2</v>
      </c>
      <c r="S149" s="63">
        <v>9.1704177302101814E-2</v>
      </c>
      <c r="T149" s="63">
        <v>0.10712153936608081</v>
      </c>
      <c r="U149" s="63">
        <v>9.6721552478871708E-2</v>
      </c>
      <c r="V149" s="63">
        <v>0.10375280581718963</v>
      </c>
      <c r="W149" s="63">
        <v>9.974677274377243E-2</v>
      </c>
      <c r="X149" s="63">
        <v>0.10156527403760486</v>
      </c>
      <c r="Y149" s="63">
        <v>0.12157487328504431</v>
      </c>
      <c r="Z149" s="63">
        <v>0.13333329802610361</v>
      </c>
      <c r="AA149" s="63">
        <v>0.12246878259876885</v>
      </c>
      <c r="AB149" s="63">
        <v>0</v>
      </c>
      <c r="AC149" s="63">
        <v>4.2376814785700431E-3</v>
      </c>
      <c r="AD149" s="63">
        <v>1.7372929225545557E-2</v>
      </c>
    </row>
    <row r="150" spans="2:30" ht="14.25" customHeight="1" x14ac:dyDescent="0.45">
      <c r="B150" s="6" t="s">
        <v>230</v>
      </c>
      <c r="C150" s="94">
        <f t="shared" ref="C150:W150" si="58">(C26+C31)/C11</f>
        <v>0.25211451728505224</v>
      </c>
      <c r="D150" s="94">
        <f t="shared" si="58"/>
        <v>0.3407594934681083</v>
      </c>
      <c r="E150" s="94">
        <f t="shared" si="58"/>
        <v>0.31775466814130393</v>
      </c>
      <c r="F150" s="94">
        <f t="shared" si="58"/>
        <v>0.34865707005337443</v>
      </c>
      <c r="G150" s="94">
        <f t="shared" si="58"/>
        <v>0.36488127657201308</v>
      </c>
      <c r="H150" s="94">
        <f t="shared" si="58"/>
        <v>0.36406719629368534</v>
      </c>
      <c r="I150" s="94">
        <f t="shared" si="58"/>
        <v>0.3497917181152625</v>
      </c>
      <c r="J150" s="94">
        <f t="shared" si="58"/>
        <v>0.42867608293067588</v>
      </c>
      <c r="K150" s="94">
        <f t="shared" si="58"/>
        <v>0.52248942241201102</v>
      </c>
      <c r="L150" s="94">
        <f t="shared" si="58"/>
        <v>0.6279473134994904</v>
      </c>
      <c r="M150" s="94">
        <f t="shared" si="58"/>
        <v>0.68484046786848574</v>
      </c>
      <c r="N150" s="94">
        <f t="shared" si="58"/>
        <v>0.56887581565235323</v>
      </c>
      <c r="O150" s="94">
        <f t="shared" si="58"/>
        <v>0.85306112545811197</v>
      </c>
      <c r="P150" s="94">
        <f t="shared" si="58"/>
        <v>0.88302241618751909</v>
      </c>
      <c r="Q150" s="94">
        <f t="shared" si="58"/>
        <v>0.84749864308445044</v>
      </c>
      <c r="R150" s="94">
        <f t="shared" si="58"/>
        <v>0.96892311803132802</v>
      </c>
      <c r="S150" s="94">
        <f t="shared" si="58"/>
        <v>0.88831009264653449</v>
      </c>
      <c r="T150" s="94">
        <f t="shared" si="58"/>
        <v>1.0712764364584502</v>
      </c>
      <c r="U150" s="94">
        <f t="shared" si="58"/>
        <v>1.0699802918463945</v>
      </c>
      <c r="V150" s="94">
        <f t="shared" si="58"/>
        <v>0.9685996333762682</v>
      </c>
      <c r="W150" s="94">
        <f t="shared" si="58"/>
        <v>0.98610378390120823</v>
      </c>
      <c r="X150" s="94">
        <f>(X26+X31)/X11</f>
        <v>1.0222360925284562</v>
      </c>
      <c r="Y150" s="94">
        <f>(Y26+Y31)/Y11</f>
        <v>0.83092645666320664</v>
      </c>
      <c r="Z150" s="94">
        <f>(Z26+Z31)/Z11</f>
        <v>0.74633726491177588</v>
      </c>
      <c r="AA150" s="94">
        <v>0.70192466324324121</v>
      </c>
      <c r="AB150" s="94">
        <v>0.65008879898149863</v>
      </c>
      <c r="AC150" s="94">
        <v>0.72675356297310656</v>
      </c>
      <c r="AD150" s="94">
        <v>0.65117878141104735</v>
      </c>
    </row>
    <row r="151" spans="2:30" ht="14.25" customHeight="1" x14ac:dyDescent="0.45">
      <c r="B151" s="5" t="s">
        <v>231</v>
      </c>
      <c r="C151" s="67">
        <f>C146+C150</f>
        <v>-1.1296369196053229</v>
      </c>
      <c r="D151" s="67">
        <f>D146+D150</f>
        <v>-0.94669918184658253</v>
      </c>
      <c r="E151" s="67">
        <f t="shared" ref="E151:Z151" si="59">E146+E150</f>
        <v>-1.049881321622586</v>
      </c>
      <c r="F151" s="67">
        <f t="shared" si="59"/>
        <v>-0.97787799708069545</v>
      </c>
      <c r="G151" s="67">
        <f t="shared" si="59"/>
        <v>-0.95070270931900058</v>
      </c>
      <c r="H151" s="67">
        <f t="shared" si="59"/>
        <v>-0.93079613814409512</v>
      </c>
      <c r="I151" s="67">
        <f t="shared" si="59"/>
        <v>-0.97263957612272822</v>
      </c>
      <c r="J151" s="67">
        <f t="shared" si="59"/>
        <v>-0.85151042744249072</v>
      </c>
      <c r="K151" s="67">
        <f t="shared" si="59"/>
        <v>-0.77283342488370754</v>
      </c>
      <c r="L151" s="67">
        <f t="shared" si="59"/>
        <v>-0.92185388572158344</v>
      </c>
      <c r="M151" s="67">
        <f t="shared" si="59"/>
        <v>-0.98756551042447371</v>
      </c>
      <c r="N151" s="67">
        <f t="shared" si="59"/>
        <v>-0.89349209715068989</v>
      </c>
      <c r="O151" s="67">
        <f t="shared" si="59"/>
        <v>-1.1797529992243765</v>
      </c>
      <c r="P151" s="67">
        <f t="shared" si="59"/>
        <v>-1.4527605401888262</v>
      </c>
      <c r="Q151" s="67">
        <f t="shared" si="59"/>
        <v>-1.5701573034324312</v>
      </c>
      <c r="R151" s="67">
        <f t="shared" si="59"/>
        <v>-1.584324178987754</v>
      </c>
      <c r="S151" s="67">
        <f t="shared" si="59"/>
        <v>-1.4597315756216687</v>
      </c>
      <c r="T151" s="67">
        <f t="shared" si="59"/>
        <v>-1.5535128240300742</v>
      </c>
      <c r="U151" s="67">
        <f t="shared" si="59"/>
        <v>-1.0503473021271603</v>
      </c>
      <c r="V151" s="67">
        <f t="shared" si="59"/>
        <v>-1.4895083269727212</v>
      </c>
      <c r="W151" s="67">
        <f t="shared" si="59"/>
        <v>-1.5501195569866821</v>
      </c>
      <c r="X151" s="67">
        <f t="shared" si="59"/>
        <v>-1.4146314978223724</v>
      </c>
      <c r="Y151" s="67">
        <f t="shared" si="59"/>
        <v>-2.0389578262795633</v>
      </c>
      <c r="Z151" s="67">
        <f t="shared" si="59"/>
        <v>-2.0223280788740041</v>
      </c>
      <c r="AA151" s="67">
        <v>-1.3552836766029426</v>
      </c>
      <c r="AB151" s="67">
        <v>-2.1339855514668367</v>
      </c>
      <c r="AC151" s="67">
        <v>-2.1158798443162699</v>
      </c>
      <c r="AD151" s="67">
        <v>-1.9366119631819849</v>
      </c>
    </row>
    <row r="152" spans="2:30" ht="14.25" customHeight="1" x14ac:dyDescent="0.45">
      <c r="B152" s="5" t="s">
        <v>220</v>
      </c>
      <c r="C152" s="95">
        <f t="shared" ref="C152:Z152" si="60">-C129/C11</f>
        <v>-2.9286692956449149E-2</v>
      </c>
      <c r="D152" s="95">
        <f t="shared" si="60"/>
        <v>-0.11495093255380437</v>
      </c>
      <c r="E152" s="95">
        <f t="shared" si="60"/>
        <v>-1.9032634917600409E-2</v>
      </c>
      <c r="F152" s="95">
        <f t="shared" si="60"/>
        <v>8.0333042268578621E-4</v>
      </c>
      <c r="G152" s="95">
        <f t="shared" si="60"/>
        <v>-4.2162042261292408E-2</v>
      </c>
      <c r="H152" s="95">
        <f t="shared" si="60"/>
        <v>-9.3810901623276269E-3</v>
      </c>
      <c r="I152" s="95">
        <f t="shared" si="60"/>
        <v>-1.7564077056817416E-2</v>
      </c>
      <c r="J152" s="95">
        <f t="shared" si="60"/>
        <v>-2.1264334909475567E-2</v>
      </c>
      <c r="K152" s="95">
        <f t="shared" si="60"/>
        <v>1.847785697755297E-2</v>
      </c>
      <c r="L152" s="95">
        <f t="shared" si="60"/>
        <v>0</v>
      </c>
      <c r="M152" s="95">
        <f t="shared" si="60"/>
        <v>0</v>
      </c>
      <c r="N152" s="95">
        <f t="shared" si="60"/>
        <v>-3.0253115391090581E-4</v>
      </c>
      <c r="O152" s="95">
        <f t="shared" si="60"/>
        <v>-1.2868148190522212E-2</v>
      </c>
      <c r="P152" s="95">
        <f t="shared" si="60"/>
        <v>-7.3659392910741753E-3</v>
      </c>
      <c r="Q152" s="95">
        <f t="shared" si="60"/>
        <v>-1.1610805155667276E-2</v>
      </c>
      <c r="R152" s="95">
        <f t="shared" si="60"/>
        <v>-0.10682815796699494</v>
      </c>
      <c r="S152" s="95">
        <f t="shared" si="60"/>
        <v>-3.4628816359291485E-2</v>
      </c>
      <c r="T152" s="95">
        <f t="shared" si="60"/>
        <v>-2.8475771515434494E-2</v>
      </c>
      <c r="U152" s="95">
        <f t="shared" si="60"/>
        <v>-1.9172482721697758E-2</v>
      </c>
      <c r="V152" s="95">
        <f t="shared" si="60"/>
        <v>1.3773712157913235E-2</v>
      </c>
      <c r="W152" s="95">
        <f t="shared" si="60"/>
        <v>-1.6467050523980637E-2</v>
      </c>
      <c r="X152" s="95">
        <f t="shared" si="60"/>
        <v>-1.189763294208143E-2</v>
      </c>
      <c r="Y152" s="95">
        <f t="shared" si="60"/>
        <v>-1.450246022616326E-2</v>
      </c>
      <c r="Z152" s="95">
        <f t="shared" si="60"/>
        <v>-1.2616730998892087E-2</v>
      </c>
      <c r="AA152" s="95">
        <v>-1.4063757282457281E-3</v>
      </c>
      <c r="AB152" s="95">
        <v>-1.0759633265397693E-2</v>
      </c>
      <c r="AC152" s="95">
        <v>-9.5714436267677529E-3</v>
      </c>
      <c r="AD152" s="95">
        <v>-5.5252379115787419E-3</v>
      </c>
    </row>
    <row r="153" spans="2:30" ht="14.25" customHeight="1" x14ac:dyDescent="0.45">
      <c r="B153" s="6" t="s">
        <v>221</v>
      </c>
      <c r="C153" s="68">
        <f>C151+C152</f>
        <v>-1.1589236125617721</v>
      </c>
      <c r="D153" s="68">
        <f t="shared" ref="D153:Z153" si="61">D151+D152</f>
        <v>-1.0616501144003869</v>
      </c>
      <c r="E153" s="68">
        <f t="shared" si="61"/>
        <v>-1.0689139565401864</v>
      </c>
      <c r="F153" s="68">
        <f t="shared" si="61"/>
        <v>-0.97707466665800968</v>
      </c>
      <c r="G153" s="68">
        <f t="shared" si="61"/>
        <v>-0.99286475158029297</v>
      </c>
      <c r="H153" s="68">
        <f t="shared" si="61"/>
        <v>-0.9401772283064227</v>
      </c>
      <c r="I153" s="68">
        <f t="shared" si="61"/>
        <v>-0.99020365317954562</v>
      </c>
      <c r="J153" s="68">
        <f t="shared" si="61"/>
        <v>-0.87277476235196627</v>
      </c>
      <c r="K153" s="68">
        <f t="shared" si="61"/>
        <v>-0.75435556790615454</v>
      </c>
      <c r="L153" s="68">
        <f t="shared" si="61"/>
        <v>-0.92185388572158344</v>
      </c>
      <c r="M153" s="68">
        <f t="shared" si="61"/>
        <v>-0.98756551042447371</v>
      </c>
      <c r="N153" s="68">
        <f t="shared" si="61"/>
        <v>-0.89379462830460077</v>
      </c>
      <c r="O153" s="68">
        <f t="shared" si="61"/>
        <v>-1.1926211474148987</v>
      </c>
      <c r="P153" s="68">
        <f t="shared" si="61"/>
        <v>-1.4601264794799003</v>
      </c>
      <c r="Q153" s="68">
        <f t="shared" si="61"/>
        <v>-1.5817681085880986</v>
      </c>
      <c r="R153" s="68">
        <f t="shared" si="61"/>
        <v>-1.691152336954749</v>
      </c>
      <c r="S153" s="68">
        <f t="shared" si="61"/>
        <v>-1.49436039198096</v>
      </c>
      <c r="T153" s="68">
        <f t="shared" si="61"/>
        <v>-1.5819885955455086</v>
      </c>
      <c r="U153" s="68">
        <f t="shared" si="61"/>
        <v>-1.069519784848858</v>
      </c>
      <c r="V153" s="68">
        <f t="shared" si="61"/>
        <v>-1.4757346148148078</v>
      </c>
      <c r="W153" s="68">
        <f t="shared" si="61"/>
        <v>-1.5665866075106627</v>
      </c>
      <c r="X153" s="68">
        <f t="shared" si="61"/>
        <v>-1.4265291307644539</v>
      </c>
      <c r="Y153" s="68">
        <f t="shared" si="61"/>
        <v>-2.0534602865057265</v>
      </c>
      <c r="Z153" s="68">
        <f t="shared" si="61"/>
        <v>-2.0349448098728962</v>
      </c>
      <c r="AA153" s="68">
        <v>-1.3566900523311882</v>
      </c>
      <c r="AB153" s="68">
        <v>-2.1447451847322343</v>
      </c>
      <c r="AC153" s="68">
        <v>-2.1254512879430374</v>
      </c>
      <c r="AD153" s="68">
        <v>-1.9421372010935636</v>
      </c>
    </row>
    <row r="154" spans="2:30" ht="14.25" customHeight="1" x14ac:dyDescent="0.45">
      <c r="B154" s="5" t="s">
        <v>222</v>
      </c>
      <c r="C154" s="67">
        <f>C145+C151+C152</f>
        <v>0.53807002020091976</v>
      </c>
      <c r="D154" s="67">
        <f t="shared" ref="D154:Z154" si="62">D145+D151+D152</f>
        <v>0.70857403761261062</v>
      </c>
      <c r="E154" s="67">
        <f t="shared" si="62"/>
        <v>0.69482149745269473</v>
      </c>
      <c r="F154" s="67">
        <f t="shared" si="62"/>
        <v>0.7889572427933369</v>
      </c>
      <c r="G154" s="67">
        <f t="shared" si="62"/>
        <v>0.85847226971330748</v>
      </c>
      <c r="H154" s="67">
        <f t="shared" si="62"/>
        <v>1.1368180675605952</v>
      </c>
      <c r="I154" s="67">
        <f t="shared" si="62"/>
        <v>0.8958271539271544</v>
      </c>
      <c r="J154" s="67">
        <f t="shared" si="62"/>
        <v>0.56789960514795756</v>
      </c>
      <c r="K154" s="67">
        <f t="shared" si="62"/>
        <v>0.89501617927278188</v>
      </c>
      <c r="L154" s="67">
        <f t="shared" si="62"/>
        <v>1.1240133479754457</v>
      </c>
      <c r="M154" s="67">
        <f t="shared" si="62"/>
        <v>1.4229877400938244</v>
      </c>
      <c r="N154" s="67">
        <f t="shared" si="62"/>
        <v>1.0214946261341549</v>
      </c>
      <c r="O154" s="67">
        <f t="shared" si="62"/>
        <v>1.590299272666859</v>
      </c>
      <c r="P154" s="67">
        <f>P145+P151+P152</f>
        <v>1.7716271035949103</v>
      </c>
      <c r="Q154" s="67">
        <f t="shared" si="62"/>
        <v>2.1496010968412462</v>
      </c>
      <c r="R154" s="67">
        <f t="shared" si="62"/>
        <v>1.6038439147487102</v>
      </c>
      <c r="S154" s="67">
        <f t="shared" si="62"/>
        <v>1.7963825789123975</v>
      </c>
      <c r="T154" s="67">
        <f t="shared" si="62"/>
        <v>2.0738435916705806</v>
      </c>
      <c r="U154" s="67">
        <f t="shared" si="62"/>
        <v>1.7766083293095805</v>
      </c>
      <c r="V154" s="67">
        <f t="shared" si="62"/>
        <v>1.2551468706230924</v>
      </c>
      <c r="W154" s="67">
        <f t="shared" si="62"/>
        <v>1.2781000503005475</v>
      </c>
      <c r="X154" s="67">
        <f t="shared" si="62"/>
        <v>1.5610505458272543</v>
      </c>
      <c r="Y154" s="67">
        <f t="shared" si="62"/>
        <v>0.78134366350469342</v>
      </c>
      <c r="Z154" s="67">
        <f t="shared" si="62"/>
        <v>0.27729573945204139</v>
      </c>
      <c r="AA154" s="67">
        <v>0.78887357229955091</v>
      </c>
      <c r="AB154" s="67">
        <v>-7.728006006507343E-2</v>
      </c>
      <c r="AC154" s="67">
        <v>0.16682521182374699</v>
      </c>
      <c r="AD154" s="67">
        <v>0.47712696726319342</v>
      </c>
    </row>
    <row r="156" spans="2:30" ht="14.25" customHeight="1" x14ac:dyDescent="0.45">
      <c r="B156" s="24" t="s">
        <v>358</v>
      </c>
    </row>
    <row r="157" spans="2:30" ht="14.25" customHeight="1" x14ac:dyDescent="0.45">
      <c r="B157" s="24" t="s">
        <v>359</v>
      </c>
    </row>
    <row r="158" spans="2:30" ht="14.25" customHeight="1" x14ac:dyDescent="0.45">
      <c r="B158" s="24" t="s">
        <v>360</v>
      </c>
    </row>
  </sheetData>
  <mergeCells count="29">
    <mergeCell ref="AB5:AB6"/>
    <mergeCell ref="AC5:AC6"/>
    <mergeCell ref="O5:O6"/>
    <mergeCell ref="P5:P6"/>
    <mergeCell ref="X5:X6"/>
    <mergeCell ref="Y5:Y6"/>
    <mergeCell ref="R5:R6"/>
    <mergeCell ref="S5:S6"/>
    <mergeCell ref="T5:T6"/>
    <mergeCell ref="U5:U6"/>
    <mergeCell ref="V5:V6"/>
    <mergeCell ref="W5:W6"/>
    <mergeCell ref="AA5:AA6"/>
    <mergeCell ref="X2:AD3"/>
    <mergeCell ref="Z5:Z6"/>
    <mergeCell ref="Q5:Q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D5:AD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BB245-C5A4-4189-8EBE-E1A8BD3BAB8A}">
  <sheetPr>
    <tabColor rgb="FF1B7754"/>
    <outlinePr summaryRight="0"/>
  </sheetPr>
  <dimension ref="B2:AD39"/>
  <sheetViews>
    <sheetView showGridLines="0" zoomScaleNormal="100" workbookViewId="0"/>
  </sheetViews>
  <sheetFormatPr defaultColWidth="9.1796875" defaultRowHeight="14.25" customHeight="1" x14ac:dyDescent="0.45"/>
  <cols>
    <col min="1" max="1" width="1.7265625" style="2" customWidth="1"/>
    <col min="2" max="2" width="55.54296875" style="2" customWidth="1"/>
    <col min="3" max="27" width="10.7265625" style="2" customWidth="1"/>
    <col min="28" max="28" width="10.7265625" style="2" bestFit="1" customWidth="1"/>
    <col min="29" max="29" width="10.7265625" style="2" customWidth="1"/>
    <col min="30" max="30" width="10.7265625" style="2" bestFit="1" customWidth="1"/>
    <col min="31" max="16384" width="9.1796875" style="2"/>
  </cols>
  <sheetData>
    <row r="2" spans="2:30" ht="14.25" customHeight="1" x14ac:dyDescent="0.45">
      <c r="X2" s="109" t="s">
        <v>205</v>
      </c>
      <c r="Y2" s="109"/>
      <c r="Z2" s="109"/>
      <c r="AA2" s="109"/>
      <c r="AB2" s="109"/>
      <c r="AC2" s="109"/>
      <c r="AD2" s="109"/>
    </row>
    <row r="3" spans="2:30" ht="14.25" customHeight="1" x14ac:dyDescent="0.45">
      <c r="K3" s="61"/>
      <c r="X3" s="109"/>
      <c r="Y3" s="109"/>
      <c r="Z3" s="109"/>
      <c r="AA3" s="109"/>
      <c r="AB3" s="109"/>
      <c r="AC3" s="109"/>
      <c r="AD3" s="109"/>
    </row>
    <row r="5" spans="2:30" s="11" customFormat="1" ht="14.25" customHeight="1" x14ac:dyDescent="0.4">
      <c r="B5" s="76" t="s">
        <v>8</v>
      </c>
      <c r="C5" s="110" t="s">
        <v>197</v>
      </c>
      <c r="D5" s="110" t="s">
        <v>198</v>
      </c>
      <c r="E5" s="110" t="s">
        <v>199</v>
      </c>
      <c r="F5" s="110" t="s">
        <v>24</v>
      </c>
      <c r="G5" s="110" t="s">
        <v>25</v>
      </c>
      <c r="H5" s="110" t="s">
        <v>86</v>
      </c>
      <c r="I5" s="110" t="s">
        <v>12</v>
      </c>
      <c r="J5" s="110" t="s">
        <v>26</v>
      </c>
      <c r="K5" s="110" t="s">
        <v>27</v>
      </c>
      <c r="L5" s="110" t="s">
        <v>28</v>
      </c>
      <c r="M5" s="110" t="s">
        <v>87</v>
      </c>
      <c r="N5" s="110" t="s">
        <v>13</v>
      </c>
      <c r="O5" s="110" t="s">
        <v>29</v>
      </c>
      <c r="P5" s="110" t="s">
        <v>182</v>
      </c>
      <c r="Q5" s="110" t="s">
        <v>185</v>
      </c>
      <c r="R5" s="110" t="s">
        <v>201</v>
      </c>
      <c r="S5" s="110" t="s">
        <v>200</v>
      </c>
      <c r="T5" s="110" t="s">
        <v>204</v>
      </c>
      <c r="U5" s="110" t="s">
        <v>207</v>
      </c>
      <c r="V5" s="110" t="s">
        <v>238</v>
      </c>
      <c r="W5" s="110" t="s">
        <v>243</v>
      </c>
      <c r="X5" s="110" t="s">
        <v>244</v>
      </c>
      <c r="Y5" s="110" t="s">
        <v>250</v>
      </c>
      <c r="Z5" s="110" t="s">
        <v>325</v>
      </c>
      <c r="AA5" s="110" t="s">
        <v>361</v>
      </c>
      <c r="AB5" s="110" t="s">
        <v>370</v>
      </c>
      <c r="AC5" s="110" t="s">
        <v>369</v>
      </c>
      <c r="AD5" s="110" t="s">
        <v>374</v>
      </c>
    </row>
    <row r="6" spans="2:30" ht="14.25" customHeight="1" thickBot="1" x14ac:dyDescent="0.5">
      <c r="B6" s="77" t="s">
        <v>22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</row>
    <row r="7" spans="2:30" ht="14.25" customHeight="1" thickBot="1" x14ac:dyDescent="0.5">
      <c r="B7" s="9" t="s">
        <v>321</v>
      </c>
      <c r="C7" s="10">
        <v>320926.52</v>
      </c>
      <c r="D7" s="10">
        <f>C14</f>
        <v>433424</v>
      </c>
      <c r="E7" s="10">
        <f>D14</f>
        <v>939543.69299999997</v>
      </c>
      <c r="F7" s="10">
        <f>E14</f>
        <v>1208407.693</v>
      </c>
      <c r="G7" s="10">
        <f>F14</f>
        <v>1568699.9610000001</v>
      </c>
      <c r="H7" s="10">
        <f>G14</f>
        <v>1908777.8940000001</v>
      </c>
      <c r="I7" s="10">
        <f>E7</f>
        <v>939543.69299999997</v>
      </c>
      <c r="J7" s="10">
        <f>I14</f>
        <v>2190785.0870000003</v>
      </c>
      <c r="K7" s="10">
        <f>J14</f>
        <v>3438026.0870000003</v>
      </c>
      <c r="L7" s="10">
        <f t="shared" ref="L7" si="0">K14</f>
        <v>2621496.0870000003</v>
      </c>
      <c r="M7" s="10">
        <f>L14</f>
        <v>2765359.0870000003</v>
      </c>
      <c r="N7" s="10">
        <f>J7</f>
        <v>2190785.0870000003</v>
      </c>
      <c r="O7" s="10">
        <f>N14</f>
        <v>2879404.0870000003</v>
      </c>
      <c r="P7" s="10">
        <f>O14</f>
        <v>2921751.0870000003</v>
      </c>
      <c r="Q7" s="10">
        <f>P14</f>
        <v>2996223.0870000003</v>
      </c>
      <c r="R7" s="10">
        <f>Q14</f>
        <v>3157775.0870000003</v>
      </c>
      <c r="S7" s="10">
        <f>O7</f>
        <v>2879404.0870000003</v>
      </c>
      <c r="T7" s="10">
        <f>R14</f>
        <v>3329098.0870000003</v>
      </c>
      <c r="U7" s="10">
        <v>3711837</v>
      </c>
      <c r="V7" s="10">
        <v>4147584</v>
      </c>
      <c r="W7" s="10">
        <v>4520764.9438999994</v>
      </c>
      <c r="X7" s="10">
        <v>3329098</v>
      </c>
      <c r="Y7" s="10">
        <v>4994520</v>
      </c>
      <c r="Z7" s="10">
        <v>5335943</v>
      </c>
      <c r="AA7" s="10">
        <v>5524210</v>
      </c>
      <c r="AB7" s="10">
        <v>5557916</v>
      </c>
      <c r="AC7" s="10">
        <v>4994520</v>
      </c>
      <c r="AD7" s="10">
        <v>5489832</v>
      </c>
    </row>
    <row r="8" spans="2:30" ht="14.25" customHeight="1" x14ac:dyDescent="0.45">
      <c r="B8" s="6" t="s">
        <v>322</v>
      </c>
      <c r="C8" s="6">
        <f>C9+C10+C11</f>
        <v>132190.48000000001</v>
      </c>
      <c r="D8" s="6">
        <f t="shared" ref="D8:Z8" si="1">D9+D10+D11</f>
        <v>525812.94099999999</v>
      </c>
      <c r="E8" s="6">
        <f t="shared" si="1"/>
        <v>279621</v>
      </c>
      <c r="F8" s="6">
        <f t="shared" si="1"/>
        <v>371024.16300000006</v>
      </c>
      <c r="G8" s="6">
        <f t="shared" si="1"/>
        <v>350899.17700000003</v>
      </c>
      <c r="H8" s="6">
        <f t="shared" si="1"/>
        <v>301360</v>
      </c>
      <c r="I8" s="6">
        <f t="shared" si="1"/>
        <v>1303080.3940000001</v>
      </c>
      <c r="J8" s="6">
        <f t="shared" si="1"/>
        <v>1292885</v>
      </c>
      <c r="K8" s="6">
        <f t="shared" si="1"/>
        <v>-814885</v>
      </c>
      <c r="L8" s="6">
        <f t="shared" si="1"/>
        <v>167390</v>
      </c>
      <c r="M8" s="6">
        <f t="shared" si="1"/>
        <v>137232</v>
      </c>
      <c r="N8" s="6">
        <f t="shared" si="1"/>
        <v>782622</v>
      </c>
      <c r="O8" s="6">
        <f t="shared" si="1"/>
        <v>75074</v>
      </c>
      <c r="P8" s="6">
        <f t="shared" si="1"/>
        <v>108758</v>
      </c>
      <c r="Q8" s="6">
        <f t="shared" si="1"/>
        <v>196585</v>
      </c>
      <c r="R8" s="6">
        <f t="shared" si="1"/>
        <v>206698</v>
      </c>
      <c r="S8" s="6">
        <f t="shared" si="1"/>
        <v>587115</v>
      </c>
      <c r="T8" s="6">
        <f t="shared" si="1"/>
        <v>419754</v>
      </c>
      <c r="U8" s="6">
        <f t="shared" si="1"/>
        <v>639338</v>
      </c>
      <c r="V8" s="6">
        <f t="shared" si="1"/>
        <v>410739.90247999993</v>
      </c>
      <c r="W8" s="6">
        <f t="shared" si="1"/>
        <v>682127.09752000007</v>
      </c>
      <c r="X8" s="6">
        <f t="shared" si="1"/>
        <v>2151959</v>
      </c>
      <c r="Y8" s="6">
        <f t="shared" si="1"/>
        <v>402078</v>
      </c>
      <c r="Z8" s="6">
        <f t="shared" si="1"/>
        <v>257063</v>
      </c>
      <c r="AA8" s="6">
        <v>121691</v>
      </c>
      <c r="AB8" s="6">
        <v>-745</v>
      </c>
      <c r="AC8" s="6">
        <v>780087</v>
      </c>
      <c r="AD8" s="6">
        <v>71011</v>
      </c>
    </row>
    <row r="9" spans="2:30" ht="14.25" customHeight="1" x14ac:dyDescent="0.45">
      <c r="B9" s="7" t="s">
        <v>174</v>
      </c>
      <c r="C9" s="7">
        <f>128.120684*1000</f>
        <v>128120.68400000001</v>
      </c>
      <c r="D9" s="6">
        <v>496033.77499999997</v>
      </c>
      <c r="E9" s="6">
        <v>277152</v>
      </c>
      <c r="F9" s="6">
        <v>371120.94600000005</v>
      </c>
      <c r="G9" s="6">
        <v>345214</v>
      </c>
      <c r="H9" s="6">
        <v>299876</v>
      </c>
      <c r="I9" s="6">
        <v>1293539</v>
      </c>
      <c r="J9" s="6">
        <v>1287344</v>
      </c>
      <c r="K9" s="6">
        <v>-837429</v>
      </c>
      <c r="L9" s="6">
        <v>165896</v>
      </c>
      <c r="M9" s="6">
        <v>133284</v>
      </c>
      <c r="N9" s="6">
        <f>SUM(J9:M9)</f>
        <v>749095</v>
      </c>
      <c r="O9" s="6">
        <v>68282</v>
      </c>
      <c r="P9" s="6">
        <v>98377</v>
      </c>
      <c r="Q9" s="6">
        <v>184397</v>
      </c>
      <c r="R9" s="6">
        <v>160104</v>
      </c>
      <c r="S9" s="6">
        <v>511160</v>
      </c>
      <c r="T9" s="6">
        <v>399509</v>
      </c>
      <c r="U9" s="6">
        <v>609469</v>
      </c>
      <c r="V9" s="6">
        <v>415987.90247999993</v>
      </c>
      <c r="W9" s="6">
        <v>674456.09752000007</v>
      </c>
      <c r="X9" s="6">
        <v>2099422</v>
      </c>
      <c r="Y9" s="6">
        <v>395514</v>
      </c>
      <c r="Z9" s="6">
        <v>250451</v>
      </c>
      <c r="AA9" s="6">
        <v>120915</v>
      </c>
      <c r="AB9" s="6">
        <v>-6880</v>
      </c>
      <c r="AC9" s="6">
        <v>760000</v>
      </c>
      <c r="AD9" s="6">
        <v>67845</v>
      </c>
    </row>
    <row r="10" spans="2:30" ht="14.25" customHeight="1" x14ac:dyDescent="0.45">
      <c r="B10" s="7" t="s">
        <v>175</v>
      </c>
      <c r="C10" s="7">
        <v>4069.7959999999994</v>
      </c>
      <c r="D10" s="6">
        <v>29779.165999999997</v>
      </c>
      <c r="E10" s="6">
        <v>2469</v>
      </c>
      <c r="F10" s="6">
        <v>-96.783000000000001</v>
      </c>
      <c r="G10" s="6">
        <v>5685.1770000000006</v>
      </c>
      <c r="H10" s="6">
        <v>1484</v>
      </c>
      <c r="I10" s="6">
        <f>SUM(E10:H10)</f>
        <v>9541.3940000000002</v>
      </c>
      <c r="J10" s="6">
        <v>5541</v>
      </c>
      <c r="K10" s="6">
        <v>-5205</v>
      </c>
      <c r="L10" s="6">
        <v>0</v>
      </c>
      <c r="M10" s="6">
        <v>0</v>
      </c>
      <c r="N10" s="6">
        <f>SUM(J10:M10)</f>
        <v>336</v>
      </c>
      <c r="O10" s="6">
        <v>4328</v>
      </c>
      <c r="P10" s="6">
        <v>2700</v>
      </c>
      <c r="Q10" s="6">
        <v>4251</v>
      </c>
      <c r="R10" s="6">
        <v>38085</v>
      </c>
      <c r="S10" s="6">
        <v>49364</v>
      </c>
      <c r="T10" s="6">
        <v>9112</v>
      </c>
      <c r="U10" s="6">
        <v>7314</v>
      </c>
      <c r="V10" s="6">
        <v>-5249</v>
      </c>
      <c r="W10" s="6">
        <v>6137</v>
      </c>
      <c r="X10" s="6">
        <v>17314</v>
      </c>
      <c r="Y10" s="6">
        <v>6564</v>
      </c>
      <c r="Z10" s="6">
        <v>6612</v>
      </c>
      <c r="AA10" s="6">
        <v>776</v>
      </c>
      <c r="AB10" s="6">
        <v>6135</v>
      </c>
      <c r="AC10" s="6">
        <v>20087</v>
      </c>
      <c r="AD10" s="6">
        <v>3166</v>
      </c>
    </row>
    <row r="11" spans="2:30" ht="14.25" customHeight="1" x14ac:dyDescent="0.45">
      <c r="B11" s="7" t="s">
        <v>210</v>
      </c>
      <c r="C11" s="7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27749</v>
      </c>
      <c r="L11" s="6">
        <v>1494</v>
      </c>
      <c r="M11" s="6">
        <v>3948</v>
      </c>
      <c r="N11" s="6">
        <v>33191</v>
      </c>
      <c r="O11" s="6">
        <v>2464</v>
      </c>
      <c r="P11" s="6">
        <v>7681</v>
      </c>
      <c r="Q11" s="6">
        <v>7937</v>
      </c>
      <c r="R11" s="6">
        <v>8509</v>
      </c>
      <c r="S11" s="6">
        <v>26591</v>
      </c>
      <c r="T11" s="6">
        <v>11133</v>
      </c>
      <c r="U11" s="6">
        <v>22555</v>
      </c>
      <c r="V11" s="6">
        <v>1</v>
      </c>
      <c r="W11" s="6">
        <v>1534</v>
      </c>
      <c r="X11" s="6">
        <v>35223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</row>
    <row r="12" spans="2:30" ht="14.25" customHeight="1" x14ac:dyDescent="0.45">
      <c r="B12" s="6" t="s">
        <v>242</v>
      </c>
      <c r="C12" s="6">
        <v>-19693</v>
      </c>
      <c r="D12" s="6">
        <v>-19693.248</v>
      </c>
      <c r="E12" s="6">
        <v>-10757</v>
      </c>
      <c r="F12" s="6">
        <v>-10731.894999999997</v>
      </c>
      <c r="G12" s="6">
        <v>-10821.244000000002</v>
      </c>
      <c r="H12" s="6">
        <v>-3960</v>
      </c>
      <c r="I12" s="6">
        <v>-45142</v>
      </c>
      <c r="J12" s="6">
        <v>-45142</v>
      </c>
      <c r="K12" s="6">
        <v>-1571</v>
      </c>
      <c r="L12" s="6">
        <v>-23527</v>
      </c>
      <c r="M12" s="6">
        <v>-23107</v>
      </c>
      <c r="N12" s="6">
        <f>SUM(J12:M12)</f>
        <v>-93347</v>
      </c>
      <c r="O12" s="6">
        <v>-32678</v>
      </c>
      <c r="P12" s="6">
        <v>-33770</v>
      </c>
      <c r="Q12" s="6">
        <v>-35033</v>
      </c>
      <c r="R12" s="6">
        <v>-35375</v>
      </c>
      <c r="S12" s="6">
        <v>-136856</v>
      </c>
      <c r="T12" s="6">
        <v>-35756</v>
      </c>
      <c r="U12" s="6">
        <v>-29418</v>
      </c>
      <c r="V12" s="6">
        <v>-37513</v>
      </c>
      <c r="W12" s="6">
        <v>-37350</v>
      </c>
      <c r="X12" s="6">
        <v>-140037</v>
      </c>
      <c r="Y12" s="6">
        <v>-60655</v>
      </c>
      <c r="Z12" s="6">
        <v>-64103</v>
      </c>
      <c r="AA12" s="6">
        <v>-58780</v>
      </c>
      <c r="AB12" s="6">
        <v>-67339</v>
      </c>
      <c r="AC12" s="6">
        <v>-250877</v>
      </c>
      <c r="AD12" s="6">
        <v>-69703</v>
      </c>
    </row>
    <row r="13" spans="2:30" ht="14.25" customHeight="1" thickBot="1" x14ac:dyDescent="0.5">
      <c r="B13" s="6" t="s">
        <v>323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-6697</v>
      </c>
      <c r="J13" s="6">
        <v>-502</v>
      </c>
      <c r="K13" s="6">
        <v>-74</v>
      </c>
      <c r="L13" s="6">
        <v>0</v>
      </c>
      <c r="M13" s="6">
        <v>0</v>
      </c>
      <c r="N13" s="6">
        <v>-656</v>
      </c>
      <c r="O13" s="6">
        <v>-49</v>
      </c>
      <c r="P13" s="6">
        <v>-516</v>
      </c>
      <c r="Q13" s="6">
        <v>0</v>
      </c>
      <c r="R13" s="6">
        <v>0</v>
      </c>
      <c r="S13" s="6">
        <v>-565</v>
      </c>
      <c r="T13" s="6">
        <v>-1259</v>
      </c>
      <c r="U13" s="6">
        <v>-174173</v>
      </c>
      <c r="V13" s="6">
        <v>-45.958580000005895</v>
      </c>
      <c r="W13" s="6">
        <v>-171022.04142000002</v>
      </c>
      <c r="X13" s="6">
        <v>-346500</v>
      </c>
      <c r="Y13" s="6">
        <v>0</v>
      </c>
      <c r="Z13" s="6">
        <v>-4693</v>
      </c>
      <c r="AA13" s="6">
        <v>-29205</v>
      </c>
      <c r="AB13" s="6">
        <v>0</v>
      </c>
      <c r="AC13" s="6">
        <v>-33898</v>
      </c>
      <c r="AD13" s="6">
        <v>0</v>
      </c>
    </row>
    <row r="14" spans="2:30" ht="14.25" customHeight="1" thickBot="1" x14ac:dyDescent="0.5">
      <c r="B14" s="9" t="s">
        <v>324</v>
      </c>
      <c r="C14" s="10">
        <f>C8+C12+C7+C13</f>
        <v>433424</v>
      </c>
      <c r="D14" s="10">
        <f t="shared" ref="D14:Z14" si="2">D8+D12+D7+D13</f>
        <v>939543.69299999997</v>
      </c>
      <c r="E14" s="10">
        <f t="shared" si="2"/>
        <v>1208407.693</v>
      </c>
      <c r="F14" s="10">
        <f>F8+F12+F7+F13</f>
        <v>1568699.9610000001</v>
      </c>
      <c r="G14" s="10">
        <f t="shared" si="2"/>
        <v>1908777.8940000001</v>
      </c>
      <c r="H14" s="10">
        <f t="shared" si="2"/>
        <v>2206177.8940000003</v>
      </c>
      <c r="I14" s="10">
        <f t="shared" si="2"/>
        <v>2190785.0870000003</v>
      </c>
      <c r="J14" s="10">
        <f>J8+J12+J7+J13</f>
        <v>3438026.0870000003</v>
      </c>
      <c r="K14" s="10">
        <f t="shared" si="2"/>
        <v>2621496.0870000003</v>
      </c>
      <c r="L14" s="10">
        <f t="shared" si="2"/>
        <v>2765359.0870000003</v>
      </c>
      <c r="M14" s="10">
        <f t="shared" si="2"/>
        <v>2879484.0870000003</v>
      </c>
      <c r="N14" s="10">
        <f t="shared" si="2"/>
        <v>2879404.0870000003</v>
      </c>
      <c r="O14" s="10">
        <f t="shared" si="2"/>
        <v>2921751.0870000003</v>
      </c>
      <c r="P14" s="10">
        <f t="shared" si="2"/>
        <v>2996223.0870000003</v>
      </c>
      <c r="Q14" s="10">
        <f t="shared" si="2"/>
        <v>3157775.0870000003</v>
      </c>
      <c r="R14" s="10">
        <f t="shared" si="2"/>
        <v>3329098.0870000003</v>
      </c>
      <c r="S14" s="10">
        <f t="shared" si="2"/>
        <v>3329098.0870000003</v>
      </c>
      <c r="T14" s="10">
        <f t="shared" si="2"/>
        <v>3711837.0870000003</v>
      </c>
      <c r="U14" s="10">
        <f t="shared" si="2"/>
        <v>4147584</v>
      </c>
      <c r="V14" s="10">
        <f t="shared" si="2"/>
        <v>4520764.9438999994</v>
      </c>
      <c r="W14" s="10">
        <f t="shared" si="2"/>
        <v>4994520</v>
      </c>
      <c r="X14" s="10">
        <f t="shared" si="2"/>
        <v>4994520</v>
      </c>
      <c r="Y14" s="10">
        <f t="shared" si="2"/>
        <v>5335943</v>
      </c>
      <c r="Z14" s="10">
        <f t="shared" si="2"/>
        <v>5524210</v>
      </c>
      <c r="AA14" s="10">
        <v>5557916</v>
      </c>
      <c r="AB14" s="10">
        <v>5489832</v>
      </c>
      <c r="AC14" s="10">
        <v>5489832</v>
      </c>
      <c r="AD14" s="10">
        <v>5491140</v>
      </c>
    </row>
    <row r="15" spans="2:30" ht="8.15" customHeight="1" x14ac:dyDescent="0.4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8"/>
      <c r="M15" s="28"/>
      <c r="N15" s="28"/>
      <c r="O15" s="28"/>
      <c r="P15" s="28"/>
      <c r="Q15" s="28"/>
      <c r="R15" s="28"/>
      <c r="U15" s="28"/>
      <c r="V15" s="28"/>
      <c r="W15" s="28"/>
      <c r="X15" s="28"/>
      <c r="Y15" s="28"/>
      <c r="Z15" s="28"/>
    </row>
    <row r="16" spans="2:30" ht="8.15" customHeight="1" x14ac:dyDescent="0.45">
      <c r="B16" s="24" t="s">
        <v>176</v>
      </c>
      <c r="C16" s="24"/>
      <c r="D16" s="29"/>
      <c r="E16" s="29"/>
      <c r="F16" s="30"/>
      <c r="G16" s="29"/>
      <c r="H16" s="29"/>
      <c r="I16" s="29"/>
      <c r="J16" s="28"/>
      <c r="K16" s="21"/>
      <c r="L16" s="28"/>
      <c r="M16" s="28"/>
      <c r="N16" s="28"/>
      <c r="O16" s="28"/>
    </row>
    <row r="17" spans="2:15" ht="8.15" customHeight="1" x14ac:dyDescent="0.45">
      <c r="B17" s="24" t="s">
        <v>177</v>
      </c>
      <c r="C17" s="24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2:15" ht="8.15" customHeight="1" x14ac:dyDescent="0.45">
      <c r="B18" s="24" t="s">
        <v>178</v>
      </c>
      <c r="C18" s="24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2:15" ht="8.15" customHeight="1" x14ac:dyDescent="0.45">
      <c r="B19" s="24"/>
      <c r="C19" s="24"/>
      <c r="D19" s="29"/>
      <c r="E19" s="29"/>
      <c r="F19" s="30"/>
      <c r="G19" s="29"/>
      <c r="H19" s="29"/>
      <c r="I19" s="29"/>
      <c r="J19" s="28"/>
      <c r="K19" s="21"/>
      <c r="L19" s="28"/>
      <c r="M19" s="28"/>
      <c r="N19" s="28"/>
      <c r="O19" s="28"/>
    </row>
    <row r="39" spans="20:20" ht="14.25" customHeight="1" x14ac:dyDescent="0.45">
      <c r="T39" s="2" t="s">
        <v>20</v>
      </c>
    </row>
  </sheetData>
  <mergeCells count="29">
    <mergeCell ref="AD5:AD6"/>
    <mergeCell ref="AB5:AB6"/>
    <mergeCell ref="AC5:AC6"/>
    <mergeCell ref="Y5:Y6"/>
    <mergeCell ref="W5:W6"/>
    <mergeCell ref="X5:X6"/>
    <mergeCell ref="AA5:AA6"/>
    <mergeCell ref="V5:V6"/>
    <mergeCell ref="O5:O6"/>
    <mergeCell ref="Q5:Q6"/>
    <mergeCell ref="P5:P6"/>
    <mergeCell ref="R5:R6"/>
    <mergeCell ref="T5:T6"/>
    <mergeCell ref="X2:AD3"/>
    <mergeCell ref="C5:C6"/>
    <mergeCell ref="M5:M6"/>
    <mergeCell ref="L5:L6"/>
    <mergeCell ref="D5:D6"/>
    <mergeCell ref="K5:K6"/>
    <mergeCell ref="E5:E6"/>
    <mergeCell ref="F5:F6"/>
    <mergeCell ref="G5:G6"/>
    <mergeCell ref="H5:H6"/>
    <mergeCell ref="J5:J6"/>
    <mergeCell ref="I5:I6"/>
    <mergeCell ref="Z5:Z6"/>
    <mergeCell ref="U5:U6"/>
    <mergeCell ref="N5:N6"/>
    <mergeCell ref="S5:S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Results</vt:lpstr>
      <vt:lpstr>Balanço Patrimonial</vt:lpstr>
      <vt:lpstr>Demonstração dos Resultados</vt:lpstr>
      <vt:lpstr>Demonstração do Fluxo de Caixa</vt:lpstr>
      <vt:lpstr>Fluxo da Dívida Líquida</vt:lpstr>
      <vt:lpstr>Endividamento</vt:lpstr>
      <vt:lpstr>Dados Operacionais</vt:lpstr>
      <vt:lpstr>Capex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2024-09-05T19:36:57Z</dcterms:modified>
</cp:coreProperties>
</file>