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/>
  <xr:revisionPtr revIDLastSave="0" documentId="13_ncr:1_{2A9F7352-C8D8-4545-866D-FC9052DC630F}" xr6:coauthVersionLast="47" xr6:coauthVersionMax="47" xr10:uidLastSave="{00000000-0000-0000-0000-000000000000}"/>
  <bookViews>
    <workbookView xWindow="-120" yWindow="-120" windowWidth="29040" windowHeight="15840" tabRatio="766" xr2:uid="{00000000-000D-0000-FFFF-FFFF00000000}"/>
  </bookViews>
  <sheets>
    <sheet name="Results" sheetId="86" r:id="rId1"/>
    <sheet name="Balanço Patrimonial" sheetId="74" r:id="rId2"/>
    <sheet name="Demonstração dos Resultados" sheetId="75" r:id="rId3"/>
    <sheet name="Demonstração do Fluxo de Caixa" sheetId="76" r:id="rId4"/>
    <sheet name="Fluxo da Dívida Líquida" sheetId="82" r:id="rId5"/>
    <sheet name="Endividamento" sheetId="79" r:id="rId6"/>
    <sheet name="Dados Operacionais" sheetId="85" r:id="rId7"/>
    <sheet name="Capex" sheetId="8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3" i="85" l="1"/>
  <c r="U133" i="85"/>
  <c r="T133" i="85"/>
  <c r="S133" i="85"/>
  <c r="R133" i="85"/>
  <c r="Q133" i="85"/>
  <c r="P133" i="85"/>
  <c r="O133" i="85"/>
  <c r="N133" i="85"/>
  <c r="M133" i="85"/>
  <c r="L133" i="85"/>
  <c r="K133" i="85"/>
  <c r="J133" i="85"/>
  <c r="I133" i="85"/>
  <c r="H133" i="85"/>
  <c r="G133" i="85"/>
  <c r="F133" i="85"/>
  <c r="E133" i="85"/>
  <c r="D133" i="85"/>
  <c r="C118" i="85"/>
  <c r="O112" i="85"/>
  <c r="M112" i="85"/>
  <c r="L112" i="85"/>
  <c r="K112" i="85"/>
  <c r="J112" i="85"/>
  <c r="H112" i="85"/>
  <c r="G112" i="85"/>
  <c r="F112" i="85"/>
  <c r="E112" i="85"/>
  <c r="D112" i="85"/>
  <c r="O111" i="85"/>
  <c r="M111" i="85"/>
  <c r="L111" i="85"/>
  <c r="K111" i="85"/>
  <c r="J111" i="85"/>
  <c r="H111" i="85"/>
  <c r="G111" i="85"/>
  <c r="F111" i="85"/>
  <c r="E111" i="85"/>
  <c r="D111" i="85"/>
  <c r="S104" i="85"/>
  <c r="S117" i="85"/>
  <c r="O117" i="85"/>
  <c r="M117" i="85"/>
  <c r="L117" i="85"/>
  <c r="K117" i="85"/>
  <c r="J117" i="85"/>
  <c r="I117" i="85"/>
  <c r="H117" i="85"/>
  <c r="G117" i="85"/>
  <c r="F117" i="85"/>
  <c r="E117" i="85"/>
  <c r="D117" i="85"/>
  <c r="C102" i="85"/>
  <c r="S116" i="85"/>
  <c r="O116" i="85"/>
  <c r="M116" i="85"/>
  <c r="L116" i="85"/>
  <c r="K116" i="85"/>
  <c r="J116" i="85"/>
  <c r="I116" i="85"/>
  <c r="H116" i="85"/>
  <c r="G116" i="85"/>
  <c r="F116" i="85"/>
  <c r="E116" i="85"/>
  <c r="D116" i="85"/>
  <c r="C100" i="85"/>
  <c r="S115" i="85"/>
  <c r="O115" i="85"/>
  <c r="M115" i="85"/>
  <c r="L115" i="85"/>
  <c r="K115" i="85"/>
  <c r="J115" i="85"/>
  <c r="I115" i="85"/>
  <c r="H115" i="85"/>
  <c r="G115" i="85"/>
  <c r="F115" i="85"/>
  <c r="E115" i="85"/>
  <c r="D115" i="85"/>
  <c r="C99" i="85"/>
  <c r="C101" i="85" s="1"/>
  <c r="S114" i="85"/>
  <c r="O114" i="85"/>
  <c r="M114" i="85"/>
  <c r="L114" i="85"/>
  <c r="K114" i="85"/>
  <c r="J114" i="85"/>
  <c r="I114" i="85"/>
  <c r="H114" i="85"/>
  <c r="G114" i="85"/>
  <c r="F114" i="85"/>
  <c r="E114" i="85"/>
  <c r="D114" i="85"/>
  <c r="C98" i="85"/>
  <c r="L96" i="85"/>
  <c r="S95" i="85"/>
  <c r="S112" i="85" s="1"/>
  <c r="C95" i="85"/>
  <c r="R93" i="85"/>
  <c r="Q93" i="85"/>
  <c r="C94" i="85"/>
  <c r="P93" i="85"/>
  <c r="P96" i="85" s="1"/>
  <c r="O93" i="85"/>
  <c r="O146" i="85" s="1"/>
  <c r="N93" i="85"/>
  <c r="N96" i="85" s="1"/>
  <c r="M93" i="85"/>
  <c r="M96" i="85" s="1"/>
  <c r="K93" i="85"/>
  <c r="J93" i="85"/>
  <c r="I93" i="85"/>
  <c r="H93" i="85"/>
  <c r="H146" i="85" s="1"/>
  <c r="G93" i="85"/>
  <c r="G96" i="85" s="1"/>
  <c r="F93" i="85"/>
  <c r="F146" i="85" s="1"/>
  <c r="E93" i="85"/>
  <c r="E146" i="85" s="1"/>
  <c r="D93" i="85"/>
  <c r="D96" i="85" s="1"/>
  <c r="P146" i="85"/>
  <c r="L146" i="85"/>
  <c r="K146" i="85"/>
  <c r="G146" i="85"/>
  <c r="C88" i="85"/>
  <c r="C84" i="85"/>
  <c r="C89" i="85" s="1"/>
  <c r="C90" i="85" s="1"/>
  <c r="C75" i="85"/>
  <c r="C64" i="85"/>
  <c r="S39" i="85"/>
  <c r="O39" i="85"/>
  <c r="M39" i="85"/>
  <c r="L39" i="85"/>
  <c r="I39" i="85"/>
  <c r="H39" i="85"/>
  <c r="G39" i="85"/>
  <c r="F39" i="85"/>
  <c r="E39" i="85"/>
  <c r="D39" i="85"/>
  <c r="C39" i="85"/>
  <c r="U39" i="85"/>
  <c r="T39" i="85"/>
  <c r="R39" i="85"/>
  <c r="Q39" i="85"/>
  <c r="P39" i="85"/>
  <c r="K37" i="85"/>
  <c r="K39" i="85" s="1"/>
  <c r="J37" i="85"/>
  <c r="N37" i="85" s="1"/>
  <c r="N39" i="85" s="1"/>
  <c r="S31" i="85"/>
  <c r="R31" i="85"/>
  <c r="Q31" i="85"/>
  <c r="P31" i="85"/>
  <c r="I31" i="85"/>
  <c r="I118" i="85" s="1"/>
  <c r="O31" i="85"/>
  <c r="O118" i="85" s="1"/>
  <c r="M31" i="85"/>
  <c r="M118" i="85" s="1"/>
  <c r="L31" i="85"/>
  <c r="L118" i="85" s="1"/>
  <c r="K31" i="85"/>
  <c r="K118" i="85" s="1"/>
  <c r="J31" i="85"/>
  <c r="J118" i="85" s="1"/>
  <c r="H31" i="85"/>
  <c r="G31" i="85"/>
  <c r="G118" i="85" s="1"/>
  <c r="F31" i="85"/>
  <c r="E31" i="85"/>
  <c r="E118" i="85" s="1"/>
  <c r="D31" i="85"/>
  <c r="D118" i="85" s="1"/>
  <c r="U117" i="85"/>
  <c r="R117" i="85"/>
  <c r="Q117" i="85"/>
  <c r="P117" i="85"/>
  <c r="C30" i="85"/>
  <c r="U116" i="85"/>
  <c r="Q116" i="85"/>
  <c r="P116" i="85"/>
  <c r="N116" i="85"/>
  <c r="C29" i="85"/>
  <c r="C116" i="85" s="1"/>
  <c r="U115" i="85"/>
  <c r="T115" i="85"/>
  <c r="R115" i="85"/>
  <c r="Q115" i="85"/>
  <c r="N115" i="85"/>
  <c r="C28" i="85"/>
  <c r="U114" i="85"/>
  <c r="Q114" i="85"/>
  <c r="P26" i="85"/>
  <c r="N114" i="85"/>
  <c r="C27" i="85"/>
  <c r="S26" i="85"/>
  <c r="S47" i="85" s="1"/>
  <c r="O26" i="85"/>
  <c r="O47" i="85" s="1"/>
  <c r="M26" i="85"/>
  <c r="M47" i="85" s="1"/>
  <c r="M51" i="85" s="1"/>
  <c r="M134" i="85" s="1"/>
  <c r="L26" i="85"/>
  <c r="L47" i="85" s="1"/>
  <c r="L51" i="85" s="1"/>
  <c r="L134" i="85" s="1"/>
  <c r="K26" i="85"/>
  <c r="K47" i="85" s="1"/>
  <c r="K51" i="85" s="1"/>
  <c r="K134" i="85" s="1"/>
  <c r="J26" i="85"/>
  <c r="I26" i="85"/>
  <c r="H26" i="85"/>
  <c r="G26" i="85"/>
  <c r="G47" i="85" s="1"/>
  <c r="G51" i="85" s="1"/>
  <c r="G134" i="85" s="1"/>
  <c r="F26" i="85"/>
  <c r="F47" i="85" s="1"/>
  <c r="E26" i="85"/>
  <c r="E47" i="85" s="1"/>
  <c r="E51" i="85" s="1"/>
  <c r="E134" i="85" s="1"/>
  <c r="D26" i="85"/>
  <c r="D47" i="85" s="1"/>
  <c r="D51" i="85" s="1"/>
  <c r="D134" i="85" s="1"/>
  <c r="U112" i="85"/>
  <c r="T112" i="85"/>
  <c r="R112" i="85"/>
  <c r="Q112" i="85"/>
  <c r="P112" i="85"/>
  <c r="N112" i="85"/>
  <c r="I112" i="85"/>
  <c r="C25" i="85"/>
  <c r="C112" i="85" s="1"/>
  <c r="U111" i="85"/>
  <c r="T111" i="85"/>
  <c r="R111" i="85"/>
  <c r="Q111" i="85"/>
  <c r="P111" i="85"/>
  <c r="N111" i="85"/>
  <c r="I111" i="85"/>
  <c r="C24" i="85"/>
  <c r="C23" i="85" s="1"/>
  <c r="S23" i="85"/>
  <c r="Q23" i="85"/>
  <c r="O23" i="85"/>
  <c r="M23" i="85"/>
  <c r="L23" i="85"/>
  <c r="L142" i="85" s="1"/>
  <c r="K23" i="85"/>
  <c r="K142" i="85" s="1"/>
  <c r="J23" i="85"/>
  <c r="J142" i="85" s="1"/>
  <c r="H23" i="85"/>
  <c r="G23" i="85"/>
  <c r="G142" i="85" s="1"/>
  <c r="F23" i="85"/>
  <c r="E23" i="85"/>
  <c r="E142" i="85" s="1"/>
  <c r="D23" i="85"/>
  <c r="R16" i="85"/>
  <c r="N16" i="85"/>
  <c r="M16" i="85"/>
  <c r="L16" i="85"/>
  <c r="K16" i="85"/>
  <c r="J16" i="85"/>
  <c r="I16" i="85"/>
  <c r="H16" i="85"/>
  <c r="G16" i="85"/>
  <c r="F16" i="85"/>
  <c r="E16" i="85"/>
  <c r="D16" i="85"/>
  <c r="C16" i="85"/>
  <c r="O11" i="85"/>
  <c r="T11" i="85"/>
  <c r="S11" i="85"/>
  <c r="M11" i="85"/>
  <c r="J11" i="85"/>
  <c r="F11" i="85"/>
  <c r="E11" i="85"/>
  <c r="D11" i="85"/>
  <c r="C12" i="85"/>
  <c r="C135" i="85" s="1"/>
  <c r="U11" i="85"/>
  <c r="Q11" i="85"/>
  <c r="N11" i="85"/>
  <c r="N15" i="85" s="1"/>
  <c r="L11" i="85"/>
  <c r="I11" i="85"/>
  <c r="I15" i="85" s="1"/>
  <c r="G11" i="85"/>
  <c r="C11" i="85"/>
  <c r="C15" i="85" s="1"/>
  <c r="N10" i="85"/>
  <c r="I10" i="85"/>
  <c r="C9" i="85"/>
  <c r="R12" i="85"/>
  <c r="R135" i="85" s="1"/>
  <c r="O12" i="85"/>
  <c r="O135" i="85" s="1"/>
  <c r="M12" i="85"/>
  <c r="M135" i="85" s="1"/>
  <c r="L12" i="85"/>
  <c r="L135" i="85" s="1"/>
  <c r="K12" i="85"/>
  <c r="K135" i="85" s="1"/>
  <c r="J12" i="85"/>
  <c r="J135" i="85" s="1"/>
  <c r="H12" i="85"/>
  <c r="H135" i="85" s="1"/>
  <c r="G12" i="85"/>
  <c r="G135" i="85" s="1"/>
  <c r="F12" i="85"/>
  <c r="F135" i="85" s="1"/>
  <c r="D142" i="85" l="1"/>
  <c r="M142" i="85"/>
  <c r="E96" i="85"/>
  <c r="M146" i="85"/>
  <c r="C115" i="85"/>
  <c r="O96" i="85"/>
  <c r="O110" i="85"/>
  <c r="F142" i="85"/>
  <c r="F96" i="85"/>
  <c r="C114" i="85"/>
  <c r="D34" i="85"/>
  <c r="D44" i="85" s="1"/>
  <c r="D146" i="85"/>
  <c r="N146" i="85"/>
  <c r="J34" i="85"/>
  <c r="K34" i="85"/>
  <c r="K44" i="85" s="1"/>
  <c r="C117" i="85"/>
  <c r="F34" i="85"/>
  <c r="F44" i="85" s="1"/>
  <c r="L34" i="85"/>
  <c r="L44" i="85" s="1"/>
  <c r="D129" i="85"/>
  <c r="Q16" i="85"/>
  <c r="N31" i="85"/>
  <c r="S105" i="85"/>
  <c r="R26" i="85"/>
  <c r="T114" i="85"/>
  <c r="P115" i="85"/>
  <c r="O16" i="85"/>
  <c r="T117" i="85"/>
  <c r="U93" i="85"/>
  <c r="U96" i="85" s="1"/>
  <c r="P16" i="85"/>
  <c r="C129" i="85"/>
  <c r="E129" i="85"/>
  <c r="E130" i="85" s="1"/>
  <c r="Q15" i="85"/>
  <c r="S15" i="85"/>
  <c r="Q146" i="85"/>
  <c r="H118" i="85"/>
  <c r="N117" i="85"/>
  <c r="T31" i="85"/>
  <c r="T118" i="85" s="1"/>
  <c r="T116" i="85"/>
  <c r="P118" i="85"/>
  <c r="R114" i="85"/>
  <c r="H11" i="85"/>
  <c r="H143" i="85" s="1"/>
  <c r="R11" i="85"/>
  <c r="S94" i="85"/>
  <c r="S111" i="85" s="1"/>
  <c r="I8" i="85"/>
  <c r="I12" i="85" s="1"/>
  <c r="I135" i="85" s="1"/>
  <c r="T12" i="85"/>
  <c r="T135" i="85" s="1"/>
  <c r="E15" i="85"/>
  <c r="O15" i="85"/>
  <c r="R96" i="85"/>
  <c r="U12" i="85"/>
  <c r="U135" i="85" s="1"/>
  <c r="S18" i="85"/>
  <c r="D12" i="85"/>
  <c r="D135" i="85" s="1"/>
  <c r="D136" i="85" s="1"/>
  <c r="G15" i="85"/>
  <c r="N12" i="85"/>
  <c r="N135" i="85" s="1"/>
  <c r="J15" i="85"/>
  <c r="S10" i="85"/>
  <c r="S12" i="85" s="1"/>
  <c r="S135" i="85" s="1"/>
  <c r="P12" i="85"/>
  <c r="P135" i="85" s="1"/>
  <c r="P11" i="85"/>
  <c r="P149" i="85" s="1"/>
  <c r="S19" i="85"/>
  <c r="S20" i="85"/>
  <c r="K127" i="85"/>
  <c r="I9" i="85"/>
  <c r="Q12" i="85"/>
  <c r="Q135" i="85" s="1"/>
  <c r="L15" i="85"/>
  <c r="U15" i="85"/>
  <c r="S93" i="85"/>
  <c r="S146" i="85" s="1"/>
  <c r="R118" i="85"/>
  <c r="O132" i="85"/>
  <c r="O109" i="85"/>
  <c r="S118" i="85"/>
  <c r="S34" i="85"/>
  <c r="S44" i="85" s="1"/>
  <c r="K136" i="85"/>
  <c r="Q118" i="85"/>
  <c r="F51" i="85"/>
  <c r="F134" i="85" s="1"/>
  <c r="F136" i="85" s="1"/>
  <c r="G110" i="85"/>
  <c r="F118" i="85"/>
  <c r="H142" i="85"/>
  <c r="H110" i="85"/>
  <c r="P23" i="85"/>
  <c r="P34" i="85" s="1"/>
  <c r="P44" i="85" s="1"/>
  <c r="I149" i="85"/>
  <c r="I143" i="85"/>
  <c r="Q26" i="85"/>
  <c r="J39" i="85"/>
  <c r="J149" i="85" s="1"/>
  <c r="I146" i="85"/>
  <c r="H96" i="85"/>
  <c r="N118" i="85"/>
  <c r="D130" i="85"/>
  <c r="J146" i="85"/>
  <c r="R146" i="85"/>
  <c r="C93" i="85"/>
  <c r="C110" i="85" s="1"/>
  <c r="T93" i="85"/>
  <c r="T146" i="85" s="1"/>
  <c r="I96" i="85"/>
  <c r="Q96" i="85"/>
  <c r="J110" i="85"/>
  <c r="C151" i="85"/>
  <c r="F149" i="85"/>
  <c r="I23" i="85"/>
  <c r="D15" i="85"/>
  <c r="T15" i="85"/>
  <c r="R23" i="85"/>
  <c r="C111" i="85"/>
  <c r="C26" i="85"/>
  <c r="S149" i="85"/>
  <c r="S143" i="85"/>
  <c r="E34" i="85"/>
  <c r="E44" i="85" s="1"/>
  <c r="M34" i="85"/>
  <c r="M44" i="85" s="1"/>
  <c r="M127" i="85"/>
  <c r="J96" i="85"/>
  <c r="K110" i="85"/>
  <c r="F127" i="85"/>
  <c r="N127" i="85"/>
  <c r="D151" i="85"/>
  <c r="Q142" i="85"/>
  <c r="Q110" i="85"/>
  <c r="K11" i="85"/>
  <c r="K149" i="85" s="1"/>
  <c r="M15" i="85"/>
  <c r="S17" i="85"/>
  <c r="C142" i="85"/>
  <c r="D149" i="85"/>
  <c r="D143" i="85"/>
  <c r="D141" i="85" s="1"/>
  <c r="D144" i="85" s="1"/>
  <c r="L149" i="85"/>
  <c r="L143" i="85"/>
  <c r="L141" i="85" s="1"/>
  <c r="L144" i="85" s="1"/>
  <c r="T26" i="85"/>
  <c r="P114" i="85"/>
  <c r="R116" i="85"/>
  <c r="E127" i="85"/>
  <c r="K96" i="85"/>
  <c r="L110" i="85"/>
  <c r="L136" i="85"/>
  <c r="G127" i="85"/>
  <c r="O127" i="85"/>
  <c r="E151" i="85"/>
  <c r="E12" i="85"/>
  <c r="E135" i="85" s="1"/>
  <c r="E136" i="85" s="1"/>
  <c r="F15" i="85"/>
  <c r="T23" i="85"/>
  <c r="E149" i="85"/>
  <c r="E143" i="85"/>
  <c r="E141" i="85" s="1"/>
  <c r="E144" i="85" s="1"/>
  <c r="M149" i="85"/>
  <c r="M143" i="85"/>
  <c r="M141" i="85" s="1"/>
  <c r="M144" i="85" s="1"/>
  <c r="U26" i="85"/>
  <c r="G34" i="85"/>
  <c r="G44" i="85" s="1"/>
  <c r="O34" i="85"/>
  <c r="O44" i="85" s="1"/>
  <c r="H47" i="85"/>
  <c r="P47" i="85"/>
  <c r="D110" i="85"/>
  <c r="M110" i="85"/>
  <c r="M136" i="85"/>
  <c r="H127" i="85"/>
  <c r="P127" i="85"/>
  <c r="F151" i="85"/>
  <c r="J143" i="85"/>
  <c r="J141" i="85" s="1"/>
  <c r="J144" i="85" s="1"/>
  <c r="U23" i="85"/>
  <c r="F143" i="85"/>
  <c r="F141" i="85" s="1"/>
  <c r="F144" i="85" s="1"/>
  <c r="N26" i="85"/>
  <c r="H34" i="85"/>
  <c r="H44" i="85" s="1"/>
  <c r="I47" i="85"/>
  <c r="I51" i="85" s="1"/>
  <c r="I134" i="85" s="1"/>
  <c r="E110" i="85"/>
  <c r="I127" i="85"/>
  <c r="G151" i="85"/>
  <c r="O142" i="85"/>
  <c r="N23" i="85"/>
  <c r="G143" i="85"/>
  <c r="G141" i="85" s="1"/>
  <c r="G144" i="85" s="1"/>
  <c r="G149" i="85"/>
  <c r="O143" i="85"/>
  <c r="O149" i="85"/>
  <c r="I34" i="85"/>
  <c r="I44" i="85" s="1"/>
  <c r="J47" i="85"/>
  <c r="J51" i="85" s="1"/>
  <c r="J134" i="85" s="1"/>
  <c r="J136" i="85" s="1"/>
  <c r="R47" i="85"/>
  <c r="F110" i="85"/>
  <c r="G136" i="85"/>
  <c r="J127" i="85"/>
  <c r="D127" i="85"/>
  <c r="L127" i="85"/>
  <c r="F129" i="85"/>
  <c r="F130" i="85" s="1"/>
  <c r="G129" i="85"/>
  <c r="G130" i="85" s="1"/>
  <c r="P143" i="85" l="1"/>
  <c r="S16" i="85"/>
  <c r="H15" i="85"/>
  <c r="H149" i="85"/>
  <c r="R149" i="85"/>
  <c r="C130" i="85"/>
  <c r="R15" i="85"/>
  <c r="S142" i="85"/>
  <c r="S141" i="85" s="1"/>
  <c r="S144" i="85" s="1"/>
  <c r="R143" i="85"/>
  <c r="H141" i="85"/>
  <c r="H144" i="85" s="1"/>
  <c r="P15" i="85"/>
  <c r="I136" i="85"/>
  <c r="N34" i="85"/>
  <c r="N44" i="85" s="1"/>
  <c r="R142" i="85"/>
  <c r="R141" i="85" s="1"/>
  <c r="R144" i="85" s="1"/>
  <c r="R110" i="85"/>
  <c r="Q149" i="85"/>
  <c r="Q143" i="85"/>
  <c r="Q141" i="85" s="1"/>
  <c r="Q144" i="85" s="1"/>
  <c r="Q47" i="85"/>
  <c r="T96" i="85"/>
  <c r="R34" i="85"/>
  <c r="R44" i="85" s="1"/>
  <c r="O141" i="85"/>
  <c r="O144" i="85" s="1"/>
  <c r="C127" i="85"/>
  <c r="C146" i="85"/>
  <c r="C96" i="85"/>
  <c r="K15" i="85"/>
  <c r="H132" i="85"/>
  <c r="H109" i="85"/>
  <c r="U142" i="85"/>
  <c r="U110" i="85"/>
  <c r="U47" i="85"/>
  <c r="T149" i="85"/>
  <c r="T143" i="85"/>
  <c r="T34" i="85"/>
  <c r="T44" i="85" s="1"/>
  <c r="T47" i="85"/>
  <c r="J44" i="85"/>
  <c r="S110" i="85"/>
  <c r="L132" i="85"/>
  <c r="L137" i="85" s="1"/>
  <c r="L138" i="85" s="1"/>
  <c r="L109" i="85"/>
  <c r="C132" i="85"/>
  <c r="C109" i="85"/>
  <c r="K132" i="85"/>
  <c r="K137" i="85" s="1"/>
  <c r="K138" i="85" s="1"/>
  <c r="K109" i="85"/>
  <c r="E132" i="85"/>
  <c r="E137" i="85" s="1"/>
  <c r="E138" i="85" s="1"/>
  <c r="E109" i="85"/>
  <c r="H51" i="85"/>
  <c r="H134" i="85" s="1"/>
  <c r="H136" i="85" s="1"/>
  <c r="K143" i="85"/>
  <c r="K141" i="85" s="1"/>
  <c r="K144" i="85" s="1"/>
  <c r="I142" i="85"/>
  <c r="I141" i="85" s="1"/>
  <c r="I144" i="85" s="1"/>
  <c r="I110" i="85"/>
  <c r="S96" i="85"/>
  <c r="N143" i="85"/>
  <c r="N149" i="85"/>
  <c r="N47" i="85"/>
  <c r="N142" i="85"/>
  <c r="N110" i="85"/>
  <c r="M132" i="85"/>
  <c r="M137" i="85" s="1"/>
  <c r="M138" i="85" s="1"/>
  <c r="M109" i="85"/>
  <c r="G132" i="85"/>
  <c r="G137" i="85" s="1"/>
  <c r="G138" i="85" s="1"/>
  <c r="G109" i="85"/>
  <c r="Q34" i="85"/>
  <c r="Q44" i="85" s="1"/>
  <c r="F132" i="85"/>
  <c r="F137" i="85" s="1"/>
  <c r="F138" i="85" s="1"/>
  <c r="F109" i="85"/>
  <c r="D132" i="85"/>
  <c r="D137" i="85" s="1"/>
  <c r="D138" i="85" s="1"/>
  <c r="D109" i="85"/>
  <c r="T142" i="85"/>
  <c r="T110" i="85"/>
  <c r="Q132" i="85"/>
  <c r="Q109" i="85"/>
  <c r="C149" i="85"/>
  <c r="C143" i="85"/>
  <c r="C141" i="85" s="1"/>
  <c r="C144" i="85" s="1"/>
  <c r="C47" i="85"/>
  <c r="C34" i="85"/>
  <c r="C44" i="85" s="1"/>
  <c r="J132" i="85"/>
  <c r="J137" i="85" s="1"/>
  <c r="J138" i="85" s="1"/>
  <c r="J109" i="85"/>
  <c r="P142" i="85"/>
  <c r="P141" i="85" s="1"/>
  <c r="P144" i="85" s="1"/>
  <c r="P110" i="85"/>
  <c r="C54" i="85"/>
  <c r="C65" i="85" s="1"/>
  <c r="C66" i="85" s="1"/>
  <c r="T141" i="85" l="1"/>
  <c r="T144" i="85" s="1"/>
  <c r="C145" i="85"/>
  <c r="C150" i="85" s="1"/>
  <c r="C152" i="85" s="1"/>
  <c r="T132" i="85"/>
  <c r="T109" i="85"/>
  <c r="N132" i="85"/>
  <c r="N109" i="85"/>
  <c r="N141" i="85"/>
  <c r="N144" i="85" s="1"/>
  <c r="H137" i="85"/>
  <c r="H138" i="85" s="1"/>
  <c r="U132" i="85"/>
  <c r="U109" i="85"/>
  <c r="C49" i="85"/>
  <c r="C51" i="85"/>
  <c r="C134" i="85" s="1"/>
  <c r="C136" i="85" s="1"/>
  <c r="C137" i="85" s="1"/>
  <c r="C138" i="85" s="1"/>
  <c r="R132" i="85"/>
  <c r="R109" i="85"/>
  <c r="I132" i="85"/>
  <c r="I137" i="85" s="1"/>
  <c r="I138" i="85" s="1"/>
  <c r="I109" i="85"/>
  <c r="P132" i="85"/>
  <c r="P109" i="85"/>
  <c r="N51" i="85"/>
  <c r="N134" i="85" s="1"/>
  <c r="N136" i="85" s="1"/>
  <c r="S132" i="85"/>
  <c r="S109" i="85"/>
  <c r="C153" i="85" l="1"/>
  <c r="N137" i="85"/>
  <c r="N138" i="85" s="1"/>
  <c r="J49" i="85" l="1"/>
  <c r="L49" i="85"/>
  <c r="E49" i="85" l="1"/>
  <c r="F49" i="85"/>
  <c r="D49" i="85"/>
  <c r="G49" i="85"/>
  <c r="O51" i="85" l="1"/>
  <c r="O134" i="85" s="1"/>
  <c r="O136" i="85" s="1"/>
  <c r="O137" i="85" s="1"/>
  <c r="O138" i="85" s="1"/>
  <c r="O49" i="85"/>
  <c r="P51" i="85" l="1"/>
  <c r="P134" i="85" s="1"/>
  <c r="P136" i="85" s="1"/>
  <c r="P137" i="85" s="1"/>
  <c r="P138" i="85" s="1"/>
  <c r="P49" i="85"/>
  <c r="I49" i="85" l="1"/>
  <c r="K49" i="85"/>
  <c r="N49" i="85"/>
  <c r="H49" i="85" l="1"/>
  <c r="T49" i="85" l="1"/>
  <c r="T51" i="85"/>
  <c r="T134" i="85" s="1"/>
  <c r="T136" i="85" s="1"/>
  <c r="T137" i="85" s="1"/>
  <c r="Q51" i="85"/>
  <c r="Q134" i="85" s="1"/>
  <c r="Q136" i="85" s="1"/>
  <c r="Q137" i="85" s="1"/>
  <c r="Q49" i="85"/>
  <c r="S49" i="85"/>
  <c r="S51" i="85"/>
  <c r="S134" i="85" s="1"/>
  <c r="S136" i="85" s="1"/>
  <c r="S137" i="85" s="1"/>
  <c r="M49" i="85"/>
  <c r="R51" i="85" l="1"/>
  <c r="R134" i="85" s="1"/>
  <c r="R136" i="85" s="1"/>
  <c r="R137" i="85" s="1"/>
  <c r="R49" i="85"/>
  <c r="AE5" i="76" l="1"/>
  <c r="AA5" i="76" l="1"/>
  <c r="U31" i="85" l="1"/>
  <c r="U118" i="85" l="1"/>
  <c r="U34" i="85"/>
  <c r="U44" i="85" s="1"/>
  <c r="U149" i="85"/>
  <c r="U143" i="85"/>
  <c r="U141" i="85" s="1"/>
  <c r="U144" i="85" s="1"/>
  <c r="U51" i="85" l="1"/>
  <c r="U134" i="85" s="1"/>
  <c r="U136" i="85" s="1"/>
  <c r="U137" i="85" s="1"/>
  <c r="U49" i="85"/>
  <c r="U146" i="85" l="1"/>
  <c r="N145" i="85" l="1"/>
  <c r="N150" i="85" s="1"/>
  <c r="I145" i="85"/>
  <c r="I150" i="85" s="1"/>
  <c r="T127" i="85" l="1"/>
  <c r="T138" i="85" s="1"/>
  <c r="Q127" i="85" l="1"/>
  <c r="Q138" i="85" s="1"/>
  <c r="E145" i="85" l="1"/>
  <c r="E150" i="85" s="1"/>
  <c r="M145" i="85" l="1"/>
  <c r="M150" i="85" s="1"/>
  <c r="E152" i="85"/>
  <c r="E153" i="85"/>
  <c r="H145" i="85" l="1"/>
  <c r="H150" i="85" s="1"/>
  <c r="L145" i="85"/>
  <c r="L150" i="85" s="1"/>
  <c r="J145" i="85"/>
  <c r="J150" i="85" s="1"/>
  <c r="K145" i="85"/>
  <c r="K150" i="85" s="1"/>
  <c r="D145" i="85"/>
  <c r="D150" i="85" s="1"/>
  <c r="G145" i="85"/>
  <c r="G150" i="85" s="1"/>
  <c r="F145" i="85"/>
  <c r="F150" i="85" s="1"/>
  <c r="D152" i="85" l="1"/>
  <c r="D153" i="85"/>
  <c r="F152" i="85"/>
  <c r="F153" i="85"/>
  <c r="G153" i="85"/>
  <c r="G152" i="85"/>
  <c r="S127" i="85" l="1"/>
  <c r="S138" i="85" s="1"/>
  <c r="R127" i="85" l="1"/>
  <c r="R138" i="85" s="1"/>
  <c r="S151" i="85" l="1"/>
  <c r="S129" i="85"/>
  <c r="S130" i="85" s="1"/>
  <c r="H129" i="85"/>
  <c r="H130" i="85" s="1"/>
  <c r="I128" i="85"/>
  <c r="H151" i="85"/>
  <c r="L129" i="85" l="1"/>
  <c r="L130" i="85" s="1"/>
  <c r="L151" i="85"/>
  <c r="M129" i="85"/>
  <c r="M130" i="85" s="1"/>
  <c r="M151" i="85"/>
  <c r="I151" i="85"/>
  <c r="I129" i="85"/>
  <c r="I130" i="85" s="1"/>
  <c r="J151" i="85"/>
  <c r="J129" i="85"/>
  <c r="J130" i="85" s="1"/>
  <c r="N128" i="85"/>
  <c r="H152" i="85"/>
  <c r="H153" i="85"/>
  <c r="K129" i="85"/>
  <c r="K130" i="85" s="1"/>
  <c r="K151" i="85"/>
  <c r="K152" i="85" l="1"/>
  <c r="K153" i="85"/>
  <c r="Q151" i="85"/>
  <c r="Q129" i="85"/>
  <c r="Q130" i="85" s="1"/>
  <c r="M152" i="85"/>
  <c r="M153" i="85"/>
  <c r="N151" i="85"/>
  <c r="N129" i="85"/>
  <c r="N130" i="85" s="1"/>
  <c r="I152" i="85"/>
  <c r="I153" i="85"/>
  <c r="L153" i="85"/>
  <c r="L152" i="85"/>
  <c r="J152" i="85"/>
  <c r="J153" i="85"/>
  <c r="R151" i="85"/>
  <c r="R129" i="85"/>
  <c r="R130" i="85" s="1"/>
  <c r="N152" i="85" l="1"/>
  <c r="N153" i="85"/>
  <c r="U145" i="85" l="1"/>
  <c r="U150" i="85" s="1"/>
  <c r="S145" i="85" l="1"/>
  <c r="S150" i="85" s="1"/>
  <c r="O145" i="85" l="1"/>
  <c r="O150" i="85" s="1"/>
  <c r="P145" i="85"/>
  <c r="P150" i="85" s="1"/>
  <c r="S152" i="85"/>
  <c r="S153" i="85"/>
  <c r="R145" i="85"/>
  <c r="R150" i="85" s="1"/>
  <c r="Q145" i="85"/>
  <c r="Q150" i="85" s="1"/>
  <c r="R152" i="85" l="1"/>
  <c r="R153" i="85"/>
  <c r="P129" i="85"/>
  <c r="P130" i="85" s="1"/>
  <c r="P151" i="85"/>
  <c r="P152" i="85" s="1"/>
  <c r="Q152" i="85"/>
  <c r="Q153" i="85"/>
  <c r="O129" i="85"/>
  <c r="O130" i="85" s="1"/>
  <c r="O151" i="85"/>
  <c r="O152" i="85" s="1"/>
  <c r="O153" i="85" l="1"/>
  <c r="P153" i="85"/>
  <c r="T145" i="85" l="1"/>
  <c r="T150" i="85" s="1"/>
  <c r="T151" i="85" l="1"/>
  <c r="T129" i="85"/>
  <c r="T130" i="85" s="1"/>
  <c r="U151" i="85"/>
  <c r="U153" i="85" l="1"/>
  <c r="U152" i="85"/>
  <c r="T152" i="85"/>
  <c r="T153" i="85"/>
  <c r="U127" i="85" l="1"/>
  <c r="U138" i="85" s="1"/>
  <c r="U129" i="85"/>
  <c r="U130" i="85" s="1"/>
</calcChain>
</file>

<file path=xl/sharedStrings.xml><?xml version="1.0" encoding="utf-8"?>
<sst xmlns="http://schemas.openxmlformats.org/spreadsheetml/2006/main" count="495" uniqueCount="357">
  <si>
    <t>6M20</t>
  </si>
  <si>
    <t>6M21</t>
  </si>
  <si>
    <t>EBITDA (LTM)</t>
  </si>
  <si>
    <t>EBITDA</t>
  </si>
  <si>
    <t>12M20</t>
  </si>
  <si>
    <t>9M20</t>
  </si>
  <si>
    <t>EBIT</t>
  </si>
  <si>
    <t>Total DDGs (tons)</t>
  </si>
  <si>
    <t>Capex</t>
  </si>
  <si>
    <t>12M19</t>
  </si>
  <si>
    <t>9M21</t>
  </si>
  <si>
    <t>CFO</t>
  </si>
  <si>
    <t>FY20</t>
  </si>
  <si>
    <t>FY21</t>
  </si>
  <si>
    <t>FY19</t>
  </si>
  <si>
    <t>12M21¹</t>
  </si>
  <si>
    <t>FY21
vs FY20</t>
  </si>
  <si>
    <t>FY20
vs FY19</t>
  </si>
  <si>
    <t>FY18</t>
  </si>
  <si>
    <t>12M18</t>
  </si>
  <si>
    <t xml:space="preserve"> </t>
  </si>
  <si>
    <t>Balanço Patrimonial</t>
  </si>
  <si>
    <t>(em milhares de R$)</t>
  </si>
  <si>
    <t>1T20</t>
  </si>
  <si>
    <t>2T20</t>
  </si>
  <si>
    <t>3T20</t>
  </si>
  <si>
    <t>1T21</t>
  </si>
  <si>
    <t>2T21</t>
  </si>
  <si>
    <t>3T21</t>
  </si>
  <si>
    <t>1T22</t>
  </si>
  <si>
    <t>Caixa e equivalentes de caixa</t>
  </si>
  <si>
    <t>Aplicações financeiras</t>
  </si>
  <si>
    <t>Clientes e outros recebíveis</t>
  </si>
  <si>
    <t>Estoques</t>
  </si>
  <si>
    <t xml:space="preserve">Adiantamentos a fornecedores </t>
  </si>
  <si>
    <t>Imposto de renda e contribuição social</t>
  </si>
  <si>
    <t>Despesas antecipadas</t>
  </si>
  <si>
    <t>Ativo biológico</t>
  </si>
  <si>
    <t>Outros créditos</t>
  </si>
  <si>
    <t>Ativo circulante</t>
  </si>
  <si>
    <t>Ativo fiscal diferido</t>
  </si>
  <si>
    <t>Depósitos judiciais</t>
  </si>
  <si>
    <t>Total do realizável ao longo prazo</t>
  </si>
  <si>
    <t>Investimentos</t>
  </si>
  <si>
    <t>Imobilizado</t>
  </si>
  <si>
    <t>Intangível</t>
  </si>
  <si>
    <t>Ativo não circulante</t>
  </si>
  <si>
    <t>Ativo</t>
  </si>
  <si>
    <t>Fornecedores</t>
  </si>
  <si>
    <t>Empréstimos</t>
  </si>
  <si>
    <t>Adiantamentos de clientes</t>
  </si>
  <si>
    <t>Obrigações com arrendamento</t>
  </si>
  <si>
    <t>Impostos e contribuições a recolher</t>
  </si>
  <si>
    <t>Ordenados e salários a pagar</t>
  </si>
  <si>
    <t>Passivo circulante</t>
  </si>
  <si>
    <t>Empréstimo de partes relacionadas</t>
  </si>
  <si>
    <t>Outras contas a pagar</t>
  </si>
  <si>
    <t>Passivo fiscal diferido</t>
  </si>
  <si>
    <t>Passivo não circulante</t>
  </si>
  <si>
    <t>Capital social</t>
  </si>
  <si>
    <t>Reserva de capital</t>
  </si>
  <si>
    <t>Reserva de incentivo fiscal</t>
  </si>
  <si>
    <t>Lucro ou perda e outro rendimento abrangente</t>
  </si>
  <si>
    <t>Patrimônio líquido</t>
  </si>
  <si>
    <t>Passivo + Patrimônio líquido</t>
  </si>
  <si>
    <t>Demonstração dos Resultados</t>
  </si>
  <si>
    <t>Receita operacional líquida</t>
  </si>
  <si>
    <t>Custo do produto vendido</t>
  </si>
  <si>
    <t>Lucro bruto</t>
  </si>
  <si>
    <t>margem bruta</t>
  </si>
  <si>
    <t xml:space="preserve"> Despesas com vendas</t>
  </si>
  <si>
    <t xml:space="preserve"> Despesas administrativas e gerais </t>
  </si>
  <si>
    <t>Outras receitas (despesas) liquidas</t>
  </si>
  <si>
    <t>Despesas operacionais</t>
  </si>
  <si>
    <t>Resultado antes das receitas (despesas) financeiras líquidas e impostos</t>
  </si>
  <si>
    <t>Receitas financeiras</t>
  </si>
  <si>
    <t>Despesas financeiras</t>
  </si>
  <si>
    <t>Variação cambial líquida</t>
  </si>
  <si>
    <t>Receitas (despesas) financeiras liquidas</t>
  </si>
  <si>
    <t>Resultado do exercício antes do impostos</t>
  </si>
  <si>
    <t>Imposto de renda e contribuição social corrente</t>
  </si>
  <si>
    <t>Imposto de renda e contribuição social diferidos</t>
  </si>
  <si>
    <t>Incentivos fiscais de Imposto de renda</t>
  </si>
  <si>
    <t>Resultado do exercício</t>
  </si>
  <si>
    <t>margem líquida</t>
  </si>
  <si>
    <t>margem ebit</t>
  </si>
  <si>
    <t>margem ebitda</t>
  </si>
  <si>
    <t>4T20</t>
  </si>
  <si>
    <t>4T21</t>
  </si>
  <si>
    <t>Demonstração do Fluxo de Caixa</t>
  </si>
  <si>
    <t>Ajuste para:</t>
  </si>
  <si>
    <t>Provisão de juros sobre empréstimos de partes relacionadas</t>
  </si>
  <si>
    <t>Ajuste a valor justo Cbios</t>
  </si>
  <si>
    <t>Provisão para perda de adiantamento à fornecedores</t>
  </si>
  <si>
    <t>Variações em capital de giro:</t>
  </si>
  <si>
    <t>Outros</t>
  </si>
  <si>
    <t>Fluxo de caixa gerado pelas atividades operacionais (a)</t>
  </si>
  <si>
    <t>Fluxo de caixa das atividades de investimentos</t>
  </si>
  <si>
    <t>Juros e encargos pagos sobre empréstimos capitalizados</t>
  </si>
  <si>
    <t>Fluxo da Dívida Líquida</t>
  </si>
  <si>
    <t>Dívida Líquida Inicial</t>
  </si>
  <si>
    <t>Imposto de Renda pago</t>
  </si>
  <si>
    <t>Capex pago</t>
  </si>
  <si>
    <t>Dívida Líquida Final</t>
  </si>
  <si>
    <t>Variação da dívida líquida</t>
  </si>
  <si>
    <t>1T21 LTM¹</t>
  </si>
  <si>
    <t>2T21 LTM¹</t>
  </si>
  <si>
    <t>3T21 LTM¹</t>
  </si>
  <si>
    <t>Endividamento</t>
  </si>
  <si>
    <t>Outras linhas de capital de giro</t>
  </si>
  <si>
    <t>Dívida líquida</t>
  </si>
  <si>
    <t>Dívida líquida / EBITDA (LTM)</t>
  </si>
  <si>
    <t>Perfil do endividamento</t>
  </si>
  <si>
    <t xml:space="preserve"> Dívida de curto prazo</t>
  </si>
  <si>
    <t xml:space="preserve"> Dívida de longo prazo</t>
  </si>
  <si>
    <t>Curto prazo (%)</t>
  </si>
  <si>
    <t>Longo prazo (%)</t>
  </si>
  <si>
    <t>Projeto de financiamento</t>
  </si>
  <si>
    <t>Dívida de capital de giro</t>
  </si>
  <si>
    <t>Projeto de financiamento (%)</t>
  </si>
  <si>
    <t>Dívida de capital de giro (%)</t>
  </si>
  <si>
    <t>Moeda estrangeira</t>
  </si>
  <si>
    <t>Moeda nacional</t>
  </si>
  <si>
    <t>Moeda estrangeira (%)</t>
  </si>
  <si>
    <t>Moeda nacional (%)</t>
  </si>
  <si>
    <t>3T21 ¹</t>
  </si>
  <si>
    <t>Dados Operacionais</t>
  </si>
  <si>
    <t>Produção</t>
  </si>
  <si>
    <t>Rendimento (Ltr/ton)</t>
  </si>
  <si>
    <t>Milho moído (tons)</t>
  </si>
  <si>
    <t>Biomassa processada (m3)</t>
  </si>
  <si>
    <t>% volume anidro produzido</t>
  </si>
  <si>
    <t>DDGs produzidos (tons)</t>
  </si>
  <si>
    <t>DDG Alta proteina (tons)</t>
  </si>
  <si>
    <t>DDG Alta fibra (tons)</t>
  </si>
  <si>
    <t>Úmido (tons)</t>
  </si>
  <si>
    <t>Óleo de milho produzido (tons)</t>
  </si>
  <si>
    <t>Segmento - Etanol</t>
  </si>
  <si>
    <t>Etanol anidro</t>
  </si>
  <si>
    <t>Etanol hidratado</t>
  </si>
  <si>
    <t>DDG Alta proteína</t>
  </si>
  <si>
    <t>DDG Alta fibra</t>
  </si>
  <si>
    <t>Úmido</t>
  </si>
  <si>
    <t>Óleo de milho</t>
  </si>
  <si>
    <t>Segmento - Cogeração de energia</t>
  </si>
  <si>
    <t>Vapor</t>
  </si>
  <si>
    <t>Volumes vendidos</t>
  </si>
  <si>
    <t>Etanol Vendido (m3)</t>
  </si>
  <si>
    <t>Etanol Vendido anidro (m3)</t>
  </si>
  <si>
    <t>Etanol Vendido hidratado (m3)</t>
  </si>
  <si>
    <t>% volume de anidro vendido</t>
  </si>
  <si>
    <t>Nutrição animal</t>
  </si>
  <si>
    <t>DDG Alta proteína (tons)</t>
  </si>
  <si>
    <t>Óleo de milho (tons)</t>
  </si>
  <si>
    <t>Cogeração de energia (MWh)</t>
  </si>
  <si>
    <t>Segmento outros - Vapor (tons)</t>
  </si>
  <si>
    <t>Segmento outros - Comercialização de milho (tons)</t>
  </si>
  <si>
    <t>Preços praticados</t>
  </si>
  <si>
    <t>ESALQ Hidratado SP (R$/ltr)</t>
  </si>
  <si>
    <t>Basis (R$/ltr)</t>
  </si>
  <si>
    <t>Etanol Vendido (R$/ltr)</t>
  </si>
  <si>
    <t>Etanol Vendido anidro (R$/ltr)</t>
  </si>
  <si>
    <t>Etanol Vendido hidratado (R$/ltr)</t>
  </si>
  <si>
    <t>DDG Alta proteína (R$/tons)</t>
  </si>
  <si>
    <t>DDG Alta fibra (R$/tons)</t>
  </si>
  <si>
    <t>Úmido (R$/tons)</t>
  </si>
  <si>
    <t>Óleo de milho (R$/tons)</t>
  </si>
  <si>
    <t>Cogeração de energia (R$/MWh)</t>
  </si>
  <si>
    <t>Segmento outros - Vapor (R$/ton)</t>
  </si>
  <si>
    <t>Segmento outros - Comercialização de milho (R$/sac)</t>
  </si>
  <si>
    <t xml:space="preserve"> Custo de consumo do milho (R$ por saca)</t>
  </si>
  <si>
    <t xml:space="preserve"> Custo do consumo da biomassa (R$ por m³)</t>
  </si>
  <si>
    <t>Custo de comercialização do milho (R$/sac)</t>
  </si>
  <si>
    <t>Destaques Financeiros</t>
  </si>
  <si>
    <t>EBITDA (R$/ltr)</t>
  </si>
  <si>
    <t>Capex de manutenção</t>
  </si>
  <si>
    <t>EBITDA menos capex de manutenção</t>
  </si>
  <si>
    <t>EBITDA menos capex de manutenção (R$/ltr)</t>
  </si>
  <si>
    <t>Etanol vendido(R$/ltr) (a)</t>
  </si>
  <si>
    <t>Taxa de cobertura de nutrição animal (%)</t>
  </si>
  <si>
    <t xml:space="preserve"> Custo do milho (R$/sac)</t>
  </si>
  <si>
    <t>Spread de esmagamento (R$/ltr) (c) = (a-b)</t>
  </si>
  <si>
    <t>1T21 ¹</t>
  </si>
  <si>
    <t>2T21 ¹</t>
  </si>
  <si>
    <t>4T21 ¹</t>
  </si>
  <si>
    <t>Capex para crescimento ² (b)</t>
  </si>
  <si>
    <t>Capex de manutenção ³ (c)</t>
  </si>
  <si>
    <t>¹ Inclui aquisições, transferências e baixas</t>
  </si>
  <si>
    <t>² Capex de crescimento é calculado como a soma das adições, aquisições, alienações e transferências das seguintes rubricas na nota às demonstrações financeiras intitulada “Imobilizado”: Terreno, Obras em andamento, Adiantamento a fornecedores, Direito de uso, Planta de suporte, construção, máquinas e equipamentos e instalações.</t>
  </si>
  <si>
    <t>³ O Capex de Manutenção é calculado como a soma das adições, aquisições, alienações e transferências das seguintes rubricas na nota às demonstrações financeiras intitulada “Imobilizado”: Edifícios, Máquinas e equipamentos, Móveis e computadores, Veículos, e Instalações.</t>
  </si>
  <si>
    <t>Dividendos pagos / Distribuição tributária</t>
  </si>
  <si>
    <t>1T22 LTM</t>
  </si>
  <si>
    <t>Fluxo de caixa gerado pelas atividades de investimentos (b)</t>
  </si>
  <si>
    <t>Fluxo de caixa das atividades de financiamentos</t>
  </si>
  <si>
    <t>2T22</t>
  </si>
  <si>
    <t>6M22</t>
  </si>
  <si>
    <t>2T22 LTM</t>
  </si>
  <si>
    <t>3T22</t>
  </si>
  <si>
    <t>9M22</t>
  </si>
  <si>
    <t>3T22 LTM</t>
  </si>
  <si>
    <t>Caixa restrito - curto prazo</t>
  </si>
  <si>
    <t>Impostos a recuperar - curto prazo</t>
  </si>
  <si>
    <t>Caixa restrito - longo prazo</t>
  </si>
  <si>
    <t>Impostos a recuperar - longo prazo</t>
  </si>
  <si>
    <t>Partes relacionadas</t>
  </si>
  <si>
    <t>Dividendos a pagar</t>
  </si>
  <si>
    <t>Ganhos acumulados / (perdas)</t>
  </si>
  <si>
    <t>Outros resultados abrangentes</t>
  </si>
  <si>
    <t>Empréstimos partes relacionadas</t>
  </si>
  <si>
    <t>Capital de Giro</t>
  </si>
  <si>
    <t>Provisão de juros</t>
  </si>
  <si>
    <t>Variação Cambial da dívida, derivativos e outros</t>
  </si>
  <si>
    <t>¹ No 1T21, 2T21, 3T21 e 4T21 houve alteração do critério de alocação entre a linha “Capital de Giro” e a linha “Variação Cambial da dívida e derivativos”.</t>
  </si>
  <si>
    <t xml:space="preserve">FY18 </t>
  </si>
  <si>
    <t xml:space="preserve">FY19 </t>
  </si>
  <si>
    <t xml:space="preserve">1T20 </t>
  </si>
  <si>
    <t>Custo de milho ajustado pela nutrição animal (R$/ltr) (b) ¹</t>
  </si>
  <si>
    <t>FY22</t>
  </si>
  <si>
    <t>4T22</t>
  </si>
  <si>
    <t>FY22
vs FY21</t>
  </si>
  <si>
    <t>12M22</t>
  </si>
  <si>
    <t>Instrumentos financeiros derivativos - curto prazo</t>
  </si>
  <si>
    <t>Instrumentos financeiros derivativos - longo prazo</t>
  </si>
  <si>
    <t>1T23</t>
  </si>
  <si>
    <t>A FS Indústria de Biocombustíveis Ltda. ("FS Ltda") e and FS I Indústria de Etanol S.A. 
(“FS S.A.”) (combinadas como ”Empresa”, ou “FS”) anunciam seus resultados consolidados</t>
  </si>
  <si>
    <t>1T23 LTM</t>
  </si>
  <si>
    <t>2T23</t>
  </si>
  <si>
    <t>Capex ativo biológico (d)</t>
  </si>
  <si>
    <t>Resultado na venda de ativos</t>
  </si>
  <si>
    <t>Anidro Total produzido (m³)</t>
  </si>
  <si>
    <t>Etanol produzido (m³)</t>
  </si>
  <si>
    <t>Anidro Produzido (m³)</t>
  </si>
  <si>
    <t>Hidratado Produzido (m³)</t>
  </si>
  <si>
    <t>Resultado com revenda de milho (b)</t>
  </si>
  <si>
    <t xml:space="preserve">Custo de produção - milho (d) </t>
  </si>
  <si>
    <t>Custo de Produção de Etanol de Milho</t>
  </si>
  <si>
    <t>Custo total líquido (a)</t>
  </si>
  <si>
    <t>Investimento em ativo fixo para manutenção (d)</t>
  </si>
  <si>
    <t>Custo de produção de etanol de milho (e) = (c + d)</t>
  </si>
  <si>
    <t xml:space="preserve">EBITDA menos investimento em ativo fixo para manutenção </t>
  </si>
  <si>
    <t>Receita líquida³</t>
  </si>
  <si>
    <t>Etanol³</t>
  </si>
  <si>
    <t>Nutrição Animal e outros segmentos ³,6</t>
  </si>
  <si>
    <t>Receita líquida ex-nutrição animal e outros segmentos 6</t>
  </si>
  <si>
    <t>Custo de produção vendida ³</t>
  </si>
  <si>
    <t>Despesas comerciais, administrativas e gerais 4</t>
  </si>
  <si>
    <t>Depreciação e amortização 5</t>
  </si>
  <si>
    <t>Rec. Líq. nutri. animal e outros segmentos (b) 6</t>
  </si>
  <si>
    <t>Custos e despesas líq. de nutri. animal e outros (c) = (a + b) 6</t>
  </si>
  <si>
    <t>Caixa total 3,5,6</t>
  </si>
  <si>
    <t>Dívida bruta</t>
  </si>
  <si>
    <t>Senior Secured Green Notes (Bond) e CPRF 1,2,3</t>
  </si>
  <si>
    <t>Certificado de recebíveis do agronegócio (CRA) e imobiliários (CRI)</t>
  </si>
  <si>
    <r>
      <t>6</t>
    </r>
    <r>
      <rPr>
        <sz val="7"/>
        <color rgb="FF5C6062"/>
        <rFont val="Montserrat"/>
      </rPr>
      <t xml:space="preserve"> Inclui caixa e equivalentes de caixa, aplicações financeiras e caixa restrito (curto e longo prazo).</t>
    </r>
  </si>
  <si>
    <r>
      <t>4</t>
    </r>
    <r>
      <rPr>
        <sz val="7"/>
        <color rgb="FF5C6062"/>
        <rFont val="Montserrat"/>
      </rPr>
      <t xml:space="preserve"> Emissão de R$ 1,5 bilhão de CPRF (Cédula de Produtor Rural Financeira) pela FS, referente operação de back-to-back para transferência de ativos da FS LTDA para FS S.A.</t>
    </r>
  </si>
  <si>
    <t>Investimento líquido do controlador</t>
  </si>
  <si>
    <t xml:space="preserve">Depreciação (f) </t>
  </si>
  <si>
    <t xml:space="preserve">Recebimentos pela alienação de ativo biológico e planta portadora </t>
  </si>
  <si>
    <t>Contas a receber com partes relacionadas</t>
  </si>
  <si>
    <t>Recebimentos pela alienação de ativos</t>
  </si>
  <si>
    <t>Variações em capital de giro</t>
  </si>
  <si>
    <t xml:space="preserve">Depreciação e amortização </t>
  </si>
  <si>
    <t>Rendimento de aplicações financeiras e caixa restrito</t>
  </si>
  <si>
    <t>Custo de empréstimos (encargos de dívidas)</t>
  </si>
  <si>
    <t>Tributos e contribuições sociais diferidos</t>
  </si>
  <si>
    <t>Variação monetária e cambial</t>
  </si>
  <si>
    <t xml:space="preserve">Ajuste a valor justo </t>
  </si>
  <si>
    <t>Ajuste a valor presente</t>
  </si>
  <si>
    <t>Ajuste a valor justo de ativo biológico</t>
  </si>
  <si>
    <t>Perdas de crédito esperadas</t>
  </si>
  <si>
    <t xml:space="preserve">Clientes e outros recebíveis </t>
  </si>
  <si>
    <t xml:space="preserve">Impostos a recuperar </t>
  </si>
  <si>
    <t xml:space="preserve">Adiantamento de clientes </t>
  </si>
  <si>
    <t xml:space="preserve">Ordenados e salários a pagar </t>
  </si>
  <si>
    <t xml:space="preserve">Impostos e contribuições a recolher </t>
  </si>
  <si>
    <t xml:space="preserve">Outras contas a pagar </t>
  </si>
  <si>
    <t>Pagamento de juros (encargos de dívidas)</t>
  </si>
  <si>
    <t>Juros resgatados de investimentos de curto prazo</t>
  </si>
  <si>
    <t xml:space="preserve">Imposto de renda e contribuição social pagos </t>
  </si>
  <si>
    <t>Empréstimos com partes relacionadas</t>
  </si>
  <si>
    <t xml:space="preserve">Estoques </t>
  </si>
  <si>
    <t>Aquisições de ativo imobilizado e intangível</t>
  </si>
  <si>
    <t xml:space="preserve">Ativos biológicos </t>
  </si>
  <si>
    <t xml:space="preserve">Intangível </t>
  </si>
  <si>
    <t xml:space="preserve">Investimentos em controladas </t>
  </si>
  <si>
    <t>Investimento em aplicações financeiras</t>
  </si>
  <si>
    <t>(Aplicações) Resgates de caixa restrito</t>
  </si>
  <si>
    <t>Ingressos de novos empréstimos</t>
  </si>
  <si>
    <t>Custo de empréstimos (custos de transação e prêmios)</t>
  </si>
  <si>
    <t>Pagamento de empréstimos e debêntures (principal)</t>
  </si>
  <si>
    <t>Diferenças cambiais sobre conversão de empréstimos estrangeiros</t>
  </si>
  <si>
    <t>Dividendos pagos</t>
  </si>
  <si>
    <t>Pagamento de passivo de arrendamento (principal)</t>
  </si>
  <si>
    <t>Aumento do capital</t>
  </si>
  <si>
    <t>Instrumentos financeiros derivativos pagos (recebidos)</t>
  </si>
  <si>
    <t xml:space="preserve">Fluxo de caixa proveniente das atividades de financiamentos (c) </t>
  </si>
  <si>
    <t>Efeito de variação cambial sobre caixa e equivalentes de caixa</t>
  </si>
  <si>
    <t xml:space="preserve">Aumento em caixa e equivalentes de caixa (d) = (a) + (b) + (c) </t>
  </si>
  <si>
    <t xml:space="preserve">Caixa e equivalentes de caixa no início do período </t>
  </si>
  <si>
    <t xml:space="preserve">Caixa e equivalentes de caixa no final do período </t>
  </si>
  <si>
    <t>Total de receita por segmento industrial</t>
  </si>
  <si>
    <t>Total de receita por segmento de comercialização</t>
  </si>
  <si>
    <t>Receita por segmento industrial</t>
  </si>
  <si>
    <t>Receita por segmento de comercialização</t>
  </si>
  <si>
    <t>Revenda de milho</t>
  </si>
  <si>
    <t>Revenda de energia</t>
  </si>
  <si>
    <t xml:space="preserve">Total de receita por segmento¹ </t>
  </si>
  <si>
    <t xml:space="preserve">Reclassificação – Frete sobre vendas (industrial) </t>
  </si>
  <si>
    <t xml:space="preserve">Reclassificação – Frete sobre vendas (revenda) </t>
  </si>
  <si>
    <t xml:space="preserve">Receita líquida </t>
  </si>
  <si>
    <t>Segmento - Nutrição animal</t>
  </si>
  <si>
    <t xml:space="preserve">Segmento nutrição animal (a) </t>
  </si>
  <si>
    <t xml:space="preserve">Taxa de cobertura (d) = (a + b) / (c) </t>
  </si>
  <si>
    <t>Nutrição animal + Revenda de milho (c = a + b)</t>
  </si>
  <si>
    <t>Nutrição animal + Revenda de milho taxa de cobertura vs custo de produção</t>
  </si>
  <si>
    <t>Custo do produto industrial vendido</t>
  </si>
  <si>
    <t>Receita líquida do segmento industrial (a)</t>
  </si>
  <si>
    <t xml:space="preserve">Custos variáveis (b) </t>
  </si>
  <si>
    <t xml:space="preserve"> Milho moído</t>
  </si>
  <si>
    <t xml:space="preserve"> Biomassa </t>
  </si>
  <si>
    <t xml:space="preserve"> Químicos e enzimas </t>
  </si>
  <si>
    <t xml:space="preserve">Custos fixos (c) </t>
  </si>
  <si>
    <t xml:space="preserve"> Manutenção </t>
  </si>
  <si>
    <t xml:space="preserve"> Pessoal </t>
  </si>
  <si>
    <t xml:space="preserve"> Depreciação </t>
  </si>
  <si>
    <t xml:space="preserve"> Outros custos operacionais </t>
  </si>
  <si>
    <t xml:space="preserve">Custo do produto industrial vendido (d) = (b) + (c) </t>
  </si>
  <si>
    <t>Lucro bruto do segmento industrial (e) = (a) + (d)</t>
  </si>
  <si>
    <t>Margem bruta do segmento industrial (f) = (e) / (a)</t>
  </si>
  <si>
    <t xml:space="preserve">Custo do milho consumo – em R$ por saca </t>
  </si>
  <si>
    <t xml:space="preserve">Custo da biomassa – em R$ por m³ </t>
  </si>
  <si>
    <t xml:space="preserve">Custo do produto comercializado </t>
  </si>
  <si>
    <t>Receita líquida do segmento de comercialização (g)</t>
  </si>
  <si>
    <t>Custo do produto comercializado (h)</t>
  </si>
  <si>
    <t>Custo do produto comercializado (milho)</t>
  </si>
  <si>
    <t>Custo do produto comercializado (energia)</t>
  </si>
  <si>
    <t>Lucro bruto do segmento de comercialização (i) = (g) + (h)</t>
  </si>
  <si>
    <t>Margem bruta segmento de comercialização (j) = (i) / (g)</t>
  </si>
  <si>
    <t>Resultados MTM do volume de milho contratado (k)</t>
  </si>
  <si>
    <t>Lucro bruto do segmento de comercialização com MTM (l) = (i) + (k)</t>
  </si>
  <si>
    <t>Reclassificação – Frete sobre vendas total (m)</t>
  </si>
  <si>
    <t>Receita líquida (n) = (a) + (g) + (m)</t>
  </si>
  <si>
    <t>Custo do produto industrial vendido (d)</t>
  </si>
  <si>
    <t>Resultado MTM do volume de milho contratado (k)</t>
  </si>
  <si>
    <t>Custo total  (o) = (d) + (h) + (k)</t>
  </si>
  <si>
    <t>Lucro bruto (p) = (n) + (o)</t>
  </si>
  <si>
    <t>Margem bruta (q) = (p) / (n)</t>
  </si>
  <si>
    <t xml:space="preserve">Custo total   </t>
  </si>
  <si>
    <t>Delta: EBITDA vs spread de esmagamento (R$/ltr)</t>
  </si>
  <si>
    <r>
      <t>¹ Emissão de US$ 600,0 milhões em</t>
    </r>
    <r>
      <rPr>
        <i/>
        <sz val="7"/>
        <color rgb="FF5C6062"/>
        <rFont val="Montserrat"/>
      </rPr>
      <t xml:space="preserve"> Senior Secured Green Notes - Bond </t>
    </r>
    <r>
      <rPr>
        <sz val="7"/>
        <color rgb="FF5C6062"/>
        <rFont val="Montserrat"/>
      </rPr>
      <t>- pela subsidiária FS Luxembourg s.à.r.l., ("FS Lux"). Saldo corrente de USD 511,7 milhões.</t>
    </r>
  </si>
  <si>
    <t>² Emissão de US$ 594,2 milhões de CPRF (Cédula de Produtor Rural Financeira) pela FS, referente ao Bond emitido. Saldo corrente de USD 340,8 milhões.</t>
  </si>
  <si>
    <t>³ Aquisição de direitos sobre TRS (Total Return Swap) de US$ 594,2 milhões - O TRS é um instrumento financeiro contratado entre a FS Lux e uma instituição financeira que reflete os prazos e fluxos de caixa da CPRF emitida pela FS. O valor do TRS é deduzido integralmente da Dívida Bruta com o objetivo de eliminar a duplicidade da dívida ocasionada pela emissão local da CPRF. Saldo corrente de USD 340,8 milhões.</t>
  </si>
  <si>
    <r>
      <t>5</t>
    </r>
    <r>
      <rPr>
        <sz val="7"/>
        <color rgb="FF5C6062"/>
        <rFont val="Montserrat"/>
      </rPr>
      <t xml:space="preserve"> Inclui aplicação financeira de R$ 1,5 bilhão entre FS LTDA e instituições finaceiras que reflete prazos e fluxos de caixa da CPRF emitida pela FS para suportar a transação back-to-back pela transferência de ativos para FS S.A. </t>
    </r>
  </si>
  <si>
    <t>Ativo imobilizado - início do período (a)</t>
  </si>
  <si>
    <t>Capex¹ do período: (e) = (b) + (c) + (d)</t>
  </si>
  <si>
    <t xml:space="preserve"> Venda e baixa de ativos (g)</t>
  </si>
  <si>
    <t>Ativo imobilizado - final do período (h) = (a) + (e) + (f) +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</si>
</sst>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_);\(0.0%\)"/>
    <numFmt numFmtId="166" formatCode="_-* #,##0_-;\-* #,##0_-;_-* &quot;-&quot;??_-;_-@_-"/>
    <numFmt numFmtId="167" formatCode="_-&quot;$&quot;* #,##0.00_-;\-&quot;$&quot;* #,##0.00_-;_-&quot;$&quot;* &quot;-&quot;??_-;_-@_-"/>
    <numFmt numFmtId="168" formatCode="0.0%"/>
    <numFmt numFmtId="169" formatCode="_(* #,##0.000_);_(* \(#,##0.000\);_(* &quot;-&quot;??_);_(@_)"/>
    <numFmt numFmtId="170" formatCode="_(* #,##0.0_);_(* \(#,##0.0\);_(* &quot;-&quot;??_);_(@_)"/>
    <numFmt numFmtId="171" formatCode="_-* #,##0.0_-;\-* #,##0.0_-;_-* &quot;-&quot;??_-;_-@_-"/>
    <numFmt numFmtId="172" formatCode="_(* #,##0.00&quot; x&quot;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Montserrat"/>
    </font>
    <font>
      <sz val="7"/>
      <color rgb="FF5C6062"/>
      <name val="Montserrat"/>
    </font>
    <font>
      <b/>
      <sz val="7"/>
      <color rgb="FF5C6062"/>
      <name val="Montserrat"/>
    </font>
    <font>
      <sz val="11"/>
      <color theme="1"/>
      <name val="Montserrat"/>
    </font>
    <font>
      <sz val="8"/>
      <color theme="1"/>
      <name val="Montserrat"/>
    </font>
    <font>
      <b/>
      <sz val="8"/>
      <color theme="0"/>
      <name val="Montserrat"/>
    </font>
    <font>
      <i/>
      <sz val="8"/>
      <color rgb="FFFFFFFF"/>
      <name val="Montserrat"/>
    </font>
    <font>
      <sz val="7"/>
      <color theme="1"/>
      <name val="Montserrat"/>
    </font>
    <font>
      <i/>
      <sz val="7"/>
      <color rgb="FF5C6062"/>
      <name val="Montserrat"/>
    </font>
    <font>
      <sz val="9"/>
      <color theme="1"/>
      <name val="Montserrat"/>
    </font>
    <font>
      <b/>
      <sz val="11"/>
      <color theme="1"/>
      <name val="Montserrat"/>
    </font>
    <font>
      <sz val="8"/>
      <color rgb="FF5C6062"/>
      <name val="Montserrat"/>
    </font>
    <font>
      <sz val="8"/>
      <color rgb="FFFF0000"/>
      <name val="Montserrat"/>
    </font>
    <font>
      <vertAlign val="superscript"/>
      <sz val="7"/>
      <color rgb="FF5C6062"/>
      <name val="Montserrat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7754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</cellStyleXfs>
  <cellXfs count="98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/>
    <xf numFmtId="0" fontId="8" fillId="0" borderId="0" xfId="0" applyFont="1"/>
    <xf numFmtId="164" fontId="6" fillId="0" borderId="0" xfId="1" applyNumberFormat="1" applyFont="1" applyFill="1" applyAlignment="1">
      <alignment vertical="center"/>
    </xf>
    <xf numFmtId="164" fontId="6" fillId="0" borderId="0" xfId="0" quotePrefix="1" applyNumberFormat="1" applyFont="1" applyAlignment="1">
      <alignment horizontal="left" vertical="center"/>
    </xf>
    <xf numFmtId="164" fontId="5" fillId="0" borderId="0" xfId="0" quotePrefix="1" applyNumberFormat="1" applyFont="1" applyAlignment="1">
      <alignment horizontal="left" vertical="center"/>
    </xf>
    <xf numFmtId="164" fontId="5" fillId="0" borderId="0" xfId="0" quotePrefix="1" applyNumberFormat="1" applyFont="1" applyAlignment="1">
      <alignment horizontal="left" vertical="center" indent="2"/>
    </xf>
    <xf numFmtId="164" fontId="6" fillId="0" borderId="1" xfId="0" quotePrefix="1" applyNumberFormat="1" applyFont="1" applyBorder="1" applyAlignment="1">
      <alignment horizontal="left" vertical="center"/>
    </xf>
    <xf numFmtId="164" fontId="6" fillId="0" borderId="2" xfId="0" quotePrefix="1" applyNumberFormat="1" applyFont="1" applyBorder="1" applyAlignment="1">
      <alignment horizontal="left" vertical="center"/>
    </xf>
    <xf numFmtId="164" fontId="6" fillId="0" borderId="2" xfId="1" applyNumberFormat="1" applyFont="1" applyFill="1" applyBorder="1" applyAlignment="1">
      <alignment vertical="center"/>
    </xf>
    <xf numFmtId="0" fontId="13" fillId="0" borderId="0" xfId="0" applyFont="1"/>
    <xf numFmtId="0" fontId="14" fillId="0" borderId="0" xfId="0" applyFont="1"/>
    <xf numFmtId="164" fontId="15" fillId="0" borderId="0" xfId="1" applyNumberFormat="1" applyFont="1" applyFill="1" applyAlignment="1">
      <alignment horizontal="left"/>
    </xf>
    <xf numFmtId="0" fontId="16" fillId="0" borderId="0" xfId="0" applyFont="1"/>
    <xf numFmtId="164" fontId="15" fillId="2" borderId="0" xfId="1" applyNumberFormat="1" applyFont="1" applyFill="1" applyAlignment="1"/>
    <xf numFmtId="164" fontId="6" fillId="0" borderId="0" xfId="1" applyNumberFormat="1" applyFont="1" applyFill="1" applyAlignment="1"/>
    <xf numFmtId="164" fontId="5" fillId="0" borderId="0" xfId="0" quotePrefix="1" applyNumberFormat="1" applyFont="1" applyAlignment="1">
      <alignment horizontal="left"/>
    </xf>
    <xf numFmtId="164" fontId="12" fillId="0" borderId="0" xfId="0" quotePrefix="1" applyNumberFormat="1" applyFont="1" applyAlignment="1">
      <alignment horizontal="right" vertical="center"/>
    </xf>
    <xf numFmtId="165" fontId="12" fillId="0" borderId="0" xfId="2" applyNumberFormat="1" applyFont="1" applyFill="1" applyBorder="1" applyAlignment="1">
      <alignment horizontal="right"/>
    </xf>
    <xf numFmtId="164" fontId="5" fillId="2" borderId="0" xfId="1" applyNumberFormat="1" applyFont="1" applyFill="1" applyAlignment="1"/>
    <xf numFmtId="0" fontId="11" fillId="0" borderId="0" xfId="0" applyFont="1"/>
    <xf numFmtId="43" fontId="7" fillId="0" borderId="0" xfId="1" applyFont="1" applyAlignment="1">
      <alignment horizontal="center"/>
    </xf>
    <xf numFmtId="43" fontId="7" fillId="0" borderId="0" xfId="1" applyFont="1"/>
    <xf numFmtId="0" fontId="5" fillId="0" borderId="0" xfId="0" applyFont="1" applyAlignment="1">
      <alignment vertical="center"/>
    </xf>
    <xf numFmtId="170" fontId="6" fillId="0" borderId="0" xfId="1" applyNumberFormat="1" applyFont="1" applyFill="1" applyAlignment="1">
      <alignment vertical="center"/>
    </xf>
    <xf numFmtId="169" fontId="6" fillId="0" borderId="0" xfId="1" applyNumberFormat="1" applyFont="1" applyFill="1" applyAlignment="1">
      <alignment vertical="center"/>
    </xf>
    <xf numFmtId="164" fontId="5" fillId="0" borderId="0" xfId="0" quotePrefix="1" applyNumberFormat="1" applyFont="1" applyAlignment="1">
      <alignment horizontal="left" indent="2"/>
    </xf>
    <xf numFmtId="166" fontId="11" fillId="0" borderId="0" xfId="0" applyNumberFormat="1" applyFont="1"/>
    <xf numFmtId="166" fontId="11" fillId="0" borderId="0" xfId="1" applyNumberFormat="1" applyFont="1" applyFill="1" applyBorder="1"/>
    <xf numFmtId="166" fontId="11" fillId="0" borderId="0" xfId="1" applyNumberFormat="1" applyFont="1"/>
    <xf numFmtId="164" fontId="6" fillId="0" borderId="2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5" fillId="0" borderId="0" xfId="1" applyNumberFormat="1" applyFont="1" applyFill="1" applyBorder="1" applyAlignment="1">
      <alignment vertical="center"/>
    </xf>
    <xf numFmtId="164" fontId="5" fillId="2" borderId="0" xfId="1" applyNumberFormat="1" applyFont="1" applyFill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1" fontId="5" fillId="0" borderId="0" xfId="1" quotePrefix="1" applyNumberFormat="1" applyFont="1" applyFill="1" applyBorder="1" applyAlignment="1">
      <alignment horizontal="left" vertical="center"/>
    </xf>
    <xf numFmtId="164" fontId="5" fillId="2" borderId="0" xfId="1" applyNumberFormat="1" applyFont="1" applyFill="1" applyBorder="1" applyAlignment="1">
      <alignment vertical="center"/>
    </xf>
    <xf numFmtId="165" fontId="12" fillId="2" borderId="0" xfId="2" applyNumberFormat="1" applyFont="1" applyFill="1" applyBorder="1" applyAlignment="1">
      <alignment horizontal="center" vertical="center"/>
    </xf>
    <xf numFmtId="166" fontId="5" fillId="0" borderId="0" xfId="1" quotePrefix="1" applyNumberFormat="1" applyFont="1" applyFill="1" applyBorder="1" applyAlignment="1">
      <alignment horizontal="left" vertical="center"/>
    </xf>
    <xf numFmtId="164" fontId="5" fillId="0" borderId="0" xfId="1" applyNumberFormat="1" applyFont="1" applyFill="1" applyAlignment="1">
      <alignment vertical="center"/>
    </xf>
    <xf numFmtId="165" fontId="12" fillId="0" borderId="0" xfId="2" applyNumberFormat="1" applyFont="1" applyFill="1" applyBorder="1" applyAlignment="1">
      <alignment horizontal="right" vertical="center"/>
    </xf>
    <xf numFmtId="168" fontId="5" fillId="0" borderId="0" xfId="2" quotePrefix="1" applyNumberFormat="1" applyFont="1" applyFill="1" applyAlignment="1">
      <alignment horizontal="right" vertical="center"/>
    </xf>
    <xf numFmtId="168" fontId="12" fillId="2" borderId="0" xfId="2" quotePrefix="1" applyNumberFormat="1" applyFont="1" applyFill="1" applyAlignment="1">
      <alignment vertical="center"/>
    </xf>
    <xf numFmtId="169" fontId="5" fillId="0" borderId="0" xfId="0" quotePrefix="1" applyNumberFormat="1" applyFont="1" applyAlignment="1">
      <alignment horizontal="left" vertical="center"/>
    </xf>
    <xf numFmtId="170" fontId="5" fillId="0" borderId="0" xfId="0" quotePrefix="1" applyNumberFormat="1" applyFont="1" applyAlignment="1">
      <alignment horizontal="left" vertical="center"/>
    </xf>
    <xf numFmtId="164" fontId="5" fillId="0" borderId="0" xfId="0" quotePrefix="1" applyNumberFormat="1" applyFont="1" applyAlignment="1">
      <alignment horizontal="left" vertical="center" indent="1"/>
    </xf>
    <xf numFmtId="166" fontId="5" fillId="0" borderId="0" xfId="1" quotePrefix="1" applyNumberFormat="1" applyFont="1" applyAlignment="1">
      <alignment horizontal="left" vertical="center"/>
    </xf>
    <xf numFmtId="164" fontId="6" fillId="0" borderId="0" xfId="0" quotePrefix="1" applyNumberFormat="1" applyFont="1" applyAlignment="1">
      <alignment horizontal="left" vertical="center" indent="1"/>
    </xf>
    <xf numFmtId="164" fontId="0" fillId="0" borderId="0" xfId="0" applyNumberFormat="1"/>
    <xf numFmtId="164" fontId="7" fillId="0" borderId="0" xfId="1" applyNumberFormat="1" applyFont="1"/>
    <xf numFmtId="164" fontId="16" fillId="2" borderId="0" xfId="1" applyNumberFormat="1" applyFont="1" applyFill="1" applyAlignment="1"/>
    <xf numFmtId="164" fontId="15" fillId="0" borderId="0" xfId="0" quotePrefix="1" applyNumberFormat="1" applyFont="1" applyAlignment="1">
      <alignment vertical="center" wrapText="1"/>
    </xf>
    <xf numFmtId="164" fontId="16" fillId="0" borderId="0" xfId="0" applyNumberFormat="1" applyFont="1"/>
    <xf numFmtId="169" fontId="5" fillId="0" borderId="0" xfId="1" applyNumberFormat="1" applyFont="1" applyFill="1" applyAlignment="1">
      <alignment vertical="center"/>
    </xf>
    <xf numFmtId="170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8" fontId="6" fillId="0" borderId="0" xfId="2" quotePrefix="1" applyNumberFormat="1" applyFont="1" applyFill="1" applyAlignment="1">
      <alignment horizontal="right" vertical="center"/>
    </xf>
    <xf numFmtId="169" fontId="6" fillId="0" borderId="0" xfId="0" applyNumberFormat="1" applyFont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172" fontId="5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11" fillId="0" borderId="0" xfId="0" applyNumberFormat="1" applyFont="1"/>
    <xf numFmtId="164" fontId="7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71" fontId="5" fillId="0" borderId="0" xfId="1" quotePrefix="1" applyNumberFormat="1" applyFont="1" applyFill="1" applyAlignment="1">
      <alignment horizontal="left" vertical="center"/>
    </xf>
    <xf numFmtId="168" fontId="12" fillId="0" borderId="0" xfId="2" quotePrefix="1" applyNumberFormat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8" fontId="1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43" fontId="6" fillId="0" borderId="0" xfId="1" applyFont="1" applyFill="1" applyAlignment="1">
      <alignment horizontal="right" vertical="center"/>
    </xf>
    <xf numFmtId="43" fontId="6" fillId="0" borderId="0" xfId="1" applyFont="1" applyAlignment="1">
      <alignment horizontal="right" vertical="center"/>
    </xf>
    <xf numFmtId="43" fontId="6" fillId="0" borderId="0" xfId="1" applyFont="1" applyFill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70" fontId="6" fillId="0" borderId="2" xfId="1" applyNumberFormat="1" applyFont="1" applyFill="1" applyBorder="1" applyAlignment="1">
      <alignment vertical="center"/>
    </xf>
    <xf numFmtId="43" fontId="7" fillId="0" borderId="0" xfId="1" applyFont="1" applyFill="1" applyAlignment="1">
      <alignment horizontal="center"/>
    </xf>
    <xf numFmtId="43" fontId="7" fillId="0" borderId="0" xfId="1" applyFont="1" applyFill="1"/>
    <xf numFmtId="169" fontId="5" fillId="0" borderId="0" xfId="1" applyNumberFormat="1" applyFont="1" applyFill="1" applyBorder="1" applyAlignment="1">
      <alignment vertical="center"/>
    </xf>
    <xf numFmtId="169" fontId="6" fillId="0" borderId="0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14" fontId="9" fillId="3" borderId="0" xfId="0" applyNumberFormat="1" applyFont="1" applyFill="1" applyAlignment="1">
      <alignment horizontal="center" vertical="center" wrapText="1"/>
    </xf>
    <xf numFmtId="164" fontId="15" fillId="0" borderId="0" xfId="0" quotePrefix="1" applyNumberFormat="1" applyFont="1" applyAlignment="1">
      <alignment horizontal="right" vertical="center" wrapText="1"/>
    </xf>
    <xf numFmtId="0" fontId="4" fillId="3" borderId="0" xfId="0" applyFont="1" applyFill="1" applyAlignment="1">
      <alignment horizontal="center" vertical="center"/>
    </xf>
  </cellXfs>
  <cellStyles count="18">
    <cellStyle name="Moeda 2" xfId="6" xr:uid="{00000000-0005-0000-0000-00002F000000}"/>
    <cellStyle name="Moeda 3" xfId="4" xr:uid="{00000000-0005-0000-0000-00002F000000}"/>
    <cellStyle name="Moeda 4" xfId="13" xr:uid="{2E2CC08E-8C7E-40A1-9091-3F7E5A705155}"/>
    <cellStyle name="Normal" xfId="0" builtinId="0"/>
    <cellStyle name="Normal 2" xfId="9" xr:uid="{4CD97EC4-EE02-4E3D-A640-6F42C2F3963A}"/>
    <cellStyle name="Normal 2 2" xfId="14" xr:uid="{404DF742-2B8C-404E-AD06-5A79D3610C41}"/>
    <cellStyle name="Normal 3" xfId="11" xr:uid="{6EBCF564-6A3C-470F-8E39-C7E39B2DDD0A}"/>
    <cellStyle name="Normal 3 2" xfId="8" xr:uid="{9380CED3-0D03-4038-9CB8-F31975F9EAEF}"/>
    <cellStyle name="Normal 3 3" xfId="15" xr:uid="{C3B1025A-5CE6-4C3B-8AD2-5243456B66CF}"/>
    <cellStyle name="Normale 2 2 3" xfId="17" xr:uid="{1E3495E4-0650-4C7C-95AA-059F276AF073}"/>
    <cellStyle name="Porcentagem" xfId="2" builtinId="5"/>
    <cellStyle name="Vírgula" xfId="1" builtinId="3"/>
    <cellStyle name="Vírgula 2" xfId="7" xr:uid="{74B67C2B-0575-477A-932D-5E3B697076AD}"/>
    <cellStyle name="Vírgula 3" xfId="5" xr:uid="{00000000-0005-0000-0000-000030000000}"/>
    <cellStyle name="Vírgula 4" xfId="3" xr:uid="{00000000-0005-0000-0000-000031000000}"/>
    <cellStyle name="Vírgula 5" xfId="12" xr:uid="{37A355FB-F3DA-412B-99B6-7E6D6BBDA006}"/>
    <cellStyle name="Vírgula 6" xfId="16" xr:uid="{17F9D104-65CB-461D-939E-1B6FF6B39A2A}"/>
    <cellStyle name="Vírgula 7" xfId="10" xr:uid="{602586CC-8EA8-487A-ACA7-22213B4C6D9B}"/>
  </cellStyles>
  <dxfs count="0"/>
  <tableStyles count="0" defaultTableStyle="TableStyleMedium2" defaultPivotStyle="PivotStyleLight16"/>
  <colors>
    <mruColors>
      <color rgb="FF1B7754"/>
      <color rgb="FFA8D18E"/>
      <color rgb="FFA8D08D"/>
      <color rgb="FFFFFFFF"/>
      <color rgb="FF5C6062"/>
      <color rgb="FF3F762B"/>
      <color rgb="FF004A45"/>
      <color rgb="FFFA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Demonstra&#231;&#227;o do Fluxo de Caixa'!A1"/><Relationship Id="rId7" Type="http://schemas.openxmlformats.org/officeDocument/2006/relationships/hyperlink" Target="#'Fluxo da D&#237;vida L&#237;quida'!A1"/><Relationship Id="rId2" Type="http://schemas.openxmlformats.org/officeDocument/2006/relationships/hyperlink" Target="#'Demonstra&#231;&#227;o dos Resultados'!A1"/><Relationship Id="rId1" Type="http://schemas.openxmlformats.org/officeDocument/2006/relationships/hyperlink" Target="#'Balan&#231;o Patrimonial'!A1"/><Relationship Id="rId6" Type="http://schemas.openxmlformats.org/officeDocument/2006/relationships/hyperlink" Target="#Capex!A1"/><Relationship Id="rId5" Type="http://schemas.openxmlformats.org/officeDocument/2006/relationships/hyperlink" Target="#Endividamento!A1"/><Relationship Id="rId4" Type="http://schemas.openxmlformats.org/officeDocument/2006/relationships/hyperlink" Target="#'Dados Operacionai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Planilha de resultados'!A1"/><Relationship Id="rId1" Type="http://schemas.openxmlformats.org/officeDocument/2006/relationships/image" Target="../media/image2.jpe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'Planilha de resultados'!A1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Planilha de resultados'!A1"/><Relationship Id="rId1" Type="http://schemas.openxmlformats.org/officeDocument/2006/relationships/image" Target="../media/image2.jpe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Planilha de resultados'!A1"/><Relationship Id="rId1" Type="http://schemas.openxmlformats.org/officeDocument/2006/relationships/image" Target="../media/image6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'Planilha de resultados'!A1"/><Relationship Id="rId4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'Planilha de resultados'!A1"/><Relationship Id="rId4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'Planilha de resultados'!A1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294048</xdr:colOff>
      <xdr:row>1</xdr:row>
      <xdr:rowOff>134042</xdr:rowOff>
    </xdr:from>
    <xdr:to>
      <xdr:col>13</xdr:col>
      <xdr:colOff>476928</xdr:colOff>
      <xdr:row>3</xdr:row>
      <xdr:rowOff>69271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AE6998-383E-4DDE-9A7B-045A8E98B411}"/>
            </a:ext>
          </a:extLst>
        </xdr:cNvPr>
        <xdr:cNvSpPr/>
      </xdr:nvSpPr>
      <xdr:spPr>
        <a:xfrm>
          <a:off x="6390048" y="324542"/>
          <a:ext cx="2011680" cy="316229"/>
        </a:xfrm>
        <a:prstGeom prst="roundRect">
          <a:avLst/>
        </a:prstGeom>
        <a:solidFill>
          <a:srgbClr val="F2F2F2"/>
        </a:solidFill>
        <a:ln>
          <a:solidFill>
            <a:srgbClr val="1A775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800" b="1">
              <a:solidFill>
                <a:srgbClr val="1B7754"/>
              </a:solidFill>
              <a:latin typeface="Montserrat" panose="00000500000000000000" pitchFamily="2" charset="0"/>
              <a:ea typeface="+mn-ea"/>
              <a:cs typeface="Times New Roman" panose="02020603050405020304" pitchFamily="18" charset="0"/>
            </a:rPr>
            <a:t>Balanço patrimonial</a:t>
          </a:r>
        </a:p>
      </xdr:txBody>
    </xdr:sp>
    <xdr:clientData/>
  </xdr:twoCellAnchor>
  <xdr:twoCellAnchor>
    <xdr:from>
      <xdr:col>10</xdr:col>
      <xdr:colOff>297223</xdr:colOff>
      <xdr:row>3</xdr:row>
      <xdr:rowOff>160949</xdr:rowOff>
    </xdr:from>
    <xdr:to>
      <xdr:col>13</xdr:col>
      <xdr:colOff>480103</xdr:colOff>
      <xdr:row>5</xdr:row>
      <xdr:rowOff>97576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5BEA9B-B572-4A35-AC3C-685A9B933215}"/>
            </a:ext>
          </a:extLst>
        </xdr:cNvPr>
        <xdr:cNvSpPr/>
      </xdr:nvSpPr>
      <xdr:spPr>
        <a:xfrm>
          <a:off x="6393223" y="732449"/>
          <a:ext cx="2011680" cy="317627"/>
        </a:xfrm>
        <a:prstGeom prst="roundRect">
          <a:avLst/>
        </a:prstGeom>
        <a:solidFill>
          <a:srgbClr val="F2F2F2"/>
        </a:solidFill>
        <a:ln>
          <a:solidFill>
            <a:srgbClr val="1A775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rgbClr val="1B7754"/>
              </a:solidFill>
              <a:latin typeface="Montserrat" panose="00000500000000000000" pitchFamily="2" charset="0"/>
              <a:ea typeface="+mn-ea"/>
              <a:cs typeface="Times New Roman" panose="02020603050405020304" pitchFamily="18" charset="0"/>
            </a:rPr>
            <a:t>Demonstração dos resultados</a:t>
          </a:r>
        </a:p>
      </xdr:txBody>
    </xdr:sp>
    <xdr:clientData/>
  </xdr:twoCellAnchor>
  <xdr:twoCellAnchor>
    <xdr:from>
      <xdr:col>10</xdr:col>
      <xdr:colOff>297223</xdr:colOff>
      <xdr:row>6</xdr:row>
      <xdr:rowOff>18168</xdr:rowOff>
    </xdr:from>
    <xdr:to>
      <xdr:col>13</xdr:col>
      <xdr:colOff>480103</xdr:colOff>
      <xdr:row>7</xdr:row>
      <xdr:rowOff>132595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E61069-BFB4-45B6-BA07-737B9BA34801}"/>
            </a:ext>
          </a:extLst>
        </xdr:cNvPr>
        <xdr:cNvSpPr/>
      </xdr:nvSpPr>
      <xdr:spPr>
        <a:xfrm>
          <a:off x="6393223" y="1161168"/>
          <a:ext cx="2011680" cy="304927"/>
        </a:xfrm>
        <a:prstGeom prst="roundRect">
          <a:avLst/>
        </a:prstGeom>
        <a:solidFill>
          <a:srgbClr val="F2F2F2"/>
        </a:solidFill>
        <a:ln>
          <a:solidFill>
            <a:srgbClr val="1A775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800" b="1">
              <a:solidFill>
                <a:srgbClr val="1B7754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Demonstração do fluxo de caixa</a:t>
          </a:r>
        </a:p>
      </xdr:txBody>
    </xdr:sp>
    <xdr:clientData/>
  </xdr:twoCellAnchor>
  <xdr:twoCellAnchor>
    <xdr:from>
      <xdr:col>10</xdr:col>
      <xdr:colOff>304551</xdr:colOff>
      <xdr:row>12</xdr:row>
      <xdr:rowOff>124269</xdr:rowOff>
    </xdr:from>
    <xdr:to>
      <xdr:col>13</xdr:col>
      <xdr:colOff>487431</xdr:colOff>
      <xdr:row>14</xdr:row>
      <xdr:rowOff>64071</xdr:rowOff>
    </xdr:to>
    <xdr:sp macro="" textlink="">
      <xdr:nvSpPr>
        <xdr:cNvPr id="5" name="Retângulo: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4D91C7-45F3-4D57-B2C0-7F1CD03DEC59}"/>
            </a:ext>
          </a:extLst>
        </xdr:cNvPr>
        <xdr:cNvSpPr/>
      </xdr:nvSpPr>
      <xdr:spPr>
        <a:xfrm>
          <a:off x="6400551" y="2410269"/>
          <a:ext cx="2011680" cy="320802"/>
        </a:xfrm>
        <a:prstGeom prst="roundRect">
          <a:avLst/>
        </a:prstGeom>
        <a:solidFill>
          <a:srgbClr val="F2F2F2"/>
        </a:solidFill>
        <a:ln>
          <a:solidFill>
            <a:srgbClr val="1A775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800" b="1">
              <a:solidFill>
                <a:srgbClr val="1B7754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Dados operacionais</a:t>
          </a:r>
        </a:p>
      </xdr:txBody>
    </xdr:sp>
    <xdr:clientData/>
  </xdr:twoCellAnchor>
  <xdr:twoCellAnchor>
    <xdr:from>
      <xdr:col>10</xdr:col>
      <xdr:colOff>304551</xdr:colOff>
      <xdr:row>10</xdr:row>
      <xdr:rowOff>64638</xdr:rowOff>
    </xdr:from>
    <xdr:to>
      <xdr:col>13</xdr:col>
      <xdr:colOff>487431</xdr:colOff>
      <xdr:row>12</xdr:row>
      <xdr:rowOff>7615</xdr:rowOff>
    </xdr:to>
    <xdr:sp macro="" textlink="">
      <xdr:nvSpPr>
        <xdr:cNvPr id="6" name="Retângulo: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C5B0B8-3B5E-4F5D-A9DC-A05E1153F800}"/>
            </a:ext>
          </a:extLst>
        </xdr:cNvPr>
        <xdr:cNvSpPr/>
      </xdr:nvSpPr>
      <xdr:spPr>
        <a:xfrm>
          <a:off x="6400551" y="1969638"/>
          <a:ext cx="2011680" cy="323977"/>
        </a:xfrm>
        <a:prstGeom prst="roundRect">
          <a:avLst/>
        </a:prstGeom>
        <a:solidFill>
          <a:srgbClr val="F2F2F2"/>
        </a:solidFill>
        <a:ln>
          <a:solidFill>
            <a:srgbClr val="1A775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800" b="1">
              <a:solidFill>
                <a:srgbClr val="1B7754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Endividamento</a:t>
          </a:r>
        </a:p>
      </xdr:txBody>
    </xdr:sp>
    <xdr:clientData/>
  </xdr:twoCellAnchor>
  <xdr:twoCellAnchor>
    <xdr:from>
      <xdr:col>10</xdr:col>
      <xdr:colOff>297223</xdr:colOff>
      <xdr:row>14</xdr:row>
      <xdr:rowOff>155166</xdr:rowOff>
    </xdr:from>
    <xdr:to>
      <xdr:col>13</xdr:col>
      <xdr:colOff>480103</xdr:colOff>
      <xdr:row>16</xdr:row>
      <xdr:rowOff>94968</xdr:rowOff>
    </xdr:to>
    <xdr:sp macro="" textlink="">
      <xdr:nvSpPr>
        <xdr:cNvPr id="7" name="Retângulo: Cantos Arredondado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4A75B0-7EAC-42A0-BA31-BA951CBCEEAB}"/>
            </a:ext>
          </a:extLst>
        </xdr:cNvPr>
        <xdr:cNvSpPr/>
      </xdr:nvSpPr>
      <xdr:spPr>
        <a:xfrm>
          <a:off x="6393223" y="2822166"/>
          <a:ext cx="2011680" cy="311277"/>
        </a:xfrm>
        <a:prstGeom prst="roundRect">
          <a:avLst/>
        </a:prstGeom>
        <a:solidFill>
          <a:srgbClr val="F2F2F2"/>
        </a:solidFill>
        <a:ln>
          <a:solidFill>
            <a:srgbClr val="1A775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800" b="1">
              <a:solidFill>
                <a:srgbClr val="1B7754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Capex</a:t>
          </a:r>
        </a:p>
      </xdr:txBody>
    </xdr:sp>
    <xdr:clientData/>
  </xdr:twoCellAnchor>
  <xdr:twoCellAnchor>
    <xdr:from>
      <xdr:col>0</xdr:col>
      <xdr:colOff>178374</xdr:colOff>
      <xdr:row>11</xdr:row>
      <xdr:rowOff>169100</xdr:rowOff>
    </xdr:from>
    <xdr:to>
      <xdr:col>3</xdr:col>
      <xdr:colOff>620877</xdr:colOff>
      <xdr:row>16</xdr:row>
      <xdr:rowOff>26200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2CE2F74D-2BAE-41ED-8A41-8347D241F46F}"/>
            </a:ext>
          </a:extLst>
        </xdr:cNvPr>
        <xdr:cNvSpPr/>
      </xdr:nvSpPr>
      <xdr:spPr>
        <a:xfrm>
          <a:off x="181549" y="2159825"/>
          <a:ext cx="2350678" cy="765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700">
              <a:solidFill>
                <a:schemeClr val="bg1">
                  <a:lumMod val="50000"/>
                </a:schemeClr>
              </a:solidFill>
              <a:latin typeface="Montserrat" panose="00000500000000000000" pitchFamily="2" charset="0"/>
            </a:rPr>
            <a:t>A FS Indústria de Biocombustíveis Ltda. ("FS Ltda") e and FS I Indústria de Etanol S.A. </a:t>
          </a:r>
        </a:p>
        <a:p>
          <a:pPr algn="l"/>
          <a:r>
            <a:rPr lang="pt-BR" sz="700">
              <a:solidFill>
                <a:schemeClr val="bg1">
                  <a:lumMod val="50000"/>
                </a:schemeClr>
              </a:solidFill>
              <a:latin typeface="Montserrat" panose="00000500000000000000" pitchFamily="2" charset="0"/>
            </a:rPr>
            <a:t>(“FS S.A.”) (combinadas como ”Empresa”, ou “FS”) anunciam seus resultados consolidados</a:t>
          </a:r>
        </a:p>
      </xdr:txBody>
    </xdr:sp>
    <xdr:clientData/>
  </xdr:twoCellAnchor>
  <xdr:twoCellAnchor>
    <xdr:from>
      <xdr:col>10</xdr:col>
      <xdr:colOff>296247</xdr:colOff>
      <xdr:row>8</xdr:row>
      <xdr:rowOff>37888</xdr:rowOff>
    </xdr:from>
    <xdr:to>
      <xdr:col>13</xdr:col>
      <xdr:colOff>479127</xdr:colOff>
      <xdr:row>9</xdr:row>
      <xdr:rowOff>161840</xdr:rowOff>
    </xdr:to>
    <xdr:sp macro="" textlink="">
      <xdr:nvSpPr>
        <xdr:cNvPr id="9" name="Retângulo: Canto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41DBD6-EFD3-4782-9662-5CA7E0375390}"/>
            </a:ext>
          </a:extLst>
        </xdr:cNvPr>
        <xdr:cNvSpPr/>
      </xdr:nvSpPr>
      <xdr:spPr>
        <a:xfrm>
          <a:off x="6392247" y="1561888"/>
          <a:ext cx="2011680" cy="314452"/>
        </a:xfrm>
        <a:prstGeom prst="roundRect">
          <a:avLst/>
        </a:prstGeom>
        <a:solidFill>
          <a:srgbClr val="F2F2F2"/>
        </a:solidFill>
        <a:ln>
          <a:solidFill>
            <a:srgbClr val="1A775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800" b="1">
              <a:solidFill>
                <a:srgbClr val="1B7754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Fluxo da dívida líquida</a:t>
          </a:r>
        </a:p>
      </xdr:txBody>
    </xdr:sp>
    <xdr:clientData/>
  </xdr:twoCellAnchor>
  <xdr:twoCellAnchor editAs="oneCell">
    <xdr:from>
      <xdr:col>0</xdr:col>
      <xdr:colOff>178374</xdr:colOff>
      <xdr:row>2</xdr:row>
      <xdr:rowOff>183249</xdr:rowOff>
    </xdr:from>
    <xdr:to>
      <xdr:col>3</xdr:col>
      <xdr:colOff>173978</xdr:colOff>
      <xdr:row>12</xdr:row>
      <xdr:rowOff>1296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1134D74C-13D1-4FBE-881A-F135924A4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49" y="542024"/>
          <a:ext cx="1906954" cy="16277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140628</xdr:rowOff>
    </xdr:from>
    <xdr:to>
      <xdr:col>14</xdr:col>
      <xdr:colOff>488</xdr:colOff>
      <xdr:row>17</xdr:row>
      <xdr:rowOff>179997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BA9C3A09-A917-41A6-BD61-EA6F8328452D}"/>
            </a:ext>
          </a:extLst>
        </xdr:cNvPr>
        <xdr:cNvGrpSpPr/>
      </xdr:nvGrpSpPr>
      <xdr:grpSpPr>
        <a:xfrm>
          <a:off x="0" y="3360078"/>
          <a:ext cx="8515350" cy="39369"/>
          <a:chOff x="0" y="3119766"/>
          <a:chExt cx="7625953" cy="99976"/>
        </a:xfrm>
      </xdr:grpSpPr>
      <xdr:sp macro="" textlink="">
        <xdr:nvSpPr>
          <xdr:cNvPr id="12" name="Paralelogramo 11">
            <a:extLst>
              <a:ext uri="{FF2B5EF4-FFF2-40B4-BE49-F238E27FC236}">
                <a16:creationId xmlns:a16="http://schemas.microsoft.com/office/drawing/2014/main" id="{0556E2E4-AE04-4F93-ABA3-D8E94A873EA1}"/>
              </a:ext>
            </a:extLst>
          </xdr:cNvPr>
          <xdr:cNvSpPr/>
        </xdr:nvSpPr>
        <xdr:spPr>
          <a:xfrm>
            <a:off x="0" y="3121801"/>
            <a:ext cx="3488928" cy="97941"/>
          </a:xfrm>
          <a:prstGeom prst="parallelogram">
            <a:avLst>
              <a:gd name="adj" fmla="val 120429"/>
            </a:avLst>
          </a:prstGeom>
          <a:solidFill>
            <a:srgbClr val="1A7754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46800" tIns="45720" rIns="4680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09412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18824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528237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37649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547061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056473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565886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075298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400"/>
              </a:spcBef>
            </a:pPr>
            <a:endParaRPr lang="pt-BR" sz="800">
              <a:solidFill>
                <a:schemeClr val="tx1"/>
              </a:solidFill>
            </a:endParaRPr>
          </a:p>
        </xdr:txBody>
      </xdr:sp>
      <xdr:sp macro="" textlink="">
        <xdr:nvSpPr>
          <xdr:cNvPr id="13" name="Paralelogramo 12">
            <a:extLst>
              <a:ext uri="{FF2B5EF4-FFF2-40B4-BE49-F238E27FC236}">
                <a16:creationId xmlns:a16="http://schemas.microsoft.com/office/drawing/2014/main" id="{66729337-4D6C-47D6-8FE3-09AD9E9DF0EA}"/>
              </a:ext>
            </a:extLst>
          </xdr:cNvPr>
          <xdr:cNvSpPr/>
        </xdr:nvSpPr>
        <xdr:spPr>
          <a:xfrm>
            <a:off x="3345518" y="3121801"/>
            <a:ext cx="1503800" cy="97941"/>
          </a:xfrm>
          <a:prstGeom prst="parallelogram">
            <a:avLst>
              <a:gd name="adj" fmla="val 120429"/>
            </a:avLst>
          </a:prstGeom>
          <a:solidFill>
            <a:srgbClr val="79AC2B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46800" tIns="45720" rIns="4680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09412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18824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528237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37649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547061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056473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565886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075298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400"/>
              </a:spcBef>
            </a:pPr>
            <a:endParaRPr lang="pt-BR" sz="800">
              <a:solidFill>
                <a:schemeClr val="tx1"/>
              </a:solidFill>
            </a:endParaRPr>
          </a:p>
        </xdr:txBody>
      </xdr:sp>
      <xdr:sp macro="" textlink="">
        <xdr:nvSpPr>
          <xdr:cNvPr id="14" name="Paralelogramo 13">
            <a:extLst>
              <a:ext uri="{FF2B5EF4-FFF2-40B4-BE49-F238E27FC236}">
                <a16:creationId xmlns:a16="http://schemas.microsoft.com/office/drawing/2014/main" id="{D60B3648-442E-40CB-983A-2C4E5E1CC3E9}"/>
              </a:ext>
            </a:extLst>
          </xdr:cNvPr>
          <xdr:cNvSpPr/>
        </xdr:nvSpPr>
        <xdr:spPr>
          <a:xfrm>
            <a:off x="4707925" y="3121801"/>
            <a:ext cx="1453196" cy="97941"/>
          </a:xfrm>
          <a:prstGeom prst="parallelogram">
            <a:avLst>
              <a:gd name="adj" fmla="val 120429"/>
            </a:avLst>
          </a:prstGeom>
          <a:solidFill>
            <a:srgbClr val="F7D21E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46800" tIns="45720" rIns="4680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09412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18824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528237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37649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547061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056473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565886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075298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400"/>
              </a:spcBef>
            </a:pPr>
            <a:endParaRPr lang="pt-BR" sz="800">
              <a:solidFill>
                <a:schemeClr val="tx1"/>
              </a:solidFill>
            </a:endParaRPr>
          </a:p>
        </xdr:txBody>
      </xdr:sp>
      <xdr:sp macro="" textlink="">
        <xdr:nvSpPr>
          <xdr:cNvPr id="15" name="Paralelogramo 14">
            <a:extLst>
              <a:ext uri="{FF2B5EF4-FFF2-40B4-BE49-F238E27FC236}">
                <a16:creationId xmlns:a16="http://schemas.microsoft.com/office/drawing/2014/main" id="{EEBDFE6A-F6E3-4A9B-A46F-0DE172652DF1}"/>
              </a:ext>
            </a:extLst>
          </xdr:cNvPr>
          <xdr:cNvSpPr/>
        </xdr:nvSpPr>
        <xdr:spPr>
          <a:xfrm>
            <a:off x="5802208" y="3121801"/>
            <a:ext cx="1823745" cy="97941"/>
          </a:xfrm>
          <a:prstGeom prst="parallelogram">
            <a:avLst>
              <a:gd name="adj" fmla="val 120429"/>
            </a:avLst>
          </a:prstGeom>
          <a:solidFill>
            <a:srgbClr val="FBE216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46800" tIns="45720" rIns="4680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09412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18824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528237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37649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547061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056473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565886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075298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400"/>
              </a:spcBef>
            </a:pPr>
            <a:endParaRPr lang="pt-BR" sz="800">
              <a:solidFill>
                <a:schemeClr val="tx1"/>
              </a:solidFill>
            </a:endParaRPr>
          </a:p>
        </xdr:txBody>
      </xdr:sp>
      <xdr:sp macro="" textlink="">
        <xdr:nvSpPr>
          <xdr:cNvPr id="16" name="Retângulo 15">
            <a:extLst>
              <a:ext uri="{FF2B5EF4-FFF2-40B4-BE49-F238E27FC236}">
                <a16:creationId xmlns:a16="http://schemas.microsoft.com/office/drawing/2014/main" id="{0857A052-C594-4A19-8360-518B93CA6CF3}"/>
              </a:ext>
            </a:extLst>
          </xdr:cNvPr>
          <xdr:cNvSpPr/>
        </xdr:nvSpPr>
        <xdr:spPr>
          <a:xfrm>
            <a:off x="0" y="3119766"/>
            <a:ext cx="914713" cy="94922"/>
          </a:xfrm>
          <a:prstGeom prst="rect">
            <a:avLst/>
          </a:prstGeom>
          <a:solidFill>
            <a:srgbClr val="1A775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7" name="Retângulo 16">
            <a:extLst>
              <a:ext uri="{FF2B5EF4-FFF2-40B4-BE49-F238E27FC236}">
                <a16:creationId xmlns:a16="http://schemas.microsoft.com/office/drawing/2014/main" id="{78AB507F-E311-4775-B35C-597DEBDFD853}"/>
              </a:ext>
            </a:extLst>
          </xdr:cNvPr>
          <xdr:cNvSpPr/>
        </xdr:nvSpPr>
        <xdr:spPr>
          <a:xfrm>
            <a:off x="6713253" y="3122941"/>
            <a:ext cx="912700" cy="91747"/>
          </a:xfrm>
          <a:prstGeom prst="rect">
            <a:avLst/>
          </a:prstGeom>
          <a:solidFill>
            <a:srgbClr val="FBE21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>
    <xdr:from>
      <xdr:col>4</xdr:col>
      <xdr:colOff>427099</xdr:colOff>
      <xdr:row>2</xdr:row>
      <xdr:rowOff>67626</xdr:rowOff>
    </xdr:from>
    <xdr:to>
      <xdr:col>10</xdr:col>
      <xdr:colOff>333375</xdr:colOff>
      <xdr:row>16</xdr:row>
      <xdr:rowOff>28794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3C815440-C625-4904-BF80-C92CBBC1C6A3}"/>
            </a:ext>
          </a:extLst>
        </xdr:cNvPr>
        <xdr:cNvGrpSpPr/>
      </xdr:nvGrpSpPr>
      <xdr:grpSpPr>
        <a:xfrm>
          <a:off x="2865499" y="448626"/>
          <a:ext cx="3563876" cy="2618643"/>
          <a:chOff x="3343969" y="325204"/>
          <a:chExt cx="3741951" cy="2536338"/>
        </a:xfrm>
      </xdr:grpSpPr>
      <xdr:sp macro="" textlink="">
        <xdr:nvSpPr>
          <xdr:cNvPr id="19" name="Retângulo: Cantos Arredondados 18">
            <a:extLst>
              <a:ext uri="{FF2B5EF4-FFF2-40B4-BE49-F238E27FC236}">
                <a16:creationId xmlns:a16="http://schemas.microsoft.com/office/drawing/2014/main" id="{8A297E99-206B-43C8-A13E-B88F81DACA88}"/>
              </a:ext>
            </a:extLst>
          </xdr:cNvPr>
          <xdr:cNvSpPr/>
        </xdr:nvSpPr>
        <xdr:spPr>
          <a:xfrm>
            <a:off x="3343969" y="325204"/>
            <a:ext cx="3483519" cy="1392710"/>
          </a:xfrm>
          <a:prstGeom prst="roundRect">
            <a:avLst>
              <a:gd name="adj" fmla="val 4715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800" b="1" u="sng">
                <a:solidFill>
                  <a:srgbClr val="1A7754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Definição dos períodos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endParaRPr lang="en-US" sz="700" spc="0">
              <a:solidFill>
                <a:srgbClr val="5C5F61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FY18: abril de 2017 a março de 2018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FY19: abril de 2018 a março de 2019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1T20: abril a junho de 2019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2T20: julho a setembro de 2019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3T20: outubro a dezembro 2019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4T20: janeiro a março de 2020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FY20: abril de 2019 a março de 2020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1T21: abril a junho de 2020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2T21: julho a setembro de 2020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3T21: outubro a dezembro de 2020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4T21: janeiro a março de 2021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FY21: abril de 2020 a março de 2021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endParaRPr lang="en-US" sz="600" spc="0">
              <a:solidFill>
                <a:srgbClr val="5C5F61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0" name="Retângulo: Cantos Arredondados 19">
            <a:extLst>
              <a:ext uri="{FF2B5EF4-FFF2-40B4-BE49-F238E27FC236}">
                <a16:creationId xmlns:a16="http://schemas.microsoft.com/office/drawing/2014/main" id="{8A1E7C2E-8197-472F-B3A2-74BFB851C695}"/>
              </a:ext>
            </a:extLst>
          </xdr:cNvPr>
          <xdr:cNvSpPr/>
        </xdr:nvSpPr>
        <xdr:spPr>
          <a:xfrm>
            <a:off x="5132588" y="713182"/>
            <a:ext cx="1953332" cy="2148360"/>
          </a:xfrm>
          <a:prstGeom prst="roundRect">
            <a:avLst>
              <a:gd name="adj" fmla="val 4715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1T22: abril a junho de 2021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2T22: julho a setembro de 2021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3T22: outubro a dezembro de 2021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4T22: janeiro a março de 2022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FY22: abril de 2021 a março de 2022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1T23: abril a junho de 2022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700" spc="0">
                <a:solidFill>
                  <a:srgbClr val="5C5F61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2T23: julho a setmbro 2022</a:t>
            </a:r>
          </a:p>
          <a:p>
            <a:pPr marL="0" marR="0" algn="just">
              <a:lnSpc>
                <a:spcPct val="150000"/>
              </a:lnSpc>
              <a:spcBef>
                <a:spcPts val="0"/>
              </a:spcBef>
              <a:spcAft>
                <a:spcPts val="0"/>
              </a:spcAft>
            </a:pPr>
            <a:endParaRPr lang="en-US" sz="600" spc="0">
              <a:solidFill>
                <a:srgbClr val="5C5F61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4</xdr:col>
      <xdr:colOff>171493</xdr:colOff>
      <xdr:row>3</xdr:row>
      <xdr:rowOff>154695</xdr:rowOff>
    </xdr:from>
    <xdr:to>
      <xdr:col>4</xdr:col>
      <xdr:colOff>207687</xdr:colOff>
      <xdr:row>15</xdr:row>
      <xdr:rowOff>19398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C38CDAA4-95E7-4CCA-83B8-3A8E1815FB8A}"/>
            </a:ext>
          </a:extLst>
        </xdr:cNvPr>
        <xdr:cNvGrpSpPr/>
      </xdr:nvGrpSpPr>
      <xdr:grpSpPr>
        <a:xfrm rot="5400000">
          <a:off x="1552638" y="1783450"/>
          <a:ext cx="2150703" cy="36194"/>
          <a:chOff x="0" y="3119766"/>
          <a:chExt cx="7625953" cy="99979"/>
        </a:xfrm>
      </xdr:grpSpPr>
      <xdr:sp macro="" textlink="">
        <xdr:nvSpPr>
          <xdr:cNvPr id="22" name="Paralelogramo 21">
            <a:extLst>
              <a:ext uri="{FF2B5EF4-FFF2-40B4-BE49-F238E27FC236}">
                <a16:creationId xmlns:a16="http://schemas.microsoft.com/office/drawing/2014/main" id="{8E781600-56AE-4E3B-B8CD-F071221704D7}"/>
              </a:ext>
            </a:extLst>
          </xdr:cNvPr>
          <xdr:cNvSpPr/>
        </xdr:nvSpPr>
        <xdr:spPr>
          <a:xfrm>
            <a:off x="28221" y="3121802"/>
            <a:ext cx="3488930" cy="97941"/>
          </a:xfrm>
          <a:prstGeom prst="parallelogram">
            <a:avLst>
              <a:gd name="adj" fmla="val 120429"/>
            </a:avLst>
          </a:prstGeom>
          <a:solidFill>
            <a:srgbClr val="1A7754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46800" tIns="45720" rIns="4680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09412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18824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528237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37649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547061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056473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565886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075298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400"/>
              </a:spcBef>
            </a:pPr>
            <a:endParaRPr lang="pt-BR" sz="800">
              <a:solidFill>
                <a:schemeClr val="tx1"/>
              </a:solidFill>
            </a:endParaRPr>
          </a:p>
        </xdr:txBody>
      </xdr:sp>
      <xdr:sp macro="" textlink="">
        <xdr:nvSpPr>
          <xdr:cNvPr id="23" name="Paralelogramo 22">
            <a:extLst>
              <a:ext uri="{FF2B5EF4-FFF2-40B4-BE49-F238E27FC236}">
                <a16:creationId xmlns:a16="http://schemas.microsoft.com/office/drawing/2014/main" id="{A7A65662-6B7A-489E-82A6-15E3FF100CA7}"/>
              </a:ext>
            </a:extLst>
          </xdr:cNvPr>
          <xdr:cNvSpPr/>
        </xdr:nvSpPr>
        <xdr:spPr>
          <a:xfrm>
            <a:off x="3315419" y="3121802"/>
            <a:ext cx="1503799" cy="97943"/>
          </a:xfrm>
          <a:prstGeom prst="parallelogram">
            <a:avLst>
              <a:gd name="adj" fmla="val 120429"/>
            </a:avLst>
          </a:prstGeom>
          <a:solidFill>
            <a:srgbClr val="79AC2B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46800" tIns="45720" rIns="4680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09412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18824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528237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37649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547061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056473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565886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075298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400"/>
              </a:spcBef>
            </a:pPr>
            <a:endParaRPr lang="pt-BR" sz="800">
              <a:solidFill>
                <a:schemeClr val="tx1"/>
              </a:solidFill>
            </a:endParaRPr>
          </a:p>
        </xdr:txBody>
      </xdr:sp>
      <xdr:sp macro="" textlink="">
        <xdr:nvSpPr>
          <xdr:cNvPr id="24" name="Paralelogramo 23">
            <a:extLst>
              <a:ext uri="{FF2B5EF4-FFF2-40B4-BE49-F238E27FC236}">
                <a16:creationId xmlns:a16="http://schemas.microsoft.com/office/drawing/2014/main" id="{E8E8B2D5-20F9-4576-B408-44EB43FC5E65}"/>
              </a:ext>
            </a:extLst>
          </xdr:cNvPr>
          <xdr:cNvSpPr/>
        </xdr:nvSpPr>
        <xdr:spPr>
          <a:xfrm>
            <a:off x="4677823" y="3121802"/>
            <a:ext cx="1453195" cy="97942"/>
          </a:xfrm>
          <a:prstGeom prst="parallelogram">
            <a:avLst>
              <a:gd name="adj" fmla="val 120429"/>
            </a:avLst>
          </a:prstGeom>
          <a:solidFill>
            <a:srgbClr val="F7D21E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46800" tIns="45720" rIns="4680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09412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18824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528237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37649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547061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056473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565886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075298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400"/>
              </a:spcBef>
            </a:pPr>
            <a:endParaRPr lang="pt-BR" sz="800">
              <a:solidFill>
                <a:schemeClr val="tx1"/>
              </a:solidFill>
            </a:endParaRPr>
          </a:p>
        </xdr:txBody>
      </xdr:sp>
      <xdr:sp macro="" textlink="">
        <xdr:nvSpPr>
          <xdr:cNvPr id="25" name="Paralelogramo 24">
            <a:extLst>
              <a:ext uri="{FF2B5EF4-FFF2-40B4-BE49-F238E27FC236}">
                <a16:creationId xmlns:a16="http://schemas.microsoft.com/office/drawing/2014/main" id="{93FA8474-8D9D-4A19-9E21-57E167ABA6EE}"/>
              </a:ext>
            </a:extLst>
          </xdr:cNvPr>
          <xdr:cNvSpPr/>
        </xdr:nvSpPr>
        <xdr:spPr>
          <a:xfrm>
            <a:off x="5802208" y="3121801"/>
            <a:ext cx="1823745" cy="97941"/>
          </a:xfrm>
          <a:prstGeom prst="parallelogram">
            <a:avLst>
              <a:gd name="adj" fmla="val 120429"/>
            </a:avLst>
          </a:prstGeom>
          <a:solidFill>
            <a:srgbClr val="FBE216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46800" tIns="45720" rIns="4680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09412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18824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528237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37649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547061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056473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565886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075298" algn="l" defTabSz="1018824" rtl="0" eaLnBrk="1" latinLnBrk="0" hangingPunct="1">
              <a:defRPr sz="20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400"/>
              </a:spcBef>
            </a:pPr>
            <a:endParaRPr lang="pt-BR" sz="800">
              <a:solidFill>
                <a:schemeClr val="tx1"/>
              </a:solidFill>
            </a:endParaRPr>
          </a:p>
        </xdr:txBody>
      </xdr:sp>
      <xdr:sp macro="" textlink="">
        <xdr:nvSpPr>
          <xdr:cNvPr id="26" name="Retângulo 25">
            <a:extLst>
              <a:ext uri="{FF2B5EF4-FFF2-40B4-BE49-F238E27FC236}">
                <a16:creationId xmlns:a16="http://schemas.microsoft.com/office/drawing/2014/main" id="{44633AB0-E0B5-4CF2-A5AA-51DAF719ED73}"/>
              </a:ext>
            </a:extLst>
          </xdr:cNvPr>
          <xdr:cNvSpPr/>
        </xdr:nvSpPr>
        <xdr:spPr>
          <a:xfrm>
            <a:off x="0" y="3119766"/>
            <a:ext cx="914713" cy="94922"/>
          </a:xfrm>
          <a:prstGeom prst="rect">
            <a:avLst/>
          </a:prstGeom>
          <a:solidFill>
            <a:srgbClr val="1A775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7" name="Retângulo 26">
            <a:extLst>
              <a:ext uri="{FF2B5EF4-FFF2-40B4-BE49-F238E27FC236}">
                <a16:creationId xmlns:a16="http://schemas.microsoft.com/office/drawing/2014/main" id="{6AD85F54-7F98-4182-B665-19850860AADB}"/>
              </a:ext>
            </a:extLst>
          </xdr:cNvPr>
          <xdr:cNvSpPr/>
        </xdr:nvSpPr>
        <xdr:spPr>
          <a:xfrm>
            <a:off x="6713253" y="3122941"/>
            <a:ext cx="912700" cy="91747"/>
          </a:xfrm>
          <a:prstGeom prst="rect">
            <a:avLst/>
          </a:prstGeom>
          <a:solidFill>
            <a:srgbClr val="FBE21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8281</xdr:colOff>
      <xdr:row>0</xdr:row>
      <xdr:rowOff>0</xdr:rowOff>
    </xdr:from>
    <xdr:to>
      <xdr:col>1</xdr:col>
      <xdr:colOff>1559408</xdr:colOff>
      <xdr:row>3</xdr:row>
      <xdr:rowOff>92351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3D1E6BF-12E0-4723-A027-04977FC13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38" y="0"/>
          <a:ext cx="1544777" cy="629478"/>
        </a:xfrm>
        <a:prstGeom prst="rect">
          <a:avLst/>
        </a:prstGeom>
      </xdr:spPr>
    </xdr:pic>
    <xdr:clientData/>
  </xdr:twoCellAnchor>
  <xdr:twoCellAnchor editAs="oneCell">
    <xdr:from>
      <xdr:col>1</xdr:col>
      <xdr:colOff>3168650</xdr:colOff>
      <xdr:row>0</xdr:row>
      <xdr:rowOff>1</xdr:rowOff>
    </xdr:from>
    <xdr:to>
      <xdr:col>2</xdr:col>
      <xdr:colOff>323850</xdr:colOff>
      <xdr:row>3</xdr:row>
      <xdr:rowOff>121413</xdr:rowOff>
    </xdr:to>
    <xdr:pic>
      <xdr:nvPicPr>
        <xdr:cNvPr id="5" name="Gráfico 4" descr="Seta de linha: girar para a esqu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66331-F477-4014-A727-4630847EC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292475" y="1"/>
          <a:ext cx="688975" cy="6643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3200399</xdr:colOff>
      <xdr:row>0</xdr:row>
      <xdr:rowOff>0</xdr:rowOff>
    </xdr:from>
    <xdr:to>
      <xdr:col>2</xdr:col>
      <xdr:colOff>9524</xdr:colOff>
      <xdr:row>3</xdr:row>
      <xdr:rowOff>130175</xdr:rowOff>
    </xdr:to>
    <xdr:pic>
      <xdr:nvPicPr>
        <xdr:cNvPr id="5" name="Gráfico 4" descr="Seta de linha: girar para a esqu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EE14D0-F49F-4724-B2C6-5DA16B3B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324224" y="0"/>
          <a:ext cx="695325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1542422</xdr:colOff>
      <xdr:row>3</xdr:row>
      <xdr:rowOff>88192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44A282-94BA-447E-B12F-61708ACD8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0"/>
          <a:ext cx="1542422" cy="627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16564</xdr:colOff>
      <xdr:row>0</xdr:row>
      <xdr:rowOff>0</xdr:rowOff>
    </xdr:from>
    <xdr:to>
      <xdr:col>1</xdr:col>
      <xdr:colOff>1561341</xdr:colOff>
      <xdr:row>3</xdr:row>
      <xdr:rowOff>86001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49227CB-414E-4D4D-875C-E3F18ED53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21" y="0"/>
          <a:ext cx="1544777" cy="629478"/>
        </a:xfrm>
        <a:prstGeom prst="rect">
          <a:avLst/>
        </a:prstGeom>
      </xdr:spPr>
    </xdr:pic>
    <xdr:clientData/>
  </xdr:twoCellAnchor>
  <xdr:twoCellAnchor editAs="oneCell">
    <xdr:from>
      <xdr:col>1</xdr:col>
      <xdr:colOff>3200400</xdr:colOff>
      <xdr:row>0</xdr:row>
      <xdr:rowOff>0</xdr:rowOff>
    </xdr:from>
    <xdr:to>
      <xdr:col>2</xdr:col>
      <xdr:colOff>0</xdr:colOff>
      <xdr:row>3</xdr:row>
      <xdr:rowOff>123825</xdr:rowOff>
    </xdr:to>
    <xdr:pic>
      <xdr:nvPicPr>
        <xdr:cNvPr id="7" name="Gráfico 6" descr="Seta de linha: girar para a esqu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E15FAA-5E66-475F-9CE6-EF5B430E1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24225" y="0"/>
          <a:ext cx="676275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16564</xdr:colOff>
      <xdr:row>0</xdr:row>
      <xdr:rowOff>0</xdr:rowOff>
    </xdr:from>
    <xdr:to>
      <xdr:col>1</xdr:col>
      <xdr:colOff>1561341</xdr:colOff>
      <xdr:row>3</xdr:row>
      <xdr:rowOff>66951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4F2038-2420-4FE0-8648-A7B9F91E9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64" y="0"/>
          <a:ext cx="1544777" cy="62575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3238500</xdr:colOff>
      <xdr:row>0</xdr:row>
      <xdr:rowOff>0</xdr:rowOff>
    </xdr:from>
    <xdr:to>
      <xdr:col>2</xdr:col>
      <xdr:colOff>57150</xdr:colOff>
      <xdr:row>3</xdr:row>
      <xdr:rowOff>123825</xdr:rowOff>
    </xdr:to>
    <xdr:pic>
      <xdr:nvPicPr>
        <xdr:cNvPr id="4" name="Gráfico 3" descr="Seta de linha: girar para a esqu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AD2B71-9252-4837-B04D-5F9DEA553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62325" y="0"/>
          <a:ext cx="704850" cy="663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2943225</xdr:colOff>
      <xdr:row>0</xdr:row>
      <xdr:rowOff>19050</xdr:rowOff>
    </xdr:from>
    <xdr:to>
      <xdr:col>2</xdr:col>
      <xdr:colOff>690</xdr:colOff>
      <xdr:row>3</xdr:row>
      <xdr:rowOff>149225</xdr:rowOff>
    </xdr:to>
    <xdr:pic>
      <xdr:nvPicPr>
        <xdr:cNvPr id="3" name="Gráfico 2" descr="Seta de linha: girar para a esqu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6CF87-5BD7-4252-9011-035803E25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67050" y="19050"/>
          <a:ext cx="683315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24847</xdr:colOff>
      <xdr:row>0</xdr:row>
      <xdr:rowOff>0</xdr:rowOff>
    </xdr:from>
    <xdr:to>
      <xdr:col>1</xdr:col>
      <xdr:colOff>1579149</xdr:colOff>
      <xdr:row>3</xdr:row>
      <xdr:rowOff>92351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F7BF6CB-D8E6-48BA-9A0F-5F59B09D7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04" y="0"/>
          <a:ext cx="1544777" cy="629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3116058</xdr:colOff>
      <xdr:row>0</xdr:row>
      <xdr:rowOff>0</xdr:rowOff>
    </xdr:from>
    <xdr:to>
      <xdr:col>2</xdr:col>
      <xdr:colOff>0</xdr:colOff>
      <xdr:row>3</xdr:row>
      <xdr:rowOff>123825</xdr:rowOff>
    </xdr:to>
    <xdr:pic>
      <xdr:nvPicPr>
        <xdr:cNvPr id="2" name="Gráfico 1" descr="Seta de linha: girar para a esqu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09131-2290-4647-A0D1-92F7AA94D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39883" y="0"/>
          <a:ext cx="674892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24847</xdr:colOff>
      <xdr:row>0</xdr:row>
      <xdr:rowOff>0</xdr:rowOff>
    </xdr:from>
    <xdr:to>
      <xdr:col>1</xdr:col>
      <xdr:colOff>1569624</xdr:colOff>
      <xdr:row>3</xdr:row>
      <xdr:rowOff>82826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7E3F117-706E-4C84-9817-CF24A9811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47" y="0"/>
          <a:ext cx="1544777" cy="6257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3093140</xdr:colOff>
      <xdr:row>0</xdr:row>
      <xdr:rowOff>0</xdr:rowOff>
    </xdr:from>
    <xdr:to>
      <xdr:col>2</xdr:col>
      <xdr:colOff>471</xdr:colOff>
      <xdr:row>3</xdr:row>
      <xdr:rowOff>142875</xdr:rowOff>
    </xdr:to>
    <xdr:pic>
      <xdr:nvPicPr>
        <xdr:cNvPr id="3" name="Gráfico 2" descr="Seta de linha: girar para a esqu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975E11-7920-4C7F-AF96-7AA06071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16965" y="0"/>
          <a:ext cx="682406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33130</xdr:colOff>
      <xdr:row>0</xdr:row>
      <xdr:rowOff>0</xdr:rowOff>
    </xdr:from>
    <xdr:to>
      <xdr:col>1</xdr:col>
      <xdr:colOff>1571557</xdr:colOff>
      <xdr:row>3</xdr:row>
      <xdr:rowOff>82826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447AD0F-DC61-4E4C-A206-416D2C60A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7" y="0"/>
          <a:ext cx="1544777" cy="629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E99B-B50C-45CB-9318-B21CA793CFBA}">
  <sheetPr>
    <tabColor rgb="FF1B7754"/>
  </sheetPr>
  <dimension ref="A1:N18"/>
  <sheetViews>
    <sheetView showGridLines="0" tabSelected="1" zoomScaleNormal="100" workbookViewId="0">
      <selection activeCell="J15" sqref="J15"/>
    </sheetView>
  </sheetViews>
  <sheetFormatPr defaultColWidth="0" defaultRowHeight="14.45" customHeight="1" zeroHeight="1" x14ac:dyDescent="0.25"/>
  <cols>
    <col min="1" max="13" width="9.140625" customWidth="1"/>
    <col min="14" max="14" width="8.85546875" customWidth="1"/>
    <col min="15" max="16" width="9.140625" hidden="1" customWidth="1"/>
    <col min="17" max="16384" width="9.140625" hidden="1"/>
  </cols>
  <sheetData>
    <row r="1" spans="1:1" ht="15" x14ac:dyDescent="0.25">
      <c r="A1" t="s">
        <v>20</v>
      </c>
    </row>
    <row r="2" spans="1:1" ht="15" x14ac:dyDescent="0.25"/>
    <row r="3" spans="1:1" ht="15" x14ac:dyDescent="0.25"/>
    <row r="4" spans="1:1" ht="15" x14ac:dyDescent="0.25"/>
    <row r="5" spans="1:1" ht="15" x14ac:dyDescent="0.25"/>
    <row r="6" spans="1:1" ht="15" x14ac:dyDescent="0.25"/>
    <row r="7" spans="1:1" ht="15" x14ac:dyDescent="0.25"/>
    <row r="8" spans="1:1" ht="15" x14ac:dyDescent="0.25"/>
    <row r="9" spans="1:1" ht="15" x14ac:dyDescent="0.25"/>
    <row r="10" spans="1:1" ht="15" x14ac:dyDescent="0.25"/>
    <row r="11" spans="1:1" ht="15" x14ac:dyDescent="0.25"/>
    <row r="12" spans="1:1" ht="15" x14ac:dyDescent="0.25"/>
    <row r="13" spans="1:1" ht="15" x14ac:dyDescent="0.25"/>
    <row r="14" spans="1:1" ht="15" x14ac:dyDescent="0.25"/>
    <row r="15" spans="1:1" ht="15" x14ac:dyDescent="0.25"/>
    <row r="16" spans="1:1" ht="14.25" customHeight="1" x14ac:dyDescent="0.25"/>
    <row r="17" ht="14.25" customHeight="1" x14ac:dyDescent="0.25"/>
    <row r="18" ht="15" x14ac:dyDescent="0.25"/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8F06F-BE0C-4A4D-8BC6-9FA711914143}">
  <sheetPr>
    <tabColor rgb="FF1B7754"/>
    <outlinePr summaryRight="0"/>
  </sheetPr>
  <dimension ref="B2:Q64"/>
  <sheetViews>
    <sheetView showGridLines="0" zoomScaleNormal="100" workbookViewId="0">
      <selection activeCell="K2" sqref="K2:Q3"/>
    </sheetView>
  </sheetViews>
  <sheetFormatPr defaultColWidth="9.140625" defaultRowHeight="14.25" customHeight="1" x14ac:dyDescent="0.35"/>
  <cols>
    <col min="1" max="1" width="1.7109375" style="2" customWidth="1"/>
    <col min="2" max="2" width="50.5703125" style="2" customWidth="1" collapsed="1"/>
    <col min="3" max="4" width="10.5703125" style="2" customWidth="1"/>
    <col min="5" max="5" width="10.5703125" style="2" customWidth="1" collapsed="1"/>
    <col min="6" max="17" width="10.5703125" style="2" customWidth="1"/>
    <col min="18" max="16384" width="9.140625" style="2"/>
  </cols>
  <sheetData>
    <row r="2" spans="2:17" ht="14.25" customHeight="1" x14ac:dyDescent="0.35">
      <c r="K2" s="96" t="s">
        <v>224</v>
      </c>
      <c r="L2" s="96"/>
      <c r="M2" s="96"/>
      <c r="N2" s="96"/>
      <c r="O2" s="96"/>
      <c r="P2" s="96"/>
      <c r="Q2" s="96"/>
    </row>
    <row r="3" spans="2:17" ht="14.25" customHeight="1" x14ac:dyDescent="0.35">
      <c r="K3" s="96"/>
      <c r="L3" s="96"/>
      <c r="M3" s="96"/>
      <c r="N3" s="96"/>
      <c r="O3" s="96"/>
      <c r="P3" s="96"/>
      <c r="Q3" s="96"/>
    </row>
    <row r="5" spans="2:17" s="11" customFormat="1" ht="14.25" customHeight="1" x14ac:dyDescent="0.25">
      <c r="B5" s="75" t="s">
        <v>21</v>
      </c>
      <c r="C5" s="95" t="s">
        <v>18</v>
      </c>
      <c r="D5" s="95" t="s">
        <v>14</v>
      </c>
      <c r="E5" s="95" t="s">
        <v>23</v>
      </c>
      <c r="F5" s="95" t="s">
        <v>24</v>
      </c>
      <c r="G5" s="95" t="s">
        <v>25</v>
      </c>
      <c r="H5" s="95" t="s">
        <v>12</v>
      </c>
      <c r="I5" s="95" t="s">
        <v>26</v>
      </c>
      <c r="J5" s="95" t="s">
        <v>27</v>
      </c>
      <c r="K5" s="95" t="s">
        <v>28</v>
      </c>
      <c r="L5" s="95" t="s">
        <v>13</v>
      </c>
      <c r="M5" s="95" t="s">
        <v>29</v>
      </c>
      <c r="N5" s="95" t="s">
        <v>194</v>
      </c>
      <c r="O5" s="95" t="s">
        <v>197</v>
      </c>
      <c r="P5" s="95" t="s">
        <v>217</v>
      </c>
      <c r="Q5" s="95" t="s">
        <v>223</v>
      </c>
    </row>
    <row r="6" spans="2:17" ht="14.25" customHeight="1" x14ac:dyDescent="0.35">
      <c r="B6" s="76" t="s">
        <v>22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</row>
    <row r="7" spans="2:17" ht="14.25" customHeight="1" x14ac:dyDescent="0.35">
      <c r="B7" s="35" t="s">
        <v>30</v>
      </c>
      <c r="C7" s="35">
        <v>9521</v>
      </c>
      <c r="D7" s="32">
        <v>11283</v>
      </c>
      <c r="E7" s="32">
        <v>41291.904000000002</v>
      </c>
      <c r="F7" s="32">
        <v>31696.824000000001</v>
      </c>
      <c r="G7" s="32">
        <v>18772.257000000001</v>
      </c>
      <c r="H7" s="32">
        <v>310001</v>
      </c>
      <c r="I7" s="32">
        <v>230993</v>
      </c>
      <c r="J7" s="32">
        <v>499024</v>
      </c>
      <c r="K7" s="32">
        <v>593832</v>
      </c>
      <c r="L7" s="32">
        <v>948613</v>
      </c>
      <c r="M7" s="32">
        <v>859818</v>
      </c>
      <c r="N7" s="32">
        <v>689438</v>
      </c>
      <c r="O7" s="32">
        <v>1057322</v>
      </c>
      <c r="P7" s="32">
        <v>1719194</v>
      </c>
      <c r="Q7" s="32">
        <v>2891822.1</v>
      </c>
    </row>
    <row r="8" spans="2:17" ht="14.25" customHeight="1" x14ac:dyDescent="0.35">
      <c r="B8" s="6" t="s">
        <v>31</v>
      </c>
      <c r="C8" s="6">
        <v>209432</v>
      </c>
      <c r="D8" s="32">
        <v>16814</v>
      </c>
      <c r="E8" s="32">
        <v>27417.026999999998</v>
      </c>
      <c r="F8" s="32">
        <v>49306.574999999997</v>
      </c>
      <c r="G8" s="32">
        <v>129221.743</v>
      </c>
      <c r="H8" s="32">
        <v>79586</v>
      </c>
      <c r="I8" s="32">
        <v>41</v>
      </c>
      <c r="J8" s="32">
        <v>81</v>
      </c>
      <c r="K8" s="32">
        <v>13540</v>
      </c>
      <c r="L8" s="32">
        <v>97716</v>
      </c>
      <c r="M8" s="32">
        <v>15160</v>
      </c>
      <c r="N8" s="32">
        <v>97633</v>
      </c>
      <c r="O8" s="32">
        <v>16299</v>
      </c>
      <c r="P8" s="32">
        <v>216598</v>
      </c>
      <c r="Q8" s="32">
        <v>14880</v>
      </c>
    </row>
    <row r="9" spans="2:17" ht="14.25" customHeight="1" x14ac:dyDescent="0.35">
      <c r="B9" s="6" t="s">
        <v>200</v>
      </c>
      <c r="C9" s="6">
        <v>15514</v>
      </c>
      <c r="D9" s="32">
        <v>22462</v>
      </c>
      <c r="E9" s="32">
        <v>27163.43</v>
      </c>
      <c r="F9" s="32">
        <v>42853.536999999997</v>
      </c>
      <c r="G9" s="32">
        <v>60664</v>
      </c>
      <c r="H9" s="32">
        <v>75818</v>
      </c>
      <c r="I9" s="32">
        <v>665534</v>
      </c>
      <c r="J9" s="32">
        <v>251044</v>
      </c>
      <c r="K9" s="32">
        <v>70528</v>
      </c>
      <c r="L9" s="32">
        <v>28876</v>
      </c>
      <c r="M9" s="32">
        <v>171105</v>
      </c>
      <c r="N9" s="32">
        <v>115617</v>
      </c>
      <c r="O9" s="32">
        <v>76425</v>
      </c>
      <c r="P9" s="32">
        <v>383976</v>
      </c>
      <c r="Q9" s="32">
        <v>342392</v>
      </c>
    </row>
    <row r="10" spans="2:17" ht="14.25" customHeight="1" x14ac:dyDescent="0.35">
      <c r="B10" s="6" t="s">
        <v>32</v>
      </c>
      <c r="C10" s="6">
        <v>25325</v>
      </c>
      <c r="D10" s="32">
        <v>37721</v>
      </c>
      <c r="E10" s="32">
        <v>46921.228000000003</v>
      </c>
      <c r="F10" s="32">
        <v>37421.749000000003</v>
      </c>
      <c r="G10" s="32">
        <v>72329</v>
      </c>
      <c r="H10" s="32">
        <v>104197</v>
      </c>
      <c r="I10" s="32">
        <v>126236</v>
      </c>
      <c r="J10" s="32">
        <v>45051</v>
      </c>
      <c r="K10" s="32">
        <v>120590</v>
      </c>
      <c r="L10" s="32">
        <v>111610</v>
      </c>
      <c r="M10" s="32">
        <v>154986</v>
      </c>
      <c r="N10" s="32">
        <v>167976</v>
      </c>
      <c r="O10" s="32">
        <v>181596</v>
      </c>
      <c r="P10" s="32">
        <v>284931</v>
      </c>
      <c r="Q10" s="32">
        <v>271101</v>
      </c>
    </row>
    <row r="11" spans="2:17" ht="14.25" customHeight="1" x14ac:dyDescent="0.35">
      <c r="B11" s="6" t="s">
        <v>258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</row>
    <row r="12" spans="2:17" ht="14.25" customHeight="1" x14ac:dyDescent="0.35">
      <c r="B12" s="6" t="s">
        <v>33</v>
      </c>
      <c r="C12" s="6">
        <v>36798</v>
      </c>
      <c r="D12" s="32">
        <v>122651</v>
      </c>
      <c r="E12" s="32">
        <v>182194.44</v>
      </c>
      <c r="F12" s="32">
        <v>440491.13400000002</v>
      </c>
      <c r="G12" s="32">
        <v>428359</v>
      </c>
      <c r="H12" s="32">
        <v>305176</v>
      </c>
      <c r="I12" s="32">
        <v>345076</v>
      </c>
      <c r="J12" s="32">
        <v>802138</v>
      </c>
      <c r="K12" s="32">
        <v>781916</v>
      </c>
      <c r="L12" s="32">
        <v>469883</v>
      </c>
      <c r="M12" s="32">
        <v>706838</v>
      </c>
      <c r="N12" s="32">
        <v>1977124</v>
      </c>
      <c r="O12" s="32">
        <v>1405513</v>
      </c>
      <c r="P12" s="32">
        <v>786727</v>
      </c>
      <c r="Q12" s="32">
        <v>1486067</v>
      </c>
    </row>
    <row r="13" spans="2:17" ht="14.25" customHeight="1" x14ac:dyDescent="0.35">
      <c r="B13" s="6" t="s">
        <v>34</v>
      </c>
      <c r="C13" s="6">
        <v>5709</v>
      </c>
      <c r="D13" s="32">
        <v>6817</v>
      </c>
      <c r="E13" s="32">
        <v>14483.656999999999</v>
      </c>
      <c r="F13" s="32">
        <v>7135.482</v>
      </c>
      <c r="G13" s="32">
        <v>58464</v>
      </c>
      <c r="H13" s="32">
        <v>60652</v>
      </c>
      <c r="I13" s="32">
        <v>15654</v>
      </c>
      <c r="J13" s="32">
        <v>10462</v>
      </c>
      <c r="K13" s="32">
        <v>24904</v>
      </c>
      <c r="L13" s="32">
        <v>26967</v>
      </c>
      <c r="M13" s="32">
        <v>18878</v>
      </c>
      <c r="N13" s="32">
        <v>26889</v>
      </c>
      <c r="O13" s="32">
        <v>55516</v>
      </c>
      <c r="P13" s="32">
        <v>48997</v>
      </c>
      <c r="Q13" s="32">
        <v>11334</v>
      </c>
    </row>
    <row r="14" spans="2:17" ht="14.25" customHeight="1" x14ac:dyDescent="0.35">
      <c r="B14" s="6" t="s">
        <v>35</v>
      </c>
      <c r="C14" s="6">
        <v>0</v>
      </c>
      <c r="D14" s="32">
        <v>14906</v>
      </c>
      <c r="E14" s="32">
        <v>22586.064999999999</v>
      </c>
      <c r="F14" s="32">
        <v>15994.828</v>
      </c>
      <c r="G14" s="32">
        <v>2363</v>
      </c>
      <c r="H14" s="32">
        <v>3881</v>
      </c>
      <c r="I14" s="32">
        <v>2551</v>
      </c>
      <c r="J14" s="32">
        <v>2551</v>
      </c>
      <c r="K14" s="32">
        <v>2589</v>
      </c>
      <c r="L14" s="32">
        <v>169</v>
      </c>
      <c r="M14" s="32">
        <v>0</v>
      </c>
      <c r="N14" s="32">
        <v>17142</v>
      </c>
      <c r="O14" s="32">
        <v>0</v>
      </c>
      <c r="P14" s="32">
        <v>0</v>
      </c>
      <c r="Q14" s="32">
        <v>0</v>
      </c>
    </row>
    <row r="15" spans="2:17" ht="14.25" customHeight="1" x14ac:dyDescent="0.35">
      <c r="B15" s="6" t="s">
        <v>201</v>
      </c>
      <c r="C15" s="6">
        <v>669</v>
      </c>
      <c r="D15" s="32">
        <v>8415</v>
      </c>
      <c r="E15" s="32">
        <v>14618.511</v>
      </c>
      <c r="F15" s="32">
        <v>32199.746999999999</v>
      </c>
      <c r="G15" s="32">
        <v>52797</v>
      </c>
      <c r="H15" s="32">
        <v>64412</v>
      </c>
      <c r="I15" s="32">
        <v>60575</v>
      </c>
      <c r="J15" s="32">
        <v>127207</v>
      </c>
      <c r="K15" s="32">
        <v>133168</v>
      </c>
      <c r="L15" s="32">
        <v>110345</v>
      </c>
      <c r="M15" s="32">
        <v>145628</v>
      </c>
      <c r="N15" s="32">
        <v>268086</v>
      </c>
      <c r="O15" s="32">
        <v>66903</v>
      </c>
      <c r="P15" s="32">
        <v>122332</v>
      </c>
      <c r="Q15" s="32">
        <v>165940.80489</v>
      </c>
    </row>
    <row r="16" spans="2:17" ht="14.25" customHeight="1" x14ac:dyDescent="0.35">
      <c r="B16" s="6" t="s">
        <v>36</v>
      </c>
      <c r="C16" s="6">
        <v>740</v>
      </c>
      <c r="D16" s="32">
        <v>1075</v>
      </c>
      <c r="E16" s="32">
        <v>623.68700000000001</v>
      </c>
      <c r="F16" s="32">
        <v>4620.3100000000004</v>
      </c>
      <c r="G16" s="32">
        <v>3559</v>
      </c>
      <c r="H16" s="32">
        <v>2909</v>
      </c>
      <c r="I16" s="32">
        <v>9212</v>
      </c>
      <c r="J16" s="32">
        <v>12318</v>
      </c>
      <c r="K16" s="32">
        <v>7423</v>
      </c>
      <c r="L16" s="32">
        <v>17356</v>
      </c>
      <c r="M16" s="32">
        <v>28478</v>
      </c>
      <c r="N16" s="32">
        <v>42604</v>
      </c>
      <c r="O16" s="32">
        <v>29202</v>
      </c>
      <c r="P16" s="32">
        <v>24642</v>
      </c>
      <c r="Q16" s="32">
        <v>51915</v>
      </c>
    </row>
    <row r="17" spans="2:17" ht="14.25" customHeight="1" x14ac:dyDescent="0.35">
      <c r="B17" s="6" t="s">
        <v>37</v>
      </c>
      <c r="C17" s="6">
        <v>0</v>
      </c>
      <c r="D17" s="32">
        <v>0</v>
      </c>
      <c r="E17" s="32">
        <v>0</v>
      </c>
      <c r="F17" s="32">
        <v>0</v>
      </c>
      <c r="G17" s="32">
        <v>0</v>
      </c>
      <c r="H17" s="32">
        <v>5564</v>
      </c>
      <c r="I17" s="32">
        <v>4665</v>
      </c>
      <c r="J17" s="32">
        <v>4665</v>
      </c>
      <c r="K17" s="32">
        <v>19462</v>
      </c>
      <c r="L17" s="32">
        <v>6093</v>
      </c>
      <c r="M17" s="32">
        <v>6093</v>
      </c>
      <c r="N17" s="32">
        <v>6093</v>
      </c>
      <c r="O17" s="32">
        <v>6093</v>
      </c>
      <c r="P17" s="32">
        <v>3760</v>
      </c>
      <c r="Q17" s="32">
        <v>3760</v>
      </c>
    </row>
    <row r="18" spans="2:17" ht="14.25" customHeight="1" x14ac:dyDescent="0.35">
      <c r="B18" s="6" t="s">
        <v>221</v>
      </c>
      <c r="C18" s="6">
        <v>0</v>
      </c>
      <c r="D18" s="32">
        <v>0</v>
      </c>
      <c r="E18" s="32">
        <v>11539.162</v>
      </c>
      <c r="F18" s="32">
        <v>3303.348</v>
      </c>
      <c r="G18" s="32">
        <v>14863</v>
      </c>
      <c r="H18" s="32">
        <v>24049</v>
      </c>
      <c r="I18" s="32">
        <v>23397</v>
      </c>
      <c r="J18" s="32">
        <v>21381</v>
      </c>
      <c r="K18" s="32">
        <v>10723</v>
      </c>
      <c r="L18" s="32">
        <v>13351</v>
      </c>
      <c r="M18" s="32">
        <v>276</v>
      </c>
      <c r="N18" s="32">
        <v>13804</v>
      </c>
      <c r="O18" s="32">
        <v>43179</v>
      </c>
      <c r="P18" s="32">
        <v>75063</v>
      </c>
      <c r="Q18" s="32">
        <v>92771</v>
      </c>
    </row>
    <row r="19" spans="2:17" ht="14.25" customHeight="1" x14ac:dyDescent="0.35">
      <c r="B19" s="6" t="s">
        <v>38</v>
      </c>
      <c r="C19" s="6">
        <v>0</v>
      </c>
      <c r="D19" s="32">
        <v>387</v>
      </c>
      <c r="E19" s="32">
        <v>670.14700000000005</v>
      </c>
      <c r="F19" s="32">
        <v>2777.1019999999999</v>
      </c>
      <c r="G19" s="32">
        <v>14313</v>
      </c>
      <c r="H19" s="32">
        <v>387</v>
      </c>
      <c r="I19" s="32">
        <v>516</v>
      </c>
      <c r="J19" s="32">
        <v>1118</v>
      </c>
      <c r="K19" s="32">
        <v>964</v>
      </c>
      <c r="L19" s="32">
        <v>1598</v>
      </c>
      <c r="M19" s="32">
        <v>1992</v>
      </c>
      <c r="N19" s="32">
        <v>1895</v>
      </c>
      <c r="O19" s="32">
        <v>1573</v>
      </c>
      <c r="P19" s="32">
        <v>9019</v>
      </c>
      <c r="Q19" s="32">
        <v>13412</v>
      </c>
    </row>
    <row r="20" spans="2:17" s="12" customFormat="1" ht="14.25" customHeight="1" x14ac:dyDescent="0.35">
      <c r="B20" s="5" t="s">
        <v>39</v>
      </c>
      <c r="C20" s="33">
        <v>303708</v>
      </c>
      <c r="D20" s="33">
        <v>242531</v>
      </c>
      <c r="E20" s="33">
        <v>389509.25799999997</v>
      </c>
      <c r="F20" s="33">
        <v>667800.63599999994</v>
      </c>
      <c r="G20" s="33">
        <v>855705</v>
      </c>
      <c r="H20" s="33">
        <v>1036632</v>
      </c>
      <c r="I20" s="33">
        <v>1484450</v>
      </c>
      <c r="J20" s="33">
        <v>1777040</v>
      </c>
      <c r="K20" s="33">
        <v>1779639</v>
      </c>
      <c r="L20" s="33">
        <v>1832577</v>
      </c>
      <c r="M20" s="33">
        <v>2109252</v>
      </c>
      <c r="N20" s="33">
        <v>3424301</v>
      </c>
      <c r="O20" s="33">
        <v>2939621</v>
      </c>
      <c r="P20" s="33">
        <v>3675239</v>
      </c>
      <c r="Q20" s="33">
        <v>5345394.9048899999</v>
      </c>
    </row>
    <row r="21" spans="2:17" ht="14.25" customHeight="1" x14ac:dyDescent="0.35">
      <c r="B21" s="6" t="s">
        <v>31</v>
      </c>
      <c r="C21" s="6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2810640</v>
      </c>
      <c r="L21" s="32">
        <v>3385056</v>
      </c>
      <c r="M21" s="32">
        <v>2972066</v>
      </c>
      <c r="N21" s="32">
        <v>3231825</v>
      </c>
      <c r="O21" s="32">
        <v>3318748</v>
      </c>
      <c r="P21" s="32">
        <v>2817419</v>
      </c>
      <c r="Q21" s="32">
        <v>3114900</v>
      </c>
    </row>
    <row r="22" spans="2:17" ht="14.25" customHeight="1" x14ac:dyDescent="0.35">
      <c r="B22" s="6" t="s">
        <v>40</v>
      </c>
      <c r="C22" s="6">
        <v>0</v>
      </c>
      <c r="D22" s="32">
        <v>0</v>
      </c>
      <c r="E22" s="32">
        <v>0</v>
      </c>
      <c r="F22" s="32">
        <v>0</v>
      </c>
      <c r="G22" s="32">
        <v>0</v>
      </c>
      <c r="H22" s="32">
        <v>115536</v>
      </c>
      <c r="I22" s="32">
        <v>138424</v>
      </c>
      <c r="J22" s="32">
        <v>86698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</row>
    <row r="23" spans="2:17" ht="14.25" customHeight="1" x14ac:dyDescent="0.35">
      <c r="B23" s="6" t="s">
        <v>202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16227</v>
      </c>
      <c r="P23" s="6">
        <v>16547</v>
      </c>
      <c r="Q23" s="32">
        <v>17045</v>
      </c>
    </row>
    <row r="24" spans="2:17" ht="14.25" customHeight="1" x14ac:dyDescent="0.35">
      <c r="B24" s="6" t="s">
        <v>34</v>
      </c>
      <c r="C24" s="6">
        <v>1841</v>
      </c>
      <c r="D24" s="32">
        <v>6883</v>
      </c>
      <c r="E24" s="32">
        <v>8575.7970000000005</v>
      </c>
      <c r="F24" s="32">
        <v>11053.165000000001</v>
      </c>
      <c r="G24" s="32">
        <v>9106</v>
      </c>
      <c r="H24" s="32">
        <v>9106</v>
      </c>
      <c r="I24" s="32">
        <v>9106</v>
      </c>
      <c r="J24" s="32">
        <v>12967</v>
      </c>
      <c r="K24" s="32">
        <v>12968</v>
      </c>
      <c r="L24" s="32">
        <v>12968</v>
      </c>
      <c r="M24" s="32">
        <v>12968</v>
      </c>
      <c r="N24" s="32">
        <v>20029</v>
      </c>
      <c r="O24" s="32">
        <v>27435</v>
      </c>
      <c r="P24" s="32">
        <v>55497</v>
      </c>
      <c r="Q24" s="32">
        <v>88618</v>
      </c>
    </row>
    <row r="25" spans="2:17" ht="14.25" customHeight="1" x14ac:dyDescent="0.35">
      <c r="B25" s="6" t="s">
        <v>203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186705</v>
      </c>
      <c r="P25" s="6">
        <v>129842</v>
      </c>
      <c r="Q25" s="32">
        <v>132915</v>
      </c>
    </row>
    <row r="26" spans="2:17" ht="14.25" customHeight="1" x14ac:dyDescent="0.35">
      <c r="B26" s="6" t="s">
        <v>222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2560</v>
      </c>
      <c r="Q26" s="32">
        <v>0</v>
      </c>
    </row>
    <row r="27" spans="2:17" ht="14.1" customHeight="1" x14ac:dyDescent="0.35">
      <c r="B27" s="6" t="s">
        <v>204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293587</v>
      </c>
      <c r="P27" s="6">
        <v>251035</v>
      </c>
      <c r="Q27" s="32">
        <v>282142</v>
      </c>
    </row>
    <row r="28" spans="2:17" ht="14.25" customHeight="1" x14ac:dyDescent="0.35">
      <c r="B28" s="6" t="s">
        <v>37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10042</v>
      </c>
      <c r="I28" s="6">
        <v>10042</v>
      </c>
      <c r="J28" s="6">
        <v>20109</v>
      </c>
      <c r="K28" s="6">
        <v>4509</v>
      </c>
      <c r="L28" s="6">
        <v>22090</v>
      </c>
      <c r="M28" s="6">
        <v>18009</v>
      </c>
      <c r="N28" s="6">
        <v>19484</v>
      </c>
      <c r="O28" s="6">
        <v>22732</v>
      </c>
      <c r="P28" s="6">
        <v>42337</v>
      </c>
      <c r="Q28" s="32">
        <v>46543</v>
      </c>
    </row>
    <row r="29" spans="2:17" ht="14.25" customHeight="1" x14ac:dyDescent="0.35">
      <c r="B29" s="6" t="s">
        <v>41</v>
      </c>
      <c r="C29" s="6">
        <v>0</v>
      </c>
      <c r="D29" s="6">
        <v>3354</v>
      </c>
      <c r="E29" s="6">
        <v>3353.5450000000001</v>
      </c>
      <c r="F29" s="6">
        <v>3353.5450000000001</v>
      </c>
      <c r="G29" s="6">
        <v>3353.5450000000001</v>
      </c>
      <c r="H29" s="6">
        <v>3580</v>
      </c>
      <c r="I29" s="6">
        <v>3571</v>
      </c>
      <c r="J29" s="6">
        <v>3571</v>
      </c>
      <c r="K29" s="6">
        <v>3571</v>
      </c>
      <c r="L29" s="6">
        <v>3652</v>
      </c>
      <c r="M29" s="6">
        <v>3710</v>
      </c>
      <c r="N29" s="6">
        <v>3734</v>
      </c>
      <c r="O29" s="6">
        <v>3775</v>
      </c>
      <c r="P29" s="6">
        <v>3775</v>
      </c>
      <c r="Q29" s="32">
        <v>3854</v>
      </c>
    </row>
    <row r="30" spans="2:17" s="12" customFormat="1" ht="14.25" customHeight="1" x14ac:dyDescent="0.35">
      <c r="B30" s="5" t="s">
        <v>42</v>
      </c>
      <c r="C30" s="33">
        <v>1841</v>
      </c>
      <c r="D30" s="33">
        <v>10237</v>
      </c>
      <c r="E30" s="33">
        <v>11929.342000000001</v>
      </c>
      <c r="F30" s="33">
        <v>14406.710000000001</v>
      </c>
      <c r="G30" s="33">
        <v>12459.545</v>
      </c>
      <c r="H30" s="33">
        <v>138264</v>
      </c>
      <c r="I30" s="33">
        <v>161143</v>
      </c>
      <c r="J30" s="33">
        <v>123345</v>
      </c>
      <c r="K30" s="33">
        <v>2831688</v>
      </c>
      <c r="L30" s="33">
        <v>3423766</v>
      </c>
      <c r="M30" s="33">
        <v>3006753</v>
      </c>
      <c r="N30" s="33">
        <v>3275072</v>
      </c>
      <c r="O30" s="33">
        <v>3869209</v>
      </c>
      <c r="P30" s="33">
        <v>3319012</v>
      </c>
      <c r="Q30" s="33">
        <v>3686017</v>
      </c>
    </row>
    <row r="31" spans="2:17" ht="14.25" customHeight="1" x14ac:dyDescent="0.35">
      <c r="B31" s="6" t="s">
        <v>43</v>
      </c>
      <c r="C31" s="6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</row>
    <row r="32" spans="2:17" ht="14.25" customHeight="1" x14ac:dyDescent="0.35">
      <c r="B32" s="6" t="s">
        <v>44</v>
      </c>
      <c r="C32" s="6">
        <v>433424</v>
      </c>
      <c r="D32" s="32">
        <v>939544</v>
      </c>
      <c r="E32" s="32">
        <v>1208407.875</v>
      </c>
      <c r="F32" s="32">
        <v>1511290.737</v>
      </c>
      <c r="G32" s="32">
        <v>1908778</v>
      </c>
      <c r="H32" s="32">
        <v>2190785</v>
      </c>
      <c r="I32" s="32">
        <v>2407206</v>
      </c>
      <c r="J32" s="32">
        <v>2621496</v>
      </c>
      <c r="K32" s="32">
        <v>2765280</v>
      </c>
      <c r="L32" s="32">
        <v>2879404</v>
      </c>
      <c r="M32" s="32">
        <v>2921751</v>
      </c>
      <c r="N32" s="32">
        <v>2996223</v>
      </c>
      <c r="O32" s="32">
        <v>3157775</v>
      </c>
      <c r="P32" s="32">
        <v>3329098</v>
      </c>
      <c r="Q32" s="32">
        <v>3711837.4800399998</v>
      </c>
    </row>
    <row r="33" spans="2:17" ht="14.25" customHeight="1" x14ac:dyDescent="0.35">
      <c r="B33" s="6" t="s">
        <v>45</v>
      </c>
      <c r="C33" s="6">
        <v>876</v>
      </c>
      <c r="D33" s="32">
        <v>3917</v>
      </c>
      <c r="E33" s="32">
        <v>5618.3280000000004</v>
      </c>
      <c r="F33" s="32">
        <v>5559.4830000000002</v>
      </c>
      <c r="G33" s="32">
        <v>5997</v>
      </c>
      <c r="H33" s="32">
        <v>8209</v>
      </c>
      <c r="I33" s="32">
        <v>8269</v>
      </c>
      <c r="J33" s="32">
        <v>8377</v>
      </c>
      <c r="K33" s="32">
        <v>9544</v>
      </c>
      <c r="L33" s="32">
        <v>12759</v>
      </c>
      <c r="M33" s="32">
        <v>13012</v>
      </c>
      <c r="N33" s="32">
        <v>14615</v>
      </c>
      <c r="O33" s="32">
        <v>14691</v>
      </c>
      <c r="P33" s="32">
        <v>15435</v>
      </c>
      <c r="Q33" s="32">
        <v>16191</v>
      </c>
    </row>
    <row r="34" spans="2:17" s="12" customFormat="1" ht="14.25" customHeight="1" thickBot="1" x14ac:dyDescent="0.4">
      <c r="B34" s="5" t="s">
        <v>46</v>
      </c>
      <c r="C34" s="33">
        <v>436141</v>
      </c>
      <c r="D34" s="33">
        <v>953698</v>
      </c>
      <c r="E34" s="33">
        <v>1225955.5449999999</v>
      </c>
      <c r="F34" s="33">
        <v>1531256.93</v>
      </c>
      <c r="G34" s="33">
        <v>1927234.5449999999</v>
      </c>
      <c r="H34" s="33">
        <v>2337258</v>
      </c>
      <c r="I34" s="33">
        <v>2576618</v>
      </c>
      <c r="J34" s="33">
        <v>2753218</v>
      </c>
      <c r="K34" s="33">
        <v>5606512</v>
      </c>
      <c r="L34" s="33">
        <v>6315929</v>
      </c>
      <c r="M34" s="33">
        <v>5941516</v>
      </c>
      <c r="N34" s="33">
        <v>6285910</v>
      </c>
      <c r="O34" s="33">
        <v>7041675</v>
      </c>
      <c r="P34" s="33">
        <v>6663545</v>
      </c>
      <c r="Q34" s="33">
        <v>7414045.4800399998</v>
      </c>
    </row>
    <row r="35" spans="2:17" ht="14.25" customHeight="1" thickBot="1" x14ac:dyDescent="0.4">
      <c r="B35" s="9" t="s">
        <v>47</v>
      </c>
      <c r="C35" s="31">
        <v>739849</v>
      </c>
      <c r="D35" s="31">
        <v>1196229</v>
      </c>
      <c r="E35" s="31">
        <v>1615464.8029999998</v>
      </c>
      <c r="F35" s="31">
        <v>2199057.5659999996</v>
      </c>
      <c r="G35" s="31">
        <v>2782939.5449999999</v>
      </c>
      <c r="H35" s="31">
        <v>3373890</v>
      </c>
      <c r="I35" s="31">
        <v>4061068</v>
      </c>
      <c r="J35" s="31">
        <v>4530258</v>
      </c>
      <c r="K35" s="31">
        <v>7386151</v>
      </c>
      <c r="L35" s="31">
        <v>8148506</v>
      </c>
      <c r="M35" s="31">
        <v>8050768</v>
      </c>
      <c r="N35" s="31">
        <v>9710211</v>
      </c>
      <c r="O35" s="31">
        <v>9981296</v>
      </c>
      <c r="P35" s="31">
        <v>10338784</v>
      </c>
      <c r="Q35" s="31">
        <v>12759440.38493</v>
      </c>
    </row>
    <row r="36" spans="2:17" ht="18" x14ac:dyDescent="0.35">
      <c r="B36" s="6"/>
      <c r="C36" s="6"/>
      <c r="D36" s="32"/>
      <c r="E36" s="32"/>
      <c r="F36" s="32"/>
      <c r="G36" s="32"/>
      <c r="H36" s="32"/>
      <c r="I36" s="32"/>
      <c r="J36" s="32"/>
      <c r="K36" s="32"/>
      <c r="L36" s="32"/>
      <c r="M36" s="32"/>
      <c r="Q36" s="32"/>
    </row>
    <row r="37" spans="2:17" ht="14.25" customHeight="1" x14ac:dyDescent="0.35">
      <c r="B37" s="6" t="s">
        <v>48</v>
      </c>
      <c r="C37" s="6">
        <v>20324</v>
      </c>
      <c r="D37" s="32">
        <v>102390.39999999999</v>
      </c>
      <c r="E37" s="32">
        <v>211931.52799999999</v>
      </c>
      <c r="F37" s="32">
        <v>265794.96500000003</v>
      </c>
      <c r="G37" s="32">
        <v>243743</v>
      </c>
      <c r="H37" s="32">
        <v>233508</v>
      </c>
      <c r="I37" s="32">
        <v>470671</v>
      </c>
      <c r="J37" s="32">
        <v>736496</v>
      </c>
      <c r="K37" s="32">
        <v>398013</v>
      </c>
      <c r="L37" s="32">
        <v>264487</v>
      </c>
      <c r="M37" s="32">
        <v>723728</v>
      </c>
      <c r="N37" s="32">
        <v>1044269</v>
      </c>
      <c r="O37" s="32">
        <v>560491</v>
      </c>
      <c r="P37" s="32">
        <v>403228</v>
      </c>
      <c r="Q37" s="32">
        <v>1898422</v>
      </c>
    </row>
    <row r="38" spans="2:17" ht="14.25" customHeight="1" x14ac:dyDescent="0.35">
      <c r="B38" s="6" t="s">
        <v>49</v>
      </c>
      <c r="C38" s="6">
        <v>12154</v>
      </c>
      <c r="D38" s="32">
        <v>66638.399999999994</v>
      </c>
      <c r="E38" s="32">
        <v>108858.755</v>
      </c>
      <c r="F38" s="32">
        <v>291622.87099999998</v>
      </c>
      <c r="G38" s="32">
        <v>412957</v>
      </c>
      <c r="H38" s="32">
        <v>538943</v>
      </c>
      <c r="I38" s="32">
        <v>649182</v>
      </c>
      <c r="J38" s="32">
        <v>694724</v>
      </c>
      <c r="K38" s="32">
        <v>867389</v>
      </c>
      <c r="L38" s="32">
        <v>751890</v>
      </c>
      <c r="M38" s="32">
        <v>457209</v>
      </c>
      <c r="N38" s="32">
        <v>936187</v>
      </c>
      <c r="O38" s="32">
        <v>974300</v>
      </c>
      <c r="P38" s="32">
        <v>955552</v>
      </c>
      <c r="Q38" s="32">
        <v>640538</v>
      </c>
    </row>
    <row r="39" spans="2:17" ht="14.25" customHeight="1" x14ac:dyDescent="0.35">
      <c r="B39" s="6" t="s">
        <v>50</v>
      </c>
      <c r="C39" s="6">
        <v>8854</v>
      </c>
      <c r="D39" s="32">
        <v>10787</v>
      </c>
      <c r="E39" s="32">
        <v>18080.793000000001</v>
      </c>
      <c r="F39" s="32">
        <v>17135.958999999999</v>
      </c>
      <c r="G39" s="32">
        <v>46459</v>
      </c>
      <c r="H39" s="32">
        <v>29326</v>
      </c>
      <c r="I39" s="32">
        <v>15135</v>
      </c>
      <c r="J39" s="32">
        <v>16396</v>
      </c>
      <c r="K39" s="32">
        <v>28131</v>
      </c>
      <c r="L39" s="32">
        <v>20887</v>
      </c>
      <c r="M39" s="32">
        <v>21012</v>
      </c>
      <c r="N39" s="32">
        <v>25398</v>
      </c>
      <c r="O39" s="32">
        <v>76103</v>
      </c>
      <c r="P39" s="32">
        <v>26967</v>
      </c>
      <c r="Q39" s="32">
        <v>27946</v>
      </c>
    </row>
    <row r="40" spans="2:17" ht="14.25" customHeight="1" x14ac:dyDescent="0.35">
      <c r="B40" s="6" t="s">
        <v>51</v>
      </c>
      <c r="C40" s="6">
        <v>0</v>
      </c>
      <c r="D40" s="32">
        <v>0</v>
      </c>
      <c r="E40" s="32">
        <v>0</v>
      </c>
      <c r="F40" s="32">
        <v>0</v>
      </c>
      <c r="G40" s="34">
        <v>0</v>
      </c>
      <c r="H40" s="32">
        <v>0</v>
      </c>
      <c r="I40" s="32">
        <v>1329</v>
      </c>
      <c r="J40" s="32">
        <v>1304</v>
      </c>
      <c r="K40" s="32">
        <v>199</v>
      </c>
      <c r="L40" s="32">
        <v>2636</v>
      </c>
      <c r="M40" s="32">
        <v>8373</v>
      </c>
      <c r="N40" s="32">
        <v>18413</v>
      </c>
      <c r="O40" s="32">
        <v>20943</v>
      </c>
      <c r="P40" s="32">
        <v>20528</v>
      </c>
      <c r="Q40" s="32">
        <v>15324</v>
      </c>
    </row>
    <row r="41" spans="2:17" ht="14.25" customHeight="1" x14ac:dyDescent="0.35">
      <c r="B41" s="6" t="s">
        <v>35</v>
      </c>
      <c r="C41" s="6">
        <v>5057</v>
      </c>
      <c r="D41" s="32">
        <v>4091</v>
      </c>
      <c r="E41" s="32">
        <v>1824.9580000000001</v>
      </c>
      <c r="F41" s="32">
        <v>102.901</v>
      </c>
      <c r="G41" s="32">
        <v>226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23604</v>
      </c>
      <c r="N41" s="32">
        <v>0</v>
      </c>
      <c r="O41" s="32">
        <v>22920</v>
      </c>
      <c r="P41" s="32">
        <v>68645</v>
      </c>
      <c r="Q41" s="32">
        <v>85256</v>
      </c>
    </row>
    <row r="42" spans="2:17" ht="14.25" customHeight="1" x14ac:dyDescent="0.35">
      <c r="B42" s="6" t="s">
        <v>52</v>
      </c>
      <c r="C42" s="6">
        <v>5410</v>
      </c>
      <c r="D42" s="32">
        <v>5391</v>
      </c>
      <c r="E42" s="32">
        <v>4453.8620000000001</v>
      </c>
      <c r="F42" s="32">
        <v>4116.2929999999997</v>
      </c>
      <c r="G42" s="32">
        <v>16067</v>
      </c>
      <c r="H42" s="32">
        <v>9323</v>
      </c>
      <c r="I42" s="32">
        <v>16747</v>
      </c>
      <c r="J42" s="32">
        <v>24925</v>
      </c>
      <c r="K42" s="32">
        <v>4145</v>
      </c>
      <c r="L42" s="32">
        <v>13671</v>
      </c>
      <c r="M42" s="32">
        <v>9695</v>
      </c>
      <c r="N42" s="32">
        <v>13973</v>
      </c>
      <c r="O42" s="32">
        <v>13351</v>
      </c>
      <c r="P42" s="32">
        <v>19863</v>
      </c>
      <c r="Q42" s="32">
        <v>23058</v>
      </c>
    </row>
    <row r="43" spans="2:17" ht="14.25" customHeight="1" x14ac:dyDescent="0.35">
      <c r="B43" s="6" t="s">
        <v>53</v>
      </c>
      <c r="C43" s="6">
        <v>2661</v>
      </c>
      <c r="D43" s="32">
        <v>5740</v>
      </c>
      <c r="E43" s="32">
        <v>8473.9989999999998</v>
      </c>
      <c r="F43" s="32">
        <v>13263.353999999999</v>
      </c>
      <c r="G43" s="32">
        <v>14434</v>
      </c>
      <c r="H43" s="32">
        <v>23885</v>
      </c>
      <c r="I43" s="32">
        <v>29396</v>
      </c>
      <c r="J43" s="32">
        <v>37084</v>
      </c>
      <c r="K43" s="32">
        <v>22437</v>
      </c>
      <c r="L43" s="32">
        <v>28526</v>
      </c>
      <c r="M43" s="32">
        <v>25830</v>
      </c>
      <c r="N43" s="32">
        <v>30117</v>
      </c>
      <c r="O43" s="32">
        <v>37212</v>
      </c>
      <c r="P43" s="32">
        <v>47668</v>
      </c>
      <c r="Q43" s="32">
        <v>38332</v>
      </c>
    </row>
    <row r="44" spans="2:17" ht="14.25" customHeight="1" x14ac:dyDescent="0.35">
      <c r="B44" s="6" t="s">
        <v>205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5697</v>
      </c>
      <c r="P44" s="32">
        <v>0</v>
      </c>
      <c r="Q44" s="32">
        <v>0</v>
      </c>
    </row>
    <row r="45" spans="2:17" ht="14.25" customHeight="1" x14ac:dyDescent="0.35">
      <c r="B45" s="6" t="s">
        <v>221</v>
      </c>
      <c r="C45" s="6">
        <v>0</v>
      </c>
      <c r="D45" s="32">
        <v>23443</v>
      </c>
      <c r="E45" s="32">
        <v>7390.5320000000002</v>
      </c>
      <c r="F45" s="32">
        <v>34513.521000000001</v>
      </c>
      <c r="G45" s="32">
        <v>3158</v>
      </c>
      <c r="H45" s="32">
        <v>35474</v>
      </c>
      <c r="I45" s="32">
        <v>14655</v>
      </c>
      <c r="J45" s="32">
        <v>42</v>
      </c>
      <c r="K45" s="32">
        <v>15709</v>
      </c>
      <c r="L45" s="32">
        <v>59068</v>
      </c>
      <c r="M45" s="32">
        <v>278537</v>
      </c>
      <c r="N45" s="32">
        <v>291461</v>
      </c>
      <c r="O45" s="32">
        <v>302882</v>
      </c>
      <c r="P45" s="32">
        <v>584884</v>
      </c>
      <c r="Q45" s="32">
        <v>465443</v>
      </c>
    </row>
    <row r="46" spans="2:17" s="12" customFormat="1" ht="14.25" customHeight="1" x14ac:dyDescent="0.35">
      <c r="B46" s="5" t="s">
        <v>54</v>
      </c>
      <c r="C46" s="33">
        <v>54460</v>
      </c>
      <c r="D46" s="33">
        <v>218480.8</v>
      </c>
      <c r="E46" s="33">
        <v>361014.42700000003</v>
      </c>
      <c r="F46" s="33">
        <v>626549.86399999994</v>
      </c>
      <c r="G46" s="33">
        <v>737044</v>
      </c>
      <c r="H46" s="33">
        <v>870459</v>
      </c>
      <c r="I46" s="33">
        <v>1197115</v>
      </c>
      <c r="J46" s="33">
        <v>1510971</v>
      </c>
      <c r="K46" s="33">
        <v>1336023</v>
      </c>
      <c r="L46" s="33">
        <v>1141165</v>
      </c>
      <c r="M46" s="33">
        <v>1547988</v>
      </c>
      <c r="N46" s="33">
        <v>2359818</v>
      </c>
      <c r="O46" s="33">
        <v>2013899</v>
      </c>
      <c r="P46" s="33">
        <v>2127335</v>
      </c>
      <c r="Q46" s="33">
        <v>3194319</v>
      </c>
    </row>
    <row r="47" spans="2:17" ht="14.25" customHeight="1" x14ac:dyDescent="0.35">
      <c r="B47" s="6" t="s">
        <v>48</v>
      </c>
      <c r="C47" s="6">
        <v>0</v>
      </c>
      <c r="D47" s="32">
        <v>17563</v>
      </c>
      <c r="E47" s="32">
        <v>17539.424999999999</v>
      </c>
      <c r="F47" s="32">
        <v>9307.0249999999996</v>
      </c>
      <c r="G47" s="32">
        <v>9170</v>
      </c>
      <c r="H47" s="32">
        <v>3565</v>
      </c>
      <c r="I47" s="32">
        <v>5794</v>
      </c>
      <c r="J47" s="32">
        <v>42828</v>
      </c>
      <c r="K47" s="32">
        <v>46599</v>
      </c>
      <c r="L47" s="32">
        <v>20501</v>
      </c>
      <c r="M47" s="32">
        <v>20874</v>
      </c>
      <c r="N47" s="32">
        <v>21201</v>
      </c>
      <c r="O47" s="32">
        <v>18893</v>
      </c>
      <c r="P47" s="32">
        <v>31217</v>
      </c>
      <c r="Q47" s="32">
        <v>20059</v>
      </c>
    </row>
    <row r="48" spans="2:17" ht="14.25" customHeight="1" x14ac:dyDescent="0.35">
      <c r="B48" s="6" t="s">
        <v>49</v>
      </c>
      <c r="C48" s="6">
        <v>425776</v>
      </c>
      <c r="D48" s="32">
        <v>679847</v>
      </c>
      <c r="E48" s="32">
        <v>886875.48100000003</v>
      </c>
      <c r="F48" s="32">
        <v>1316383.5889999999</v>
      </c>
      <c r="G48" s="32">
        <v>1668028</v>
      </c>
      <c r="H48" s="32">
        <v>2498230</v>
      </c>
      <c r="I48" s="32">
        <v>2898066</v>
      </c>
      <c r="J48" s="32">
        <v>2895089</v>
      </c>
      <c r="K48" s="32">
        <v>5692883</v>
      </c>
      <c r="L48" s="32">
        <v>6680483</v>
      </c>
      <c r="M48" s="32">
        <v>5894379</v>
      </c>
      <c r="N48" s="32">
        <v>6813521</v>
      </c>
      <c r="O48" s="32">
        <v>7279229</v>
      </c>
      <c r="P48" s="32">
        <v>7239741</v>
      </c>
      <c r="Q48" s="32">
        <v>9035038</v>
      </c>
    </row>
    <row r="49" spans="2:17" ht="14.25" customHeight="1" x14ac:dyDescent="0.35">
      <c r="B49" s="6" t="s">
        <v>51</v>
      </c>
      <c r="C49" s="6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8781</v>
      </c>
      <c r="J49" s="32">
        <v>8850</v>
      </c>
      <c r="K49" s="32">
        <v>15262</v>
      </c>
      <c r="L49" s="32">
        <v>27224</v>
      </c>
      <c r="M49" s="32">
        <v>36562</v>
      </c>
      <c r="N49" s="32">
        <v>69546</v>
      </c>
      <c r="O49" s="32">
        <v>94669</v>
      </c>
      <c r="P49" s="32">
        <v>112801</v>
      </c>
      <c r="Q49" s="32">
        <v>110940</v>
      </c>
    </row>
    <row r="50" spans="2:17" ht="14.25" customHeight="1" x14ac:dyDescent="0.35">
      <c r="B50" s="6" t="s">
        <v>222</v>
      </c>
      <c r="C50" s="6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191007</v>
      </c>
      <c r="Q50" s="32">
        <v>77299</v>
      </c>
    </row>
    <row r="51" spans="2:17" ht="14.25" customHeight="1" x14ac:dyDescent="0.35">
      <c r="B51" s="6" t="s">
        <v>55</v>
      </c>
      <c r="C51" s="6">
        <v>83677</v>
      </c>
      <c r="D51" s="32">
        <v>78032</v>
      </c>
      <c r="E51" s="32">
        <v>78353.339000000007</v>
      </c>
      <c r="F51" s="32">
        <v>74552.426000000007</v>
      </c>
      <c r="G51" s="32">
        <v>64559</v>
      </c>
      <c r="H51" s="32">
        <v>59416</v>
      </c>
      <c r="I51" s="32">
        <v>60898</v>
      </c>
      <c r="J51" s="32">
        <v>62418</v>
      </c>
      <c r="K51" s="32">
        <v>461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</row>
    <row r="52" spans="2:17" ht="14.25" customHeight="1" x14ac:dyDescent="0.35">
      <c r="B52" s="6" t="s">
        <v>57</v>
      </c>
      <c r="C52" s="6">
        <v>25166</v>
      </c>
      <c r="D52" s="32">
        <v>12277</v>
      </c>
      <c r="E52" s="32">
        <v>33375.345000000001</v>
      </c>
      <c r="F52" s="32">
        <v>3400.0219999999999</v>
      </c>
      <c r="G52" s="32">
        <v>41764</v>
      </c>
      <c r="H52" s="32">
        <v>0</v>
      </c>
      <c r="I52" s="32">
        <v>0</v>
      </c>
      <c r="J52" s="32">
        <v>0</v>
      </c>
      <c r="K52" s="32">
        <v>32832</v>
      </c>
      <c r="L52" s="32">
        <v>9151</v>
      </c>
      <c r="M52" s="32">
        <v>32326</v>
      </c>
      <c r="N52" s="32">
        <v>59453</v>
      </c>
      <c r="O52" s="32">
        <v>124337</v>
      </c>
      <c r="P52" s="32">
        <v>61007</v>
      </c>
      <c r="Q52" s="32">
        <v>7950.3368335999257</v>
      </c>
    </row>
    <row r="53" spans="2:17" ht="14.25" customHeight="1" x14ac:dyDescent="0.35">
      <c r="B53" s="6" t="s">
        <v>56</v>
      </c>
      <c r="C53" s="6">
        <v>3324</v>
      </c>
      <c r="D53" s="32">
        <v>13805</v>
      </c>
      <c r="E53" s="32">
        <v>13142.79</v>
      </c>
      <c r="F53" s="32">
        <v>14575.397000000001</v>
      </c>
      <c r="G53" s="32">
        <v>23685</v>
      </c>
      <c r="H53" s="32">
        <v>30544</v>
      </c>
      <c r="I53" s="32">
        <v>32172</v>
      </c>
      <c r="J53" s="32">
        <v>33139</v>
      </c>
      <c r="K53" s="32">
        <v>30531</v>
      </c>
      <c r="L53" s="32">
        <v>33472</v>
      </c>
      <c r="M53" s="32">
        <v>29388</v>
      </c>
      <c r="N53" s="32">
        <v>31952</v>
      </c>
      <c r="O53" s="32">
        <v>32786</v>
      </c>
      <c r="P53" s="32">
        <v>27828</v>
      </c>
      <c r="Q53" s="32">
        <v>0</v>
      </c>
    </row>
    <row r="54" spans="2:17" s="12" customFormat="1" ht="14.25" customHeight="1" x14ac:dyDescent="0.35">
      <c r="B54" s="5" t="s">
        <v>58</v>
      </c>
      <c r="C54" s="33">
        <v>537943</v>
      </c>
      <c r="D54" s="33">
        <v>801524</v>
      </c>
      <c r="E54" s="33">
        <v>1029286.3800000001</v>
      </c>
      <c r="F54" s="33">
        <v>1418218.459</v>
      </c>
      <c r="G54" s="33">
        <v>1807206</v>
      </c>
      <c r="H54" s="33">
        <v>2591755</v>
      </c>
      <c r="I54" s="33">
        <v>3005711</v>
      </c>
      <c r="J54" s="33">
        <v>3042324</v>
      </c>
      <c r="K54" s="33">
        <v>5818568</v>
      </c>
      <c r="L54" s="33">
        <v>6770831</v>
      </c>
      <c r="M54" s="33">
        <v>6013529</v>
      </c>
      <c r="N54" s="33">
        <v>6995673</v>
      </c>
      <c r="O54" s="33">
        <v>7549914</v>
      </c>
      <c r="P54" s="33">
        <v>7663601</v>
      </c>
      <c r="Q54" s="33">
        <v>9251286.3368336</v>
      </c>
    </row>
    <row r="55" spans="2:17" ht="14.25" customHeight="1" x14ac:dyDescent="0.35">
      <c r="B55" s="6" t="s">
        <v>59</v>
      </c>
      <c r="C55" s="6">
        <v>83381</v>
      </c>
      <c r="D55" s="32">
        <v>83381</v>
      </c>
      <c r="E55" s="32">
        <v>83380.928</v>
      </c>
      <c r="F55" s="32">
        <v>83380.928</v>
      </c>
      <c r="G55" s="32">
        <v>83381</v>
      </c>
      <c r="H55" s="32">
        <v>83381</v>
      </c>
      <c r="I55" s="32">
        <v>83381</v>
      </c>
      <c r="J55" s="32">
        <v>83381</v>
      </c>
      <c r="K55" s="32">
        <v>87806</v>
      </c>
      <c r="L55" s="32">
        <v>87806</v>
      </c>
      <c r="M55" s="32">
        <v>87806</v>
      </c>
      <c r="N55" s="32">
        <v>87806</v>
      </c>
      <c r="O55" s="32">
        <v>87806</v>
      </c>
      <c r="P55" s="32">
        <v>87806</v>
      </c>
      <c r="Q55" s="32">
        <v>87806</v>
      </c>
    </row>
    <row r="56" spans="2:17" ht="14.25" customHeight="1" x14ac:dyDescent="0.35">
      <c r="B56" s="70" t="s">
        <v>255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32">
        <v>0</v>
      </c>
    </row>
    <row r="57" spans="2:17" ht="14.25" customHeight="1" x14ac:dyDescent="0.35">
      <c r="B57" s="6" t="s">
        <v>60</v>
      </c>
      <c r="C57" s="6">
        <v>45761</v>
      </c>
      <c r="D57" s="6">
        <v>26579</v>
      </c>
      <c r="E57" s="6">
        <v>24246.131000000001</v>
      </c>
      <c r="F57" s="6">
        <v>18040.309000000001</v>
      </c>
      <c r="G57" s="6">
        <v>6345</v>
      </c>
      <c r="H57" s="6">
        <v>612</v>
      </c>
      <c r="I57" s="6">
        <v>596</v>
      </c>
      <c r="J57" s="6">
        <v>580</v>
      </c>
      <c r="K57" s="6">
        <v>112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32">
        <v>0</v>
      </c>
    </row>
    <row r="58" spans="2:17" ht="14.25" customHeight="1" x14ac:dyDescent="0.35">
      <c r="B58" s="6" t="s">
        <v>61</v>
      </c>
      <c r="C58" s="6">
        <v>0</v>
      </c>
      <c r="D58" s="6">
        <v>22777</v>
      </c>
      <c r="E58" s="6">
        <v>21683</v>
      </c>
      <c r="F58" s="6">
        <v>16892.746999999999</v>
      </c>
      <c r="G58" s="6">
        <v>28395</v>
      </c>
      <c r="H58" s="6">
        <v>16741</v>
      </c>
      <c r="I58" s="6">
        <v>16741</v>
      </c>
      <c r="J58" s="6">
        <v>63187</v>
      </c>
      <c r="K58" s="6">
        <v>95424</v>
      </c>
      <c r="L58" s="6">
        <v>126581.16616000001</v>
      </c>
      <c r="M58" s="6">
        <v>139557</v>
      </c>
      <c r="N58" s="6">
        <v>157198</v>
      </c>
      <c r="O58" s="6">
        <v>194611</v>
      </c>
      <c r="P58" s="6">
        <v>313558.66628999996</v>
      </c>
      <c r="Q58" s="32">
        <v>313558.66628999996</v>
      </c>
    </row>
    <row r="59" spans="2:17" ht="14.25" customHeight="1" x14ac:dyDescent="0.35">
      <c r="B59" s="6" t="s">
        <v>206</v>
      </c>
      <c r="C59" s="6">
        <v>18304</v>
      </c>
      <c r="D59" s="6">
        <v>43487</v>
      </c>
      <c r="E59" s="6">
        <v>95854</v>
      </c>
      <c r="F59" s="6">
        <v>35975.258999999998</v>
      </c>
      <c r="G59" s="6">
        <v>120569</v>
      </c>
      <c r="H59" s="6">
        <v>-189058</v>
      </c>
      <c r="I59" s="6">
        <v>-242476</v>
      </c>
      <c r="J59" s="6">
        <v>-170185</v>
      </c>
      <c r="K59" s="6">
        <v>48218</v>
      </c>
      <c r="L59" s="6">
        <v>22275.833839999977</v>
      </c>
      <c r="M59" s="6">
        <v>261614</v>
      </c>
      <c r="N59" s="6">
        <v>109481</v>
      </c>
      <c r="O59" s="6">
        <v>193850</v>
      </c>
      <c r="P59" s="6">
        <v>176651.33370999992</v>
      </c>
      <c r="Q59" s="32">
        <v>66399.536206399905</v>
      </c>
    </row>
    <row r="60" spans="2:17" ht="14.25" customHeight="1" x14ac:dyDescent="0.35">
      <c r="B60" s="6" t="s">
        <v>62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-153</v>
      </c>
      <c r="M60" s="6">
        <v>274</v>
      </c>
      <c r="N60" s="6">
        <v>235</v>
      </c>
      <c r="O60" s="6">
        <v>0</v>
      </c>
      <c r="P60" s="6">
        <v>0</v>
      </c>
      <c r="Q60" s="32">
        <v>0</v>
      </c>
    </row>
    <row r="61" spans="2:17" ht="14.25" customHeight="1" x14ac:dyDescent="0.35">
      <c r="B61" s="6" t="s">
        <v>207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-58784</v>
      </c>
      <c r="P61" s="6">
        <v>-30168</v>
      </c>
      <c r="Q61" s="32">
        <v>-153930</v>
      </c>
    </row>
    <row r="62" spans="2:17" s="12" customFormat="1" ht="14.25" customHeight="1" thickBot="1" x14ac:dyDescent="0.4">
      <c r="B62" s="5" t="s">
        <v>63</v>
      </c>
      <c r="C62" s="33">
        <v>147446</v>
      </c>
      <c r="D62" s="33">
        <v>176224</v>
      </c>
      <c r="E62" s="33">
        <v>225164.05900000001</v>
      </c>
      <c r="F62" s="33">
        <v>154289.24299999999</v>
      </c>
      <c r="G62" s="33">
        <v>238690</v>
      </c>
      <c r="H62" s="33">
        <v>-88324</v>
      </c>
      <c r="I62" s="33">
        <v>-141758</v>
      </c>
      <c r="J62" s="33">
        <v>-23037</v>
      </c>
      <c r="K62" s="33">
        <v>231560</v>
      </c>
      <c r="L62" s="33">
        <v>236510</v>
      </c>
      <c r="M62" s="33">
        <v>489251</v>
      </c>
      <c r="N62" s="33">
        <v>354720</v>
      </c>
      <c r="O62" s="33">
        <v>417483</v>
      </c>
      <c r="P62" s="33">
        <v>547847.99999999988</v>
      </c>
      <c r="Q62" s="33">
        <v>313834.20249639987</v>
      </c>
    </row>
    <row r="63" spans="2:17" ht="14.25" customHeight="1" thickBot="1" x14ac:dyDescent="0.4">
      <c r="B63" s="9" t="s">
        <v>64</v>
      </c>
      <c r="C63" s="31">
        <v>739849</v>
      </c>
      <c r="D63" s="31">
        <v>1196228.8</v>
      </c>
      <c r="E63" s="31">
        <v>1615464.8659999999</v>
      </c>
      <c r="F63" s="31">
        <v>2199057.5659999996</v>
      </c>
      <c r="G63" s="31">
        <v>2782940</v>
      </c>
      <c r="H63" s="31">
        <v>3373890</v>
      </c>
      <c r="I63" s="31">
        <v>4061068</v>
      </c>
      <c r="J63" s="31">
        <v>4530258</v>
      </c>
      <c r="K63" s="31">
        <v>7386151</v>
      </c>
      <c r="L63" s="31">
        <v>8148506</v>
      </c>
      <c r="M63" s="31">
        <v>8050768</v>
      </c>
      <c r="N63" s="31">
        <v>9710211</v>
      </c>
      <c r="O63" s="31">
        <v>9981296</v>
      </c>
      <c r="P63" s="31">
        <v>10338784</v>
      </c>
      <c r="Q63" s="31">
        <v>12759439.53933</v>
      </c>
    </row>
    <row r="64" spans="2:17" ht="14.25" customHeight="1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60"/>
      <c r="Q64" s="32"/>
    </row>
  </sheetData>
  <mergeCells count="16">
    <mergeCell ref="C5:C6"/>
    <mergeCell ref="L5:L6"/>
    <mergeCell ref="K5:K6"/>
    <mergeCell ref="D5:D6"/>
    <mergeCell ref="J5:J6"/>
    <mergeCell ref="E5:E6"/>
    <mergeCell ref="F5:F6"/>
    <mergeCell ref="G5:G6"/>
    <mergeCell ref="H5:H6"/>
    <mergeCell ref="I5:I6"/>
    <mergeCell ref="O5:O6"/>
    <mergeCell ref="K2:Q3"/>
    <mergeCell ref="M5:M6"/>
    <mergeCell ref="N5:N6"/>
    <mergeCell ref="P5:P6"/>
    <mergeCell ref="Q5:Q6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A4054-7B01-4FFC-82D6-138522210C6B}">
  <sheetPr>
    <tabColor rgb="FF1B7754"/>
    <outlinePr summaryRight="0"/>
  </sheetPr>
  <dimension ref="B1:T36"/>
  <sheetViews>
    <sheetView showGridLines="0" topLeftCell="C1" zoomScaleNormal="100" zoomScaleSheetLayoutView="90" workbookViewId="0">
      <selection activeCell="N2" sqref="N2:T3"/>
    </sheetView>
  </sheetViews>
  <sheetFormatPr defaultColWidth="9.140625" defaultRowHeight="18" x14ac:dyDescent="0.35"/>
  <cols>
    <col min="1" max="1" width="1.7109375" style="2" customWidth="1"/>
    <col min="2" max="2" width="55.5703125" style="2" customWidth="1" collapsed="1"/>
    <col min="3" max="9" width="10.5703125" style="2" customWidth="1"/>
    <col min="10" max="10" width="10.5703125" style="2" customWidth="1" collapsed="1"/>
    <col min="11" max="12" width="10.5703125" style="2" customWidth="1"/>
    <col min="13" max="13" width="10.5703125" style="14" customWidth="1"/>
    <col min="14" max="14" width="10.5703125" style="2" customWidth="1"/>
    <col min="15" max="15" width="10.5703125" style="59" customWidth="1"/>
    <col min="16" max="20" width="10.5703125" style="2" customWidth="1"/>
    <col min="21" max="23" width="10.7109375" style="2" customWidth="1"/>
    <col min="24" max="16384" width="9.140625" style="2"/>
  </cols>
  <sheetData>
    <row r="1" spans="2:20" ht="14.25" customHeight="1" x14ac:dyDescent="0.35">
      <c r="B1" s="24"/>
    </row>
    <row r="2" spans="2:20" ht="14.25" customHeight="1" x14ac:dyDescent="0.35">
      <c r="N2" s="96" t="s">
        <v>224</v>
      </c>
      <c r="O2" s="96"/>
      <c r="P2" s="96"/>
      <c r="Q2" s="96"/>
      <c r="R2" s="96"/>
      <c r="S2" s="96"/>
      <c r="T2" s="96"/>
    </row>
    <row r="3" spans="2:20" ht="14.25" customHeight="1" x14ac:dyDescent="0.35">
      <c r="L3" s="61"/>
      <c r="N3" s="96"/>
      <c r="O3" s="96"/>
      <c r="P3" s="96"/>
      <c r="Q3" s="96"/>
      <c r="R3" s="96"/>
      <c r="S3" s="96"/>
      <c r="T3" s="96"/>
    </row>
    <row r="4" spans="2:20" ht="14.25" customHeight="1" x14ac:dyDescent="0.35"/>
    <row r="5" spans="2:20" s="3" customFormat="1" ht="14.25" customHeight="1" x14ac:dyDescent="0.25">
      <c r="B5" s="75" t="s">
        <v>65</v>
      </c>
      <c r="C5" s="95" t="s">
        <v>18</v>
      </c>
      <c r="D5" s="95" t="s">
        <v>14</v>
      </c>
      <c r="E5" s="95" t="s">
        <v>23</v>
      </c>
      <c r="F5" s="95" t="s">
        <v>24</v>
      </c>
      <c r="G5" s="95" t="s">
        <v>25</v>
      </c>
      <c r="H5" s="95" t="s">
        <v>87</v>
      </c>
      <c r="I5" s="95" t="s">
        <v>12</v>
      </c>
      <c r="J5" s="95" t="s">
        <v>26</v>
      </c>
      <c r="K5" s="95" t="s">
        <v>27</v>
      </c>
      <c r="L5" s="95" t="s">
        <v>28</v>
      </c>
      <c r="M5" s="95" t="s">
        <v>88</v>
      </c>
      <c r="N5" s="95" t="s">
        <v>13</v>
      </c>
      <c r="O5" s="95" t="s">
        <v>29</v>
      </c>
      <c r="P5" s="95" t="s">
        <v>194</v>
      </c>
      <c r="Q5" s="95" t="s">
        <v>197</v>
      </c>
      <c r="R5" s="95" t="s">
        <v>218</v>
      </c>
      <c r="S5" s="95" t="s">
        <v>217</v>
      </c>
      <c r="T5" s="95" t="s">
        <v>223</v>
      </c>
    </row>
    <row r="6" spans="2:20" s="3" customFormat="1" ht="14.25" customHeight="1" x14ac:dyDescent="0.25">
      <c r="B6" s="76" t="s">
        <v>22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</row>
    <row r="7" spans="2:20" s="12" customFormat="1" ht="14.25" customHeight="1" x14ac:dyDescent="0.35">
      <c r="B7" s="5" t="s">
        <v>66</v>
      </c>
      <c r="C7" s="33">
        <v>285639</v>
      </c>
      <c r="D7" s="33">
        <v>565286</v>
      </c>
      <c r="E7" s="33">
        <v>234490.00399999999</v>
      </c>
      <c r="F7" s="33">
        <v>242027.49402783453</v>
      </c>
      <c r="G7" s="33">
        <v>339912</v>
      </c>
      <c r="H7" s="33">
        <v>415390.37000000011</v>
      </c>
      <c r="I7" s="33">
        <v>1231820</v>
      </c>
      <c r="J7" s="33">
        <v>610169</v>
      </c>
      <c r="K7" s="33">
        <v>661755</v>
      </c>
      <c r="L7" s="33">
        <v>839315</v>
      </c>
      <c r="M7" s="33">
        <v>996464</v>
      </c>
      <c r="N7" s="33">
        <v>3107703</v>
      </c>
      <c r="O7" s="33">
        <v>1294609</v>
      </c>
      <c r="P7" s="33">
        <v>1520312</v>
      </c>
      <c r="Q7" s="33">
        <v>2015598</v>
      </c>
      <c r="R7" s="33">
        <v>1804783</v>
      </c>
      <c r="S7" s="33">
        <v>6635302</v>
      </c>
      <c r="T7" s="33">
        <v>1886597</v>
      </c>
    </row>
    <row r="8" spans="2:20" ht="14.25" customHeight="1" x14ac:dyDescent="0.35">
      <c r="B8" s="6" t="s">
        <v>67</v>
      </c>
      <c r="C8" s="32">
        <v>-167389</v>
      </c>
      <c r="D8" s="32">
        <v>-311658</v>
      </c>
      <c r="E8" s="32">
        <v>-139300.38500000001</v>
      </c>
      <c r="F8" s="32">
        <v>-135266.99</v>
      </c>
      <c r="G8" s="32">
        <v>-187292</v>
      </c>
      <c r="H8" s="32">
        <v>-212035.00000000012</v>
      </c>
      <c r="I8" s="32">
        <v>-673893</v>
      </c>
      <c r="J8" s="32">
        <v>-399497</v>
      </c>
      <c r="K8" s="32">
        <v>-364701</v>
      </c>
      <c r="L8" s="32">
        <v>-448198</v>
      </c>
      <c r="M8" s="32">
        <v>-512123</v>
      </c>
      <c r="N8" s="32">
        <v>-1724516</v>
      </c>
      <c r="O8" s="32">
        <v>-685976</v>
      </c>
      <c r="P8" s="32">
        <v>-806658</v>
      </c>
      <c r="Q8" s="32">
        <v>-1058871</v>
      </c>
      <c r="R8" s="32">
        <v>-1061335</v>
      </c>
      <c r="S8" s="32">
        <v>-3612840</v>
      </c>
      <c r="T8" s="32">
        <v>-1084075</v>
      </c>
    </row>
    <row r="9" spans="2:20" s="12" customFormat="1" ht="14.25" customHeight="1" x14ac:dyDescent="0.35">
      <c r="B9" s="5" t="s">
        <v>68</v>
      </c>
      <c r="C9" s="16">
        <v>118250</v>
      </c>
      <c r="D9" s="16">
        <v>253628</v>
      </c>
      <c r="E9" s="16">
        <v>95189.618999999977</v>
      </c>
      <c r="F9" s="16">
        <v>106760.50402783454</v>
      </c>
      <c r="G9" s="16">
        <v>152620</v>
      </c>
      <c r="H9" s="16">
        <v>203355.37</v>
      </c>
      <c r="I9" s="16">
        <v>557927</v>
      </c>
      <c r="J9" s="16">
        <v>210672</v>
      </c>
      <c r="K9" s="16">
        <v>297054</v>
      </c>
      <c r="L9" s="16">
        <v>391117</v>
      </c>
      <c r="M9" s="16">
        <v>484341</v>
      </c>
      <c r="N9" s="16">
        <v>1383187</v>
      </c>
      <c r="O9" s="16">
        <v>608633</v>
      </c>
      <c r="P9" s="16">
        <v>713654</v>
      </c>
      <c r="Q9" s="16">
        <v>956727</v>
      </c>
      <c r="R9" s="16">
        <v>743448</v>
      </c>
      <c r="S9" s="16">
        <v>3022462</v>
      </c>
      <c r="T9" s="16">
        <v>802522</v>
      </c>
    </row>
    <row r="10" spans="2:20" ht="14.25" customHeight="1" x14ac:dyDescent="0.35">
      <c r="B10" s="18" t="s">
        <v>69</v>
      </c>
      <c r="C10" s="19">
        <v>0.41398408480634646</v>
      </c>
      <c r="D10" s="19">
        <v>0.44867199966034893</v>
      </c>
      <c r="E10" s="19">
        <v>0.40594318468261864</v>
      </c>
      <c r="F10" s="19">
        <v>0.44110899241702051</v>
      </c>
      <c r="G10" s="19">
        <v>0.4489985643342983</v>
      </c>
      <c r="H10" s="19">
        <v>0.48955244195959557</v>
      </c>
      <c r="I10" s="19">
        <v>0.4529289993667906</v>
      </c>
      <c r="J10" s="19">
        <v>0.3452682781327796</v>
      </c>
      <c r="K10" s="19">
        <v>0.44888818369336081</v>
      </c>
      <c r="L10" s="19">
        <v>0.4659954844128843</v>
      </c>
      <c r="M10" s="19">
        <v>0.48605970712439184</v>
      </c>
      <c r="N10" s="19">
        <v>0.44508339439129158</v>
      </c>
      <c r="O10" s="19">
        <v>0.47012881881711005</v>
      </c>
      <c r="P10" s="19">
        <v>0.46941285736085753</v>
      </c>
      <c r="Q10" s="19">
        <v>0.47466161407185359</v>
      </c>
      <c r="R10" s="19">
        <v>0.4119320716119334</v>
      </c>
      <c r="S10" s="19">
        <v>0.45551234894809611</v>
      </c>
      <c r="T10" s="19">
        <v>0.42538072518932235</v>
      </c>
    </row>
    <row r="11" spans="2:20" ht="14.25" customHeight="1" x14ac:dyDescent="0.35">
      <c r="B11" s="7" t="s">
        <v>70</v>
      </c>
      <c r="C11" s="32">
        <v>-21827</v>
      </c>
      <c r="D11" s="32">
        <v>-30132</v>
      </c>
      <c r="E11" s="32">
        <v>-13345.749</v>
      </c>
      <c r="F11" s="32">
        <v>-14623.560758275</v>
      </c>
      <c r="G11" s="32">
        <v>-22731</v>
      </c>
      <c r="H11" s="32">
        <v>-22740.111000000004</v>
      </c>
      <c r="I11" s="32">
        <v>-73441</v>
      </c>
      <c r="J11" s="32">
        <v>-52371</v>
      </c>
      <c r="K11" s="32">
        <v>-67228</v>
      </c>
      <c r="L11" s="32">
        <v>-67694</v>
      </c>
      <c r="M11" s="32">
        <v>-67967</v>
      </c>
      <c r="N11" s="32">
        <v>-255260</v>
      </c>
      <c r="O11" s="32">
        <v>-90762</v>
      </c>
      <c r="P11" s="32">
        <v>-104650</v>
      </c>
      <c r="Q11" s="32">
        <v>-120077</v>
      </c>
      <c r="R11" s="32">
        <v>-138328</v>
      </c>
      <c r="S11" s="32">
        <v>-453816</v>
      </c>
      <c r="T11" s="32">
        <v>-171059</v>
      </c>
    </row>
    <row r="12" spans="2:20" ht="14.25" customHeight="1" x14ac:dyDescent="0.35">
      <c r="B12" s="7" t="s">
        <v>71</v>
      </c>
      <c r="C12" s="32">
        <v>-27426.091</v>
      </c>
      <c r="D12" s="32">
        <v>-24852</v>
      </c>
      <c r="E12" s="32">
        <v>-11261.692999999999</v>
      </c>
      <c r="F12" s="32">
        <v>-14184</v>
      </c>
      <c r="G12" s="32">
        <v>-12244</v>
      </c>
      <c r="H12" s="32">
        <v>-14508</v>
      </c>
      <c r="I12" s="32">
        <v>-52195</v>
      </c>
      <c r="J12" s="32">
        <v>-12964</v>
      </c>
      <c r="K12" s="32">
        <v>-15454</v>
      </c>
      <c r="L12" s="32">
        <v>-15809</v>
      </c>
      <c r="M12" s="32">
        <v>-17885</v>
      </c>
      <c r="N12" s="32">
        <v>-62126</v>
      </c>
      <c r="O12" s="32">
        <v>-18876</v>
      </c>
      <c r="P12" s="32">
        <v>-23482.687771524677</v>
      </c>
      <c r="Q12" s="32">
        <v>-30148</v>
      </c>
      <c r="R12" s="32">
        <v>-39315.55060806789</v>
      </c>
      <c r="S12" s="32">
        <v>-111829</v>
      </c>
      <c r="T12" s="32">
        <v>-31400</v>
      </c>
    </row>
    <row r="13" spans="2:20" ht="14.25" customHeight="1" x14ac:dyDescent="0.35">
      <c r="B13" s="7" t="s">
        <v>72</v>
      </c>
      <c r="C13" s="32">
        <v>-1898.9090000000001</v>
      </c>
      <c r="D13" s="32">
        <v>-3043</v>
      </c>
      <c r="E13" s="32">
        <v>29.193000000000001</v>
      </c>
      <c r="F13" s="32">
        <v>-458</v>
      </c>
      <c r="G13" s="32">
        <v>1</v>
      </c>
      <c r="H13" s="32">
        <v>6967</v>
      </c>
      <c r="I13" s="32">
        <v>6534</v>
      </c>
      <c r="J13" s="32">
        <v>455</v>
      </c>
      <c r="K13" s="32">
        <v>12231</v>
      </c>
      <c r="L13" s="32">
        <v>-131</v>
      </c>
      <c r="M13" s="32">
        <v>2309</v>
      </c>
      <c r="N13" s="32">
        <v>14876</v>
      </c>
      <c r="O13" s="32">
        <v>-4134</v>
      </c>
      <c r="P13" s="32">
        <v>2162</v>
      </c>
      <c r="Q13" s="32">
        <v>10903</v>
      </c>
      <c r="R13" s="32">
        <v>26177.55060806789</v>
      </c>
      <c r="S13" s="32">
        <v>35115</v>
      </c>
      <c r="T13" s="32">
        <v>43070</v>
      </c>
    </row>
    <row r="14" spans="2:20" ht="14.25" customHeight="1" x14ac:dyDescent="0.35">
      <c r="B14" s="6" t="s">
        <v>73</v>
      </c>
      <c r="C14" s="49">
        <v>-51152</v>
      </c>
      <c r="D14" s="49">
        <v>-58027</v>
      </c>
      <c r="E14" s="49">
        <v>-24578.249</v>
      </c>
      <c r="F14" s="49">
        <v>-29265.98</v>
      </c>
      <c r="G14" s="49">
        <v>-34974</v>
      </c>
      <c r="H14" s="49">
        <v>-30281.111000000004</v>
      </c>
      <c r="I14" s="49">
        <v>-119102</v>
      </c>
      <c r="J14" s="49">
        <v>-64880</v>
      </c>
      <c r="K14" s="49">
        <v>-70451</v>
      </c>
      <c r="L14" s="49">
        <v>-83634</v>
      </c>
      <c r="M14" s="49">
        <v>-83543</v>
      </c>
      <c r="N14" s="49">
        <v>-302510</v>
      </c>
      <c r="O14" s="49">
        <v>-113772</v>
      </c>
      <c r="P14" s="49">
        <v>-125970</v>
      </c>
      <c r="Q14" s="49">
        <v>-139322</v>
      </c>
      <c r="R14" s="49">
        <v>-151466</v>
      </c>
      <c r="S14" s="49">
        <v>-530530</v>
      </c>
      <c r="T14" s="49">
        <v>-159389</v>
      </c>
    </row>
    <row r="15" spans="2:20" s="12" customFormat="1" ht="14.25" customHeight="1" x14ac:dyDescent="0.35">
      <c r="B15" s="5" t="s">
        <v>74</v>
      </c>
      <c r="C15" s="4">
        <v>67098</v>
      </c>
      <c r="D15" s="4">
        <v>195601</v>
      </c>
      <c r="E15" s="4">
        <v>70611.369999999981</v>
      </c>
      <c r="F15" s="4">
        <v>77494.524027834545</v>
      </c>
      <c r="G15" s="4">
        <v>117646</v>
      </c>
      <c r="H15" s="4">
        <v>173074.25899999999</v>
      </c>
      <c r="I15" s="4">
        <v>438825</v>
      </c>
      <c r="J15" s="4">
        <v>145792</v>
      </c>
      <c r="K15" s="4">
        <v>226603</v>
      </c>
      <c r="L15" s="4">
        <v>307483</v>
      </c>
      <c r="M15" s="4">
        <v>400798</v>
      </c>
      <c r="N15" s="4">
        <v>1080677</v>
      </c>
      <c r="O15" s="4">
        <v>494861</v>
      </c>
      <c r="P15" s="4">
        <v>587684</v>
      </c>
      <c r="Q15" s="4">
        <v>817405</v>
      </c>
      <c r="R15" s="4">
        <v>591982</v>
      </c>
      <c r="S15" s="4">
        <v>2491932</v>
      </c>
      <c r="T15" s="4">
        <v>643133</v>
      </c>
    </row>
    <row r="16" spans="2:20" ht="14.25" customHeight="1" x14ac:dyDescent="0.35">
      <c r="B16" s="7" t="s">
        <v>75</v>
      </c>
      <c r="C16" s="32">
        <v>2577</v>
      </c>
      <c r="D16" s="32">
        <v>26564</v>
      </c>
      <c r="E16" s="32">
        <v>53951</v>
      </c>
      <c r="F16" s="32">
        <v>85877</v>
      </c>
      <c r="G16" s="32">
        <v>18157</v>
      </c>
      <c r="H16" s="32">
        <v>-40762</v>
      </c>
      <c r="I16" s="32">
        <v>84080</v>
      </c>
      <c r="J16" s="32">
        <v>102024</v>
      </c>
      <c r="K16" s="32">
        <v>105987</v>
      </c>
      <c r="L16" s="32">
        <v>24402</v>
      </c>
      <c r="M16" s="32">
        <v>-97527</v>
      </c>
      <c r="N16" s="32">
        <v>268632</v>
      </c>
      <c r="O16" s="32">
        <v>132467</v>
      </c>
      <c r="P16" s="32">
        <v>109564</v>
      </c>
      <c r="Q16" s="32">
        <v>232354</v>
      </c>
      <c r="R16" s="32">
        <v>94972</v>
      </c>
      <c r="S16" s="32">
        <v>569357</v>
      </c>
      <c r="T16" s="32">
        <v>611170</v>
      </c>
    </row>
    <row r="17" spans="2:20" ht="14.25" customHeight="1" x14ac:dyDescent="0.35">
      <c r="B17" s="7" t="s">
        <v>76</v>
      </c>
      <c r="C17" s="32">
        <v>-28913</v>
      </c>
      <c r="D17" s="32">
        <v>-87561</v>
      </c>
      <c r="E17" s="32">
        <v>-36894</v>
      </c>
      <c r="F17" s="32">
        <v>-5496</v>
      </c>
      <c r="G17" s="32">
        <v>-48170</v>
      </c>
      <c r="H17" s="32">
        <v>116690</v>
      </c>
      <c r="I17" s="32">
        <v>-287457</v>
      </c>
      <c r="J17" s="32">
        <v>-13970</v>
      </c>
      <c r="K17" s="32">
        <v>-132733</v>
      </c>
      <c r="L17" s="32">
        <v>-163751</v>
      </c>
      <c r="M17" s="32">
        <v>228616</v>
      </c>
      <c r="N17" s="32">
        <v>-600380</v>
      </c>
      <c r="O17" s="32">
        <v>-480963</v>
      </c>
      <c r="P17" s="32">
        <v>-280423</v>
      </c>
      <c r="Q17" s="32">
        <v>-328669</v>
      </c>
      <c r="R17" s="32">
        <v>-833633</v>
      </c>
      <c r="S17" s="32">
        <v>-1923688</v>
      </c>
      <c r="T17" s="32">
        <v>-593360</v>
      </c>
    </row>
    <row r="18" spans="2:20" ht="14.25" customHeight="1" x14ac:dyDescent="0.35">
      <c r="B18" s="7" t="s">
        <v>77</v>
      </c>
      <c r="C18" s="32">
        <v>-17707</v>
      </c>
      <c r="D18" s="32">
        <v>-79913</v>
      </c>
      <c r="E18" s="32">
        <v>16938</v>
      </c>
      <c r="F18" s="32">
        <v>-91080</v>
      </c>
      <c r="G18" s="32">
        <v>52605</v>
      </c>
      <c r="H18" s="32">
        <v>-541792.56000000006</v>
      </c>
      <c r="I18" s="32">
        <v>-563330</v>
      </c>
      <c r="J18" s="32">
        <v>-134061</v>
      </c>
      <c r="K18" s="32">
        <v>-82904</v>
      </c>
      <c r="L18" s="32">
        <v>202255</v>
      </c>
      <c r="M18" s="32">
        <v>-288116</v>
      </c>
      <c r="N18" s="32">
        <v>-302826</v>
      </c>
      <c r="O18" s="32">
        <v>436649</v>
      </c>
      <c r="P18" s="32">
        <v>-272214</v>
      </c>
      <c r="Q18" s="32">
        <v>-97342</v>
      </c>
      <c r="R18" s="32">
        <v>521968</v>
      </c>
      <c r="S18" s="32">
        <v>589061</v>
      </c>
      <c r="T18" s="32">
        <v>-298325</v>
      </c>
    </row>
    <row r="19" spans="2:20" ht="14.25" customHeight="1" x14ac:dyDescent="0.35">
      <c r="B19" s="6" t="s">
        <v>78</v>
      </c>
      <c r="C19" s="49">
        <v>-44043</v>
      </c>
      <c r="D19" s="49">
        <v>-140910</v>
      </c>
      <c r="E19" s="49">
        <v>33995</v>
      </c>
      <c r="F19" s="49">
        <v>-10699</v>
      </c>
      <c r="G19" s="49">
        <v>22592</v>
      </c>
      <c r="H19" s="49">
        <v>-465864.56000000006</v>
      </c>
      <c r="I19" s="49">
        <v>-766707</v>
      </c>
      <c r="J19" s="49">
        <v>-46007</v>
      </c>
      <c r="K19" s="49">
        <v>-109650</v>
      </c>
      <c r="L19" s="49">
        <v>62906</v>
      </c>
      <c r="M19" s="49">
        <v>-157027</v>
      </c>
      <c r="N19" s="49">
        <v>-634574</v>
      </c>
      <c r="O19" s="49">
        <v>88153</v>
      </c>
      <c r="P19" s="49">
        <v>-443073</v>
      </c>
      <c r="Q19" s="49">
        <v>-193657</v>
      </c>
      <c r="R19" s="49">
        <v>-216693</v>
      </c>
      <c r="S19" s="49">
        <v>-765270</v>
      </c>
      <c r="T19" s="49">
        <v>-280515</v>
      </c>
    </row>
    <row r="20" spans="2:20" s="12" customFormat="1" ht="14.25" customHeight="1" x14ac:dyDescent="0.35">
      <c r="B20" s="5" t="s">
        <v>79</v>
      </c>
      <c r="C20" s="4">
        <v>23055</v>
      </c>
      <c r="D20" s="4">
        <v>54691</v>
      </c>
      <c r="E20" s="4">
        <v>104606.36999999998</v>
      </c>
      <c r="F20" s="4">
        <v>66795.524027834545</v>
      </c>
      <c r="G20" s="4">
        <v>140238</v>
      </c>
      <c r="H20" s="4">
        <v>-292790.30100000009</v>
      </c>
      <c r="I20" s="4">
        <v>-327882</v>
      </c>
      <c r="J20" s="4">
        <v>99785</v>
      </c>
      <c r="K20" s="4">
        <v>116953</v>
      </c>
      <c r="L20" s="4">
        <v>370389</v>
      </c>
      <c r="M20" s="4">
        <v>243771</v>
      </c>
      <c r="N20" s="4">
        <v>446103</v>
      </c>
      <c r="O20" s="4">
        <v>583014</v>
      </c>
      <c r="P20" s="4">
        <v>144611</v>
      </c>
      <c r="Q20" s="4">
        <v>623748</v>
      </c>
      <c r="R20" s="4">
        <v>375289</v>
      </c>
      <c r="S20" s="4">
        <v>1726662</v>
      </c>
      <c r="T20" s="4">
        <v>362618</v>
      </c>
    </row>
    <row r="21" spans="2:20" ht="14.25" customHeight="1" x14ac:dyDescent="0.35">
      <c r="B21" s="6" t="s">
        <v>80</v>
      </c>
      <c r="C21" s="32">
        <v>-11158</v>
      </c>
      <c r="D21" s="32">
        <v>-20856</v>
      </c>
      <c r="E21" s="32">
        <v>3360.4459999999999</v>
      </c>
      <c r="F21" s="32">
        <v>6511.9229999999998</v>
      </c>
      <c r="G21" s="32">
        <v>-389</v>
      </c>
      <c r="H21" s="32">
        <v>-5392.3689999999997</v>
      </c>
      <c r="I21" s="32">
        <v>4091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-160212</v>
      </c>
      <c r="P21" s="32">
        <v>-10171</v>
      </c>
      <c r="Q21" s="32">
        <v>-96109</v>
      </c>
      <c r="R21" s="32">
        <v>-187683</v>
      </c>
      <c r="S21" s="32">
        <v>-454175</v>
      </c>
      <c r="T21" s="32">
        <v>-85256</v>
      </c>
    </row>
    <row r="22" spans="2:20" ht="14.25" customHeight="1" x14ac:dyDescent="0.35">
      <c r="B22" s="6" t="s">
        <v>81</v>
      </c>
      <c r="C22" s="32">
        <v>2499</v>
      </c>
      <c r="D22" s="32">
        <v>4494</v>
      </c>
      <c r="E22" s="32">
        <v>-22023.664000000001</v>
      </c>
      <c r="F22" s="32">
        <v>27049</v>
      </c>
      <c r="G22" s="32">
        <v>-44263</v>
      </c>
      <c r="H22" s="32">
        <v>154384.90399999998</v>
      </c>
      <c r="I22" s="32">
        <v>115147</v>
      </c>
      <c r="J22" s="32">
        <v>22889</v>
      </c>
      <c r="K22" s="32">
        <v>-51726</v>
      </c>
      <c r="L22" s="32">
        <v>-119762</v>
      </c>
      <c r="M22" s="32">
        <v>23622</v>
      </c>
      <c r="N22" s="32">
        <v>-124977</v>
      </c>
      <c r="O22" s="32">
        <v>-23174</v>
      </c>
      <c r="P22" s="32">
        <v>-27128</v>
      </c>
      <c r="Q22" s="32">
        <v>-95270</v>
      </c>
      <c r="R22" s="32">
        <v>77197</v>
      </c>
      <c r="S22" s="32">
        <v>-68375</v>
      </c>
      <c r="T22" s="32">
        <v>-10113.336833599926</v>
      </c>
    </row>
    <row r="23" spans="2:20" ht="14.25" customHeight="1" x14ac:dyDescent="0.35">
      <c r="B23" s="6" t="s">
        <v>82</v>
      </c>
      <c r="C23" s="32">
        <v>0</v>
      </c>
      <c r="D23" s="32">
        <v>22777</v>
      </c>
      <c r="E23" s="32">
        <v>-1094.28</v>
      </c>
      <c r="F23" s="32">
        <v>-4790</v>
      </c>
      <c r="G23" s="32">
        <v>266</v>
      </c>
      <c r="H23" s="32">
        <v>5618.0479999999998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106961</v>
      </c>
      <c r="P23" s="32">
        <v>17641</v>
      </c>
      <c r="Q23" s="32">
        <v>37413</v>
      </c>
      <c r="R23" s="32">
        <v>118946</v>
      </c>
      <c r="S23" s="32">
        <v>280961</v>
      </c>
      <c r="T23" s="32">
        <v>0</v>
      </c>
    </row>
    <row r="24" spans="2:20" s="12" customFormat="1" ht="14.25" customHeight="1" x14ac:dyDescent="0.35">
      <c r="B24" s="5" t="s">
        <v>83</v>
      </c>
      <c r="C24" s="4">
        <v>14396</v>
      </c>
      <c r="D24" s="4">
        <v>61106</v>
      </c>
      <c r="E24" s="4">
        <v>84848.871999999974</v>
      </c>
      <c r="F24" s="4">
        <v>95566.44702783454</v>
      </c>
      <c r="G24" s="4">
        <v>95852</v>
      </c>
      <c r="H24" s="4">
        <v>-138179.71800000011</v>
      </c>
      <c r="I24" s="4">
        <v>-208644</v>
      </c>
      <c r="J24" s="4">
        <v>122674</v>
      </c>
      <c r="K24" s="4">
        <v>65227</v>
      </c>
      <c r="L24" s="4">
        <v>250627</v>
      </c>
      <c r="M24" s="4">
        <v>267393</v>
      </c>
      <c r="N24" s="4">
        <v>321126</v>
      </c>
      <c r="O24" s="4">
        <v>506589</v>
      </c>
      <c r="P24" s="4">
        <v>124953</v>
      </c>
      <c r="Q24" s="4">
        <v>469782</v>
      </c>
      <c r="R24" s="4">
        <v>383749</v>
      </c>
      <c r="S24" s="4">
        <v>1485073</v>
      </c>
      <c r="T24" s="4">
        <v>267248.66316640005</v>
      </c>
    </row>
    <row r="25" spans="2:20" ht="14.25" customHeight="1" x14ac:dyDescent="0.35">
      <c r="B25" s="18" t="s">
        <v>84</v>
      </c>
      <c r="C25" s="50">
        <v>5.039928021033542E-2</v>
      </c>
      <c r="D25" s="50">
        <v>0.10809749401188071</v>
      </c>
      <c r="E25" s="50">
        <v>0.3618443027533062</v>
      </c>
      <c r="F25" s="50">
        <v>0.39485781320713859</v>
      </c>
      <c r="G25" s="50">
        <v>0.2819906328696839</v>
      </c>
      <c r="H25" s="50">
        <v>-0.33265026822841387</v>
      </c>
      <c r="I25" s="50">
        <v>-0.16937864298355279</v>
      </c>
      <c r="J25" s="50">
        <v>0.20104921751186966</v>
      </c>
      <c r="K25" s="50">
        <v>9.8566690089232425E-2</v>
      </c>
      <c r="L25" s="50">
        <v>0.29860898470776764</v>
      </c>
      <c r="M25" s="50">
        <v>0.26834185680566486</v>
      </c>
      <c r="N25" s="50">
        <v>0.103332268237988</v>
      </c>
      <c r="O25" s="50">
        <v>0.39130656437580769</v>
      </c>
      <c r="P25" s="50">
        <v>8.2189050668546981E-2</v>
      </c>
      <c r="Q25" s="50">
        <v>0.23307326163252792</v>
      </c>
      <c r="R25" s="50">
        <v>0.21262888668610022</v>
      </c>
      <c r="S25" s="50">
        <v>0.22381392738416428</v>
      </c>
      <c r="T25" s="50">
        <v>0.14165646567147094</v>
      </c>
    </row>
    <row r="26" spans="2:20" ht="14.25" customHeight="1" x14ac:dyDescent="0.35">
      <c r="B26" s="18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2:20" s="12" customFormat="1" ht="15" customHeight="1" x14ac:dyDescent="0.35">
      <c r="B27" s="5" t="s">
        <v>6</v>
      </c>
      <c r="C27" s="4">
        <v>67098</v>
      </c>
      <c r="D27" s="4">
        <v>195601</v>
      </c>
      <c r="E27" s="4">
        <v>70611.369999999981</v>
      </c>
      <c r="F27" s="4">
        <v>77494.524027834545</v>
      </c>
      <c r="G27" s="4">
        <v>117646</v>
      </c>
      <c r="H27" s="4">
        <v>173074.25899999999</v>
      </c>
      <c r="I27" s="4">
        <v>438825</v>
      </c>
      <c r="J27" s="4">
        <v>145792</v>
      </c>
      <c r="K27" s="4">
        <v>226603</v>
      </c>
      <c r="L27" s="4">
        <v>307483</v>
      </c>
      <c r="M27" s="4">
        <v>400798</v>
      </c>
      <c r="N27" s="4">
        <v>1080677</v>
      </c>
      <c r="O27" s="4">
        <v>494861</v>
      </c>
      <c r="P27" s="4">
        <v>587684</v>
      </c>
      <c r="Q27" s="4">
        <v>817405</v>
      </c>
      <c r="R27" s="4">
        <v>591982</v>
      </c>
      <c r="S27" s="4">
        <v>2491932</v>
      </c>
      <c r="T27" s="4">
        <v>643133</v>
      </c>
    </row>
    <row r="28" spans="2:20" ht="14.25" customHeight="1" x14ac:dyDescent="0.35">
      <c r="B28" s="18" t="s">
        <v>85</v>
      </c>
      <c r="C28" s="50">
        <v>0.23490489744047557</v>
      </c>
      <c r="D28" s="50">
        <v>0.34602130602916048</v>
      </c>
      <c r="E28" s="50">
        <v>0.30112742033984519</v>
      </c>
      <c r="F28" s="50">
        <v>0.32018892869634985</v>
      </c>
      <c r="G28" s="50">
        <v>0.34610722775306552</v>
      </c>
      <c r="H28" s="50">
        <v>0.41665448094042223</v>
      </c>
      <c r="I28" s="50">
        <v>0.35624117159974672</v>
      </c>
      <c r="J28" s="50">
        <v>0.23893708136598221</v>
      </c>
      <c r="K28" s="50">
        <v>0.34242733337866732</v>
      </c>
      <c r="L28" s="50">
        <v>0.36634994012974864</v>
      </c>
      <c r="M28" s="50">
        <v>0.40222025080685303</v>
      </c>
      <c r="N28" s="50">
        <v>0.3477414025728971</v>
      </c>
      <c r="O28" s="50">
        <v>0.38224745849905262</v>
      </c>
      <c r="P28" s="50">
        <v>0.38655486505401521</v>
      </c>
      <c r="Q28" s="50">
        <v>0.40553969591158556</v>
      </c>
      <c r="R28" s="50">
        <v>0.32800730060068162</v>
      </c>
      <c r="S28" s="50">
        <v>0.37555668151954502</v>
      </c>
      <c r="T28" s="50">
        <v>0.34089580339627384</v>
      </c>
    </row>
    <row r="29" spans="2:20" s="12" customFormat="1" ht="15" customHeight="1" x14ac:dyDescent="0.35">
      <c r="B29" s="5" t="s">
        <v>3</v>
      </c>
      <c r="C29" s="33">
        <v>78219</v>
      </c>
      <c r="D29" s="33">
        <v>212614.28200000001</v>
      </c>
      <c r="E29" s="33">
        <v>79381.493748251407</v>
      </c>
      <c r="F29" s="33">
        <v>86661.878251748567</v>
      </c>
      <c r="G29" s="33">
        <v>129484.73352735231</v>
      </c>
      <c r="H29" s="33">
        <v>184994</v>
      </c>
      <c r="I29" s="33">
        <v>480522</v>
      </c>
      <c r="J29" s="33">
        <v>170730.84004923279</v>
      </c>
      <c r="K29" s="33">
        <v>244134.22607574097</v>
      </c>
      <c r="L29" s="33">
        <v>325091.18347835477</v>
      </c>
      <c r="M29" s="33">
        <v>420123</v>
      </c>
      <c r="N29" s="33">
        <v>1160080</v>
      </c>
      <c r="O29" s="33">
        <v>526202</v>
      </c>
      <c r="P29" s="33">
        <v>616978</v>
      </c>
      <c r="Q29" s="33">
        <v>852664</v>
      </c>
      <c r="R29" s="33">
        <v>625923</v>
      </c>
      <c r="S29" s="33">
        <v>2621767</v>
      </c>
      <c r="T29" s="33">
        <v>675996.87303999986</v>
      </c>
    </row>
    <row r="30" spans="2:20" ht="14.25" customHeight="1" x14ac:dyDescent="0.35">
      <c r="B30" s="18" t="s">
        <v>86</v>
      </c>
      <c r="C30" s="50">
        <v>0.27383865648598404</v>
      </c>
      <c r="D30" s="50">
        <v>0.37611807474446562</v>
      </c>
      <c r="E30" s="50">
        <v>0.33852826301393818</v>
      </c>
      <c r="F30" s="50">
        <v>0.35806625441397977</v>
      </c>
      <c r="G30" s="50">
        <v>0.38093604676313958</v>
      </c>
      <c r="H30" s="50">
        <v>0.44534975618235911</v>
      </c>
      <c r="I30" s="50">
        <v>0.3900910847364063</v>
      </c>
      <c r="J30" s="50">
        <v>0.27980910214913046</v>
      </c>
      <c r="K30" s="50">
        <v>0.36891935244273327</v>
      </c>
      <c r="L30" s="50">
        <v>0.3873291713818468</v>
      </c>
      <c r="M30" s="50">
        <v>0.4216138264904703</v>
      </c>
      <c r="N30" s="50">
        <v>0.37329178496143295</v>
      </c>
      <c r="O30" s="50">
        <v>0.40645631229197388</v>
      </c>
      <c r="P30" s="50">
        <v>0.405823278379701</v>
      </c>
      <c r="Q30" s="50">
        <v>0.42303276744668333</v>
      </c>
      <c r="R30" s="50">
        <v>0.34681343962127303</v>
      </c>
      <c r="S30" s="50">
        <v>0.3951239898349766</v>
      </c>
      <c r="T30" s="50">
        <v>0.35831546060976449</v>
      </c>
    </row>
    <row r="31" spans="2:20" ht="14.25" customHeight="1" x14ac:dyDescent="0.3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62"/>
      <c r="N31" s="62"/>
    </row>
    <row r="32" spans="2:20" ht="14.25" customHeight="1" x14ac:dyDescent="0.35">
      <c r="B32" s="17"/>
      <c r="C32" s="73"/>
      <c r="D32" s="20"/>
      <c r="E32" s="20"/>
      <c r="F32" s="20"/>
      <c r="G32" s="20"/>
      <c r="H32" s="20"/>
      <c r="I32" s="20"/>
      <c r="J32" s="20"/>
      <c r="K32" s="20"/>
      <c r="L32" s="20"/>
      <c r="M32" s="13"/>
      <c r="N32" s="33"/>
      <c r="P32" s="59"/>
      <c r="Q32" s="59"/>
      <c r="R32" s="59"/>
      <c r="S32" s="59"/>
    </row>
    <row r="33" spans="2:14" ht="14.25" customHeight="1" x14ac:dyDescent="0.35">
      <c r="B33" s="21"/>
      <c r="C33" s="73"/>
      <c r="D33" s="21"/>
      <c r="E33" s="21"/>
      <c r="F33" s="21"/>
      <c r="G33" s="21"/>
      <c r="H33" s="21"/>
      <c r="I33" s="21"/>
      <c r="J33" s="21"/>
      <c r="K33" s="21"/>
      <c r="L33" s="21"/>
      <c r="N33" s="33"/>
    </row>
    <row r="34" spans="2:14" x14ac:dyDescent="0.35">
      <c r="C34" s="73"/>
    </row>
    <row r="35" spans="2:14" x14ac:dyDescent="0.35">
      <c r="C35" s="73"/>
    </row>
    <row r="36" spans="2:14" x14ac:dyDescent="0.35">
      <c r="C36" s="73"/>
    </row>
  </sheetData>
  <mergeCells count="19">
    <mergeCell ref="P5:P6"/>
    <mergeCell ref="R5:R6"/>
    <mergeCell ref="Q5:Q6"/>
    <mergeCell ref="S5:S6"/>
    <mergeCell ref="N2:T3"/>
    <mergeCell ref="O5:O6"/>
    <mergeCell ref="T5:T6"/>
    <mergeCell ref="C5:C6"/>
    <mergeCell ref="M5:M6"/>
    <mergeCell ref="N5:N6"/>
    <mergeCell ref="D5:D6"/>
    <mergeCell ref="K5:K6"/>
    <mergeCell ref="E5:E6"/>
    <mergeCell ref="F5:F6"/>
    <mergeCell ref="G5:G6"/>
    <mergeCell ref="H5:H6"/>
    <mergeCell ref="I5:I6"/>
    <mergeCell ref="J5:J6"/>
    <mergeCell ref="L5:L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5A5D-55C5-48A9-9439-E6C655AE39CC}">
  <sheetPr>
    <tabColor rgb="FF1B7754"/>
    <outlinePr summaryBelow="0"/>
  </sheetPr>
  <dimension ref="B2:AI68"/>
  <sheetViews>
    <sheetView showGridLines="0" zoomScaleNormal="100" workbookViewId="0">
      <selection activeCell="K2" sqref="K2:Q3"/>
    </sheetView>
  </sheetViews>
  <sheetFormatPr defaultColWidth="9.140625" defaultRowHeight="14.25" customHeight="1" x14ac:dyDescent="0.35"/>
  <cols>
    <col min="1" max="1" width="1.7109375" style="2" customWidth="1"/>
    <col min="2" max="2" width="55.5703125" style="2" customWidth="1"/>
    <col min="3" max="11" width="10.5703125" style="2" customWidth="1"/>
    <col min="12" max="12" width="10.5703125" customWidth="1"/>
    <col min="13" max="13" width="10.5703125" customWidth="1" collapsed="1"/>
    <col min="14" max="35" width="10.5703125" customWidth="1"/>
    <col min="36" max="16384" width="9.140625" style="2"/>
  </cols>
  <sheetData>
    <row r="2" spans="2:35" ht="14.25" customHeight="1" x14ac:dyDescent="0.35">
      <c r="K2" s="96" t="s">
        <v>224</v>
      </c>
      <c r="L2" s="96"/>
      <c r="M2" s="96"/>
      <c r="N2" s="96"/>
      <c r="O2" s="96"/>
      <c r="P2" s="96"/>
      <c r="Q2" s="96"/>
    </row>
    <row r="3" spans="2:35" ht="14.25" customHeight="1" x14ac:dyDescent="0.35">
      <c r="K3" s="96"/>
      <c r="L3" s="96"/>
      <c r="M3" s="96"/>
      <c r="N3" s="96"/>
      <c r="O3" s="96"/>
      <c r="P3" s="96"/>
      <c r="Q3" s="96"/>
    </row>
    <row r="5" spans="2:35" s="3" customFormat="1" ht="14.25" customHeight="1" x14ac:dyDescent="0.25">
      <c r="B5" s="75" t="s">
        <v>89</v>
      </c>
      <c r="C5" s="95" t="s">
        <v>18</v>
      </c>
      <c r="D5" s="95" t="s">
        <v>14</v>
      </c>
      <c r="E5" s="95" t="s">
        <v>23</v>
      </c>
      <c r="F5" s="95" t="s">
        <v>0</v>
      </c>
      <c r="G5" s="95" t="s">
        <v>5</v>
      </c>
      <c r="H5" s="95" t="s">
        <v>12</v>
      </c>
      <c r="I5" s="95" t="s">
        <v>26</v>
      </c>
      <c r="J5" s="95" t="s">
        <v>1</v>
      </c>
      <c r="K5" s="95" t="s">
        <v>10</v>
      </c>
      <c r="L5" s="95" t="s">
        <v>13</v>
      </c>
      <c r="M5" s="95" t="s">
        <v>29</v>
      </c>
      <c r="N5" s="95" t="s">
        <v>195</v>
      </c>
      <c r="O5" s="95" t="s">
        <v>198</v>
      </c>
      <c r="P5" s="95" t="s">
        <v>217</v>
      </c>
      <c r="Q5" s="95" t="s">
        <v>223</v>
      </c>
      <c r="R5"/>
      <c r="S5" s="95" t="s">
        <v>23</v>
      </c>
      <c r="T5" s="95" t="s">
        <v>24</v>
      </c>
      <c r="U5" s="95" t="s">
        <v>25</v>
      </c>
      <c r="V5" s="95" t="s">
        <v>87</v>
      </c>
      <c r="W5" s="95" t="s">
        <v>26</v>
      </c>
      <c r="X5" s="95" t="s">
        <v>27</v>
      </c>
      <c r="Y5" s="95" t="s">
        <v>28</v>
      </c>
      <c r="Z5" s="95" t="s">
        <v>88</v>
      </c>
      <c r="AA5" s="95" t="str">
        <f>M5</f>
        <v>1T22</v>
      </c>
      <c r="AB5" s="95" t="s">
        <v>194</v>
      </c>
      <c r="AC5" s="95" t="s">
        <v>197</v>
      </c>
      <c r="AD5" s="95" t="s">
        <v>218</v>
      </c>
      <c r="AE5" s="95" t="str">
        <f>Q5</f>
        <v>1T23</v>
      </c>
      <c r="AF5"/>
      <c r="AG5" s="95" t="s">
        <v>17</v>
      </c>
      <c r="AH5" s="95" t="s">
        <v>16</v>
      </c>
      <c r="AI5" s="95" t="s">
        <v>219</v>
      </c>
    </row>
    <row r="6" spans="2:35" s="3" customFormat="1" ht="14.25" customHeight="1" x14ac:dyDescent="0.25">
      <c r="B6" s="76" t="s">
        <v>22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/>
      <c r="AG6" s="95"/>
      <c r="AH6" s="95"/>
      <c r="AI6" s="95"/>
    </row>
    <row r="7" spans="2:35" ht="14.25" customHeight="1" x14ac:dyDescent="0.35">
      <c r="B7" s="5" t="s">
        <v>83</v>
      </c>
      <c r="C7" s="4">
        <v>14396</v>
      </c>
      <c r="D7" s="4">
        <v>61106</v>
      </c>
      <c r="E7" s="4">
        <v>50735.654999999977</v>
      </c>
      <c r="F7" s="4">
        <v>-14458.026</v>
      </c>
      <c r="G7" s="4">
        <v>81392</v>
      </c>
      <c r="H7" s="4">
        <v>-208644</v>
      </c>
      <c r="I7" s="4">
        <v>-53434</v>
      </c>
      <c r="J7" s="4">
        <v>65284</v>
      </c>
      <c r="K7" s="4">
        <v>315911</v>
      </c>
      <c r="L7" s="4">
        <v>321126</v>
      </c>
      <c r="M7" s="4">
        <v>506589</v>
      </c>
      <c r="N7" s="4">
        <v>631542</v>
      </c>
      <c r="O7" s="4">
        <v>1101324</v>
      </c>
      <c r="P7" s="4">
        <v>1485073</v>
      </c>
      <c r="Q7" s="4">
        <v>267248.53620639991</v>
      </c>
      <c r="S7" s="4">
        <v>50735.654999999977</v>
      </c>
      <c r="T7" s="4">
        <v>-65193.680999999975</v>
      </c>
      <c r="U7" s="4">
        <v>95850.025999999998</v>
      </c>
      <c r="V7" s="4">
        <v>-290036</v>
      </c>
      <c r="W7" s="4">
        <v>-53434</v>
      </c>
      <c r="X7" s="4">
        <v>118718</v>
      </c>
      <c r="Y7" s="4">
        <v>250627</v>
      </c>
      <c r="Z7" s="4">
        <v>5215</v>
      </c>
      <c r="AA7" s="4">
        <v>506589</v>
      </c>
      <c r="AB7" s="4">
        <v>124953</v>
      </c>
      <c r="AC7" s="4">
        <v>469782</v>
      </c>
      <c r="AD7" s="4">
        <v>383749</v>
      </c>
      <c r="AE7" s="4">
        <v>267248.53620639991</v>
      </c>
      <c r="AG7" s="4">
        <v>-269750</v>
      </c>
      <c r="AH7" s="4">
        <v>529770</v>
      </c>
      <c r="AI7" s="4">
        <v>1163947</v>
      </c>
    </row>
    <row r="8" spans="2:35" ht="14.25" customHeight="1" x14ac:dyDescent="0.35">
      <c r="B8" s="6" t="s">
        <v>90</v>
      </c>
      <c r="C8" s="32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2">
        <v>0</v>
      </c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G8" s="36"/>
      <c r="AH8" s="36"/>
      <c r="AI8" s="36"/>
    </row>
    <row r="9" spans="2:35" ht="14.25" customHeight="1" x14ac:dyDescent="0.35">
      <c r="B9" s="7" t="s">
        <v>261</v>
      </c>
      <c r="C9" s="49">
        <v>11121</v>
      </c>
      <c r="D9" s="49">
        <v>17013</v>
      </c>
      <c r="E9" s="49">
        <v>8770.1217482514403</v>
      </c>
      <c r="F9" s="49">
        <v>17937</v>
      </c>
      <c r="G9" s="49">
        <v>29776.566945462251</v>
      </c>
      <c r="H9" s="49">
        <v>41696.552072974038</v>
      </c>
      <c r="I9" s="49">
        <v>24938.840049232793</v>
      </c>
      <c r="J9" s="49">
        <v>42470.066124973768</v>
      </c>
      <c r="K9" s="49">
        <v>60078</v>
      </c>
      <c r="L9" s="49">
        <v>79403</v>
      </c>
      <c r="M9" s="49">
        <v>31341</v>
      </c>
      <c r="N9" s="49">
        <v>60635</v>
      </c>
      <c r="O9" s="49">
        <v>95894</v>
      </c>
      <c r="P9" s="49">
        <v>129835</v>
      </c>
      <c r="Q9" s="49">
        <v>32864</v>
      </c>
      <c r="R9" s="58"/>
      <c r="S9" s="49">
        <v>8770.1217482514403</v>
      </c>
      <c r="T9" s="49">
        <v>9166.8782517485597</v>
      </c>
      <c r="U9" s="49">
        <v>11839.566945462251</v>
      </c>
      <c r="V9" s="49">
        <v>11919.985127511787</v>
      </c>
      <c r="W9" s="49">
        <v>24938.840049232793</v>
      </c>
      <c r="X9" s="49">
        <v>17531.226075740975</v>
      </c>
      <c r="Y9" s="49">
        <v>17607.933875026232</v>
      </c>
      <c r="Z9" s="49">
        <v>19325</v>
      </c>
      <c r="AA9" s="49">
        <v>31341</v>
      </c>
      <c r="AB9" s="49">
        <v>29294</v>
      </c>
      <c r="AC9" s="49">
        <v>35259</v>
      </c>
      <c r="AD9" s="49">
        <v>33941</v>
      </c>
      <c r="AE9" s="49">
        <v>32864</v>
      </c>
      <c r="AG9" s="49">
        <v>24683.552072974038</v>
      </c>
      <c r="AH9" s="49">
        <v>37706.447927025962</v>
      </c>
      <c r="AI9" s="49">
        <v>50432</v>
      </c>
    </row>
    <row r="10" spans="2:35" ht="14.25" customHeight="1" x14ac:dyDescent="0.35">
      <c r="B10" s="7" t="s">
        <v>262</v>
      </c>
      <c r="C10" s="49">
        <v>-2311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-98939</v>
      </c>
      <c r="M10" s="49">
        <v>-97862</v>
      </c>
      <c r="N10" s="49">
        <v>-190588</v>
      </c>
      <c r="O10" s="32">
        <v>-303767</v>
      </c>
      <c r="P10" s="32">
        <v>-400347</v>
      </c>
      <c r="Q10" s="32">
        <v>-82450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-98939</v>
      </c>
      <c r="AA10" s="49">
        <v>-97862</v>
      </c>
      <c r="AB10" s="49">
        <v>-92726</v>
      </c>
      <c r="AC10" s="49">
        <v>-113179</v>
      </c>
      <c r="AD10" s="49">
        <v>-96580</v>
      </c>
      <c r="AE10" s="49">
        <v>-82450</v>
      </c>
      <c r="AF10" s="58"/>
      <c r="AG10" s="49">
        <v>0</v>
      </c>
      <c r="AH10" s="49">
        <v>-98939</v>
      </c>
      <c r="AI10" s="49">
        <v>-301408</v>
      </c>
    </row>
    <row r="11" spans="2:35" ht="14.25" customHeight="1" x14ac:dyDescent="0.35">
      <c r="B11" s="7" t="s">
        <v>263</v>
      </c>
      <c r="C11" s="49">
        <v>16216</v>
      </c>
      <c r="D11" s="49">
        <v>29333</v>
      </c>
      <c r="E11" s="49">
        <v>15875.356539999999</v>
      </c>
      <c r="F11" s="49">
        <v>36017</v>
      </c>
      <c r="G11" s="49">
        <v>54864.468903560635</v>
      </c>
      <c r="H11" s="49">
        <v>105676.90910856059</v>
      </c>
      <c r="I11" s="49">
        <v>67693</v>
      </c>
      <c r="J11" s="49">
        <v>143973.47881999999</v>
      </c>
      <c r="K11" s="49">
        <v>215850.1599</v>
      </c>
      <c r="L11" s="49">
        <v>384410</v>
      </c>
      <c r="M11" s="49">
        <v>178380</v>
      </c>
      <c r="N11" s="49">
        <v>362046</v>
      </c>
      <c r="O11" s="32">
        <v>592297</v>
      </c>
      <c r="P11" s="32">
        <v>826580</v>
      </c>
      <c r="Q11" s="32">
        <v>264333</v>
      </c>
      <c r="S11" s="49">
        <v>15875.356539999999</v>
      </c>
      <c r="T11" s="49">
        <v>20141.643459999999</v>
      </c>
      <c r="U11" s="49">
        <v>18847.468903560635</v>
      </c>
      <c r="V11" s="49">
        <v>50812.440204999955</v>
      </c>
      <c r="W11" s="49">
        <v>67693</v>
      </c>
      <c r="X11" s="49">
        <v>76280.478819999989</v>
      </c>
      <c r="Y11" s="49">
        <v>71876.681080000009</v>
      </c>
      <c r="Z11" s="49">
        <v>168559.8401</v>
      </c>
      <c r="AA11" s="49">
        <v>178380</v>
      </c>
      <c r="AB11" s="49">
        <v>183666</v>
      </c>
      <c r="AC11" s="49">
        <v>230251</v>
      </c>
      <c r="AD11" s="49">
        <v>234283</v>
      </c>
      <c r="AE11" s="49">
        <v>264333</v>
      </c>
      <c r="AF11" s="58"/>
      <c r="AG11" s="49">
        <v>76343.909108560591</v>
      </c>
      <c r="AH11" s="49">
        <v>278733.09089143941</v>
      </c>
      <c r="AI11" s="49">
        <v>442170</v>
      </c>
    </row>
    <row r="12" spans="2:35" ht="14.25" customHeight="1" x14ac:dyDescent="0.35">
      <c r="B12" s="7" t="s">
        <v>264</v>
      </c>
      <c r="C12" s="49">
        <v>8659</v>
      </c>
      <c r="D12" s="49">
        <v>-6415</v>
      </c>
      <c r="E12" s="49">
        <v>19757.597000000002</v>
      </c>
      <c r="F12" s="49">
        <v>-9013</v>
      </c>
      <c r="G12" s="49">
        <v>35373</v>
      </c>
      <c r="H12" s="49">
        <v>-119238</v>
      </c>
      <c r="I12" s="49">
        <v>-22889</v>
      </c>
      <c r="J12" s="49">
        <v>28838</v>
      </c>
      <c r="K12" s="49">
        <v>148599.75224999999</v>
      </c>
      <c r="L12" s="49">
        <v>124977</v>
      </c>
      <c r="M12" s="49">
        <v>76425</v>
      </c>
      <c r="N12" s="49">
        <v>96083</v>
      </c>
      <c r="O12" s="49">
        <v>250049</v>
      </c>
      <c r="P12" s="49">
        <v>241589</v>
      </c>
      <c r="Q12" s="49">
        <v>95369</v>
      </c>
      <c r="S12" s="49">
        <v>19757.597000000002</v>
      </c>
      <c r="T12" s="49">
        <v>-28770.597000000002</v>
      </c>
      <c r="U12" s="49">
        <v>44386</v>
      </c>
      <c r="V12" s="49">
        <v>-154611</v>
      </c>
      <c r="W12" s="49">
        <v>-22889</v>
      </c>
      <c r="X12" s="49">
        <v>51727</v>
      </c>
      <c r="Y12" s="49">
        <v>119761.75224999999</v>
      </c>
      <c r="Z12" s="49">
        <v>-23622.75224999999</v>
      </c>
      <c r="AA12" s="49">
        <v>76425</v>
      </c>
      <c r="AB12" s="49">
        <v>19658</v>
      </c>
      <c r="AC12" s="49">
        <v>153966</v>
      </c>
      <c r="AD12" s="49">
        <v>-8460</v>
      </c>
      <c r="AE12" s="49">
        <v>95369</v>
      </c>
      <c r="AF12" s="58"/>
      <c r="AG12" s="49">
        <v>-112823</v>
      </c>
      <c r="AH12" s="49">
        <v>244215</v>
      </c>
      <c r="AI12" s="49">
        <v>116612</v>
      </c>
    </row>
    <row r="13" spans="2:35" ht="14.25" customHeight="1" x14ac:dyDescent="0.35">
      <c r="B13" s="7" t="s">
        <v>265</v>
      </c>
      <c r="C13" s="49">
        <v>17555.623</v>
      </c>
      <c r="D13" s="49">
        <v>79829</v>
      </c>
      <c r="E13" s="49">
        <v>-17924.419000000002</v>
      </c>
      <c r="F13" s="49">
        <v>75253.038</v>
      </c>
      <c r="G13" s="49">
        <v>24074</v>
      </c>
      <c r="H13" s="49">
        <v>570838</v>
      </c>
      <c r="I13" s="49">
        <v>131767.93151999998</v>
      </c>
      <c r="J13" s="49">
        <v>213613</v>
      </c>
      <c r="K13" s="49">
        <v>-584116.40226</v>
      </c>
      <c r="L13" s="49">
        <v>-294056</v>
      </c>
      <c r="M13" s="49">
        <v>-436922</v>
      </c>
      <c r="N13" s="49">
        <v>-170740.00305000003</v>
      </c>
      <c r="O13" s="32">
        <v>-73431</v>
      </c>
      <c r="P13" s="32">
        <v>-613429</v>
      </c>
      <c r="Q13" s="32">
        <v>297681</v>
      </c>
      <c r="S13" s="49">
        <v>-17924.419000000002</v>
      </c>
      <c r="T13" s="49">
        <v>93177.456999999995</v>
      </c>
      <c r="U13" s="49">
        <v>-51179.038</v>
      </c>
      <c r="V13" s="49">
        <v>546764</v>
      </c>
      <c r="W13" s="49">
        <v>131767.93151999998</v>
      </c>
      <c r="X13" s="49">
        <v>81845.068480000016</v>
      </c>
      <c r="Y13" s="49">
        <v>-797729.40226</v>
      </c>
      <c r="Z13" s="49">
        <v>290060.40226</v>
      </c>
      <c r="AA13" s="49">
        <v>-436922</v>
      </c>
      <c r="AB13" s="49">
        <v>266181.99694999994</v>
      </c>
      <c r="AC13" s="49">
        <v>97309.003050000028</v>
      </c>
      <c r="AD13" s="49">
        <v>-539998</v>
      </c>
      <c r="AE13" s="49">
        <v>297681</v>
      </c>
      <c r="AF13" s="58"/>
      <c r="AG13" s="49">
        <v>491009</v>
      </c>
      <c r="AH13" s="49">
        <v>-864894</v>
      </c>
      <c r="AI13" s="49">
        <v>-319373</v>
      </c>
    </row>
    <row r="14" spans="2:35" ht="14.25" customHeight="1" x14ac:dyDescent="0.35">
      <c r="B14" s="7" t="s">
        <v>266</v>
      </c>
      <c r="C14" s="49">
        <v>0</v>
      </c>
      <c r="D14" s="49">
        <v>23443</v>
      </c>
      <c r="E14" s="49">
        <v>-15847.243</v>
      </c>
      <c r="F14" s="49">
        <v>7766</v>
      </c>
      <c r="G14" s="49">
        <v>-34978</v>
      </c>
      <c r="H14" s="49">
        <v>-12018</v>
      </c>
      <c r="I14" s="49">
        <v>-19224</v>
      </c>
      <c r="J14" s="49">
        <v>-32764</v>
      </c>
      <c r="K14" s="49">
        <v>-5124.4967499999984</v>
      </c>
      <c r="L14" s="49">
        <v>36093</v>
      </c>
      <c r="M14" s="49">
        <v>270796</v>
      </c>
      <c r="N14" s="49">
        <v>232580</v>
      </c>
      <c r="O14" s="32">
        <v>221469</v>
      </c>
      <c r="P14" s="32">
        <v>706071</v>
      </c>
      <c r="Q14" s="32">
        <v>-166491</v>
      </c>
      <c r="S14" s="49">
        <v>-15847.243</v>
      </c>
      <c r="T14" s="49">
        <v>23613.243000000002</v>
      </c>
      <c r="U14" s="49">
        <v>-42744</v>
      </c>
      <c r="V14" s="49">
        <v>22960</v>
      </c>
      <c r="W14" s="49">
        <v>-19224</v>
      </c>
      <c r="X14" s="49">
        <v>-13540</v>
      </c>
      <c r="Y14" s="49">
        <v>27639.503250000002</v>
      </c>
      <c r="Z14" s="49">
        <v>41217.496749999998</v>
      </c>
      <c r="AA14" s="49">
        <v>270796</v>
      </c>
      <c r="AB14" s="49">
        <v>-38216</v>
      </c>
      <c r="AC14" s="49">
        <v>-11111</v>
      </c>
      <c r="AD14" s="49">
        <v>484602</v>
      </c>
      <c r="AE14" s="49">
        <v>-166491</v>
      </c>
      <c r="AF14" s="58"/>
      <c r="AG14" s="49">
        <v>-35461</v>
      </c>
      <c r="AH14" s="49">
        <v>48111</v>
      </c>
      <c r="AI14" s="49">
        <v>669978</v>
      </c>
    </row>
    <row r="15" spans="2:35" ht="14.25" customHeight="1" x14ac:dyDescent="0.35">
      <c r="B15" s="7" t="s">
        <v>267</v>
      </c>
      <c r="C15" s="32">
        <v>6945</v>
      </c>
      <c r="D15" s="32">
        <v>2425</v>
      </c>
      <c r="E15" s="32">
        <v>-19.834000000000287</v>
      </c>
      <c r="F15" s="32">
        <v>-1490</v>
      </c>
      <c r="G15" s="32">
        <v>-4420</v>
      </c>
      <c r="H15" s="32">
        <v>-9897</v>
      </c>
      <c r="I15" s="32">
        <v>-3199</v>
      </c>
      <c r="J15" s="32">
        <v>-6888</v>
      </c>
      <c r="K15" s="32">
        <v>-11442.994940571685</v>
      </c>
      <c r="L15" s="32">
        <v>-14734</v>
      </c>
      <c r="M15" s="32">
        <v>-2738</v>
      </c>
      <c r="N15" s="32">
        <v>-9738</v>
      </c>
      <c r="O15" s="32">
        <v>-18940</v>
      </c>
      <c r="P15" s="32">
        <v>-28681</v>
      </c>
      <c r="Q15" s="32">
        <v>-12543</v>
      </c>
      <c r="S15" s="49">
        <v>-19.834000000000287</v>
      </c>
      <c r="T15" s="49">
        <v>-1470.1659999999997</v>
      </c>
      <c r="U15" s="49">
        <v>-2930</v>
      </c>
      <c r="V15" s="32">
        <v>-5477</v>
      </c>
      <c r="W15" s="32">
        <v>-3199</v>
      </c>
      <c r="X15" s="32">
        <v>-3689</v>
      </c>
      <c r="Y15" s="32">
        <v>-4554.9949405716852</v>
      </c>
      <c r="Z15" s="32">
        <v>-3291.0050594283148</v>
      </c>
      <c r="AA15" s="32">
        <v>-2738</v>
      </c>
      <c r="AB15" s="32">
        <v>-7000</v>
      </c>
      <c r="AC15" s="32">
        <v>-9202</v>
      </c>
      <c r="AD15" s="32">
        <v>-9741</v>
      </c>
      <c r="AE15" s="32">
        <v>-12543</v>
      </c>
      <c r="AF15" s="58"/>
      <c r="AG15" s="32">
        <v>-12322</v>
      </c>
      <c r="AH15" s="32">
        <v>-4837</v>
      </c>
      <c r="AI15" s="32">
        <v>-13947</v>
      </c>
    </row>
    <row r="16" spans="2:35" ht="14.25" customHeight="1" x14ac:dyDescent="0.35">
      <c r="B16" s="7" t="s">
        <v>91</v>
      </c>
      <c r="C16" s="49">
        <v>1850</v>
      </c>
      <c r="D16" s="49">
        <v>4883</v>
      </c>
      <c r="E16" s="49">
        <v>1292.57818046323</v>
      </c>
      <c r="F16" s="49">
        <v>2631.4041704632345</v>
      </c>
      <c r="G16" s="49">
        <v>4003.2403804632354</v>
      </c>
      <c r="H16" s="49">
        <v>5393.4370304632366</v>
      </c>
      <c r="I16" s="49">
        <v>1425</v>
      </c>
      <c r="J16" s="49">
        <v>2899</v>
      </c>
      <c r="K16" s="49">
        <v>5159</v>
      </c>
      <c r="L16" s="49">
        <v>0</v>
      </c>
      <c r="M16" s="49">
        <v>0</v>
      </c>
      <c r="N16" s="49">
        <v>0</v>
      </c>
      <c r="O16" s="32">
        <v>0</v>
      </c>
      <c r="P16" s="32">
        <v>0</v>
      </c>
      <c r="Q16" s="32">
        <v>0</v>
      </c>
      <c r="S16" s="49">
        <v>1292.57818046323</v>
      </c>
      <c r="T16" s="49">
        <v>1338.8259900000046</v>
      </c>
      <c r="U16" s="49">
        <v>1371.8362100000008</v>
      </c>
      <c r="V16" s="49">
        <v>1390.1966500000012</v>
      </c>
      <c r="W16" s="49">
        <v>1425</v>
      </c>
      <c r="X16" s="49">
        <v>1474</v>
      </c>
      <c r="Y16" s="49">
        <v>2260</v>
      </c>
      <c r="Z16" s="49">
        <v>-5159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58"/>
      <c r="AG16" s="49">
        <v>510.43703046323662</v>
      </c>
      <c r="AH16" s="49">
        <v>-5393.4370304632366</v>
      </c>
      <c r="AI16" s="49">
        <v>0</v>
      </c>
    </row>
    <row r="17" spans="2:35" ht="14.25" customHeight="1" x14ac:dyDescent="0.35">
      <c r="B17" s="7" t="s">
        <v>268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-12827</v>
      </c>
      <c r="K17" s="49">
        <v>-13547.240730000001</v>
      </c>
      <c r="L17" s="49">
        <v>-17319</v>
      </c>
      <c r="M17" s="49">
        <v>4929</v>
      </c>
      <c r="N17" s="49">
        <v>3844</v>
      </c>
      <c r="O17" s="32">
        <v>1659</v>
      </c>
      <c r="P17" s="32">
        <v>-15190</v>
      </c>
      <c r="Q17" s="32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-12827</v>
      </c>
      <c r="Y17" s="49">
        <v>-720.24073000000135</v>
      </c>
      <c r="Z17" s="49">
        <v>-3771.7592699999987</v>
      </c>
      <c r="AA17" s="49">
        <v>4929</v>
      </c>
      <c r="AB17" s="49">
        <v>-1085</v>
      </c>
      <c r="AC17" s="49">
        <v>-2185</v>
      </c>
      <c r="AD17" s="49">
        <v>-16849</v>
      </c>
      <c r="AE17" s="49">
        <v>0</v>
      </c>
      <c r="AF17" s="58"/>
      <c r="AG17" s="49">
        <v>0</v>
      </c>
      <c r="AH17" s="49">
        <v>-17319</v>
      </c>
      <c r="AI17" s="49">
        <v>2129</v>
      </c>
    </row>
    <row r="18" spans="2:35" ht="14.25" customHeight="1" x14ac:dyDescent="0.35">
      <c r="B18" s="7" t="s">
        <v>92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-520</v>
      </c>
      <c r="K18" s="49">
        <v>-13465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-520</v>
      </c>
      <c r="Y18" s="49">
        <v>-12945</v>
      </c>
      <c r="Z18" s="49">
        <v>13465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58"/>
      <c r="AG18" s="49">
        <v>0</v>
      </c>
      <c r="AH18" s="49">
        <v>0</v>
      </c>
      <c r="AI18" s="49">
        <v>0</v>
      </c>
    </row>
    <row r="19" spans="2:35" ht="14.25" customHeight="1" x14ac:dyDescent="0.35">
      <c r="B19" s="7" t="s">
        <v>269</v>
      </c>
      <c r="C19" s="49">
        <v>0</v>
      </c>
      <c r="D19" s="49">
        <v>576</v>
      </c>
      <c r="E19" s="49">
        <v>276.55099999999999</v>
      </c>
      <c r="F19" s="49">
        <v>3.04</v>
      </c>
      <c r="G19" s="49">
        <v>30</v>
      </c>
      <c r="H19" s="49">
        <v>5</v>
      </c>
      <c r="I19" s="49">
        <v>-110</v>
      </c>
      <c r="J19" s="49">
        <v>-209</v>
      </c>
      <c r="K19" s="49">
        <v>-446.54512</v>
      </c>
      <c r="L19" s="49">
        <v>-437</v>
      </c>
      <c r="M19" s="49">
        <v>3</v>
      </c>
      <c r="N19" s="49">
        <v>-10</v>
      </c>
      <c r="O19" s="32">
        <v>-30</v>
      </c>
      <c r="P19" s="32">
        <v>-29</v>
      </c>
      <c r="Q19" s="32">
        <v>0</v>
      </c>
      <c r="S19" s="49">
        <v>276.55099999999999</v>
      </c>
      <c r="T19" s="49">
        <v>-273.51099999999997</v>
      </c>
      <c r="U19" s="49">
        <v>26.96</v>
      </c>
      <c r="V19" s="49">
        <v>-25</v>
      </c>
      <c r="W19" s="49">
        <v>-110</v>
      </c>
      <c r="X19" s="49">
        <v>-99</v>
      </c>
      <c r="Y19" s="49">
        <v>-237.54512</v>
      </c>
      <c r="Z19" s="49">
        <v>9.5451199999999972</v>
      </c>
      <c r="AA19" s="49">
        <v>3</v>
      </c>
      <c r="AB19" s="49">
        <v>-13</v>
      </c>
      <c r="AC19" s="49">
        <v>-20</v>
      </c>
      <c r="AD19" s="49">
        <v>1</v>
      </c>
      <c r="AE19" s="49">
        <v>0</v>
      </c>
      <c r="AF19" s="58"/>
      <c r="AG19" s="49">
        <v>-571</v>
      </c>
      <c r="AH19" s="49">
        <v>-442</v>
      </c>
      <c r="AI19" s="49">
        <v>408</v>
      </c>
    </row>
    <row r="20" spans="2:35" ht="14.25" customHeight="1" x14ac:dyDescent="0.35">
      <c r="B20" s="7" t="s">
        <v>93</v>
      </c>
      <c r="C20" s="49">
        <v>0</v>
      </c>
      <c r="D20" s="49">
        <v>1841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32">
        <v>0</v>
      </c>
      <c r="P20" s="32">
        <v>0</v>
      </c>
      <c r="Q20" s="32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58"/>
      <c r="AG20" s="49">
        <v>-1841</v>
      </c>
      <c r="AH20" s="49">
        <v>0</v>
      </c>
      <c r="AI20" s="49">
        <v>0</v>
      </c>
    </row>
    <row r="21" spans="2:35" ht="14.25" customHeight="1" x14ac:dyDescent="0.35">
      <c r="B21" s="7" t="s">
        <v>228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58"/>
      <c r="AG21" s="49">
        <v>0</v>
      </c>
      <c r="AH21" s="49">
        <v>0</v>
      </c>
      <c r="AI21" s="49">
        <v>0</v>
      </c>
    </row>
    <row r="22" spans="2:35" ht="14.25" customHeight="1" x14ac:dyDescent="0.35">
      <c r="B22" s="6" t="s">
        <v>94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58"/>
      <c r="AG22" s="32"/>
      <c r="AH22" s="32"/>
      <c r="AI22" s="32"/>
    </row>
    <row r="23" spans="2:35" ht="14.25" customHeight="1" x14ac:dyDescent="0.35">
      <c r="B23" s="7" t="s">
        <v>270</v>
      </c>
      <c r="C23" s="49">
        <v>-25297</v>
      </c>
      <c r="D23" s="49">
        <v>-16594</v>
      </c>
      <c r="E23" s="49">
        <v>-10876.288</v>
      </c>
      <c r="F23" s="49">
        <v>-1948.952</v>
      </c>
      <c r="G23" s="49">
        <v>-37979.648999999998</v>
      </c>
      <c r="H23" s="49">
        <v>-68776.649000000005</v>
      </c>
      <c r="I23" s="49">
        <v>-23494</v>
      </c>
      <c r="J23" s="49">
        <v>55550</v>
      </c>
      <c r="K23" s="49">
        <v>-21283.358490000002</v>
      </c>
      <c r="L23" s="49">
        <v>-14896</v>
      </c>
      <c r="M23" s="49">
        <v>-46618</v>
      </c>
      <c r="N23" s="49">
        <v>-61527</v>
      </c>
      <c r="O23" s="49">
        <v>-77247</v>
      </c>
      <c r="P23" s="49">
        <v>-183130</v>
      </c>
      <c r="Q23" s="49">
        <v>9476</v>
      </c>
      <c r="S23" s="49">
        <v>-10876.288</v>
      </c>
      <c r="T23" s="49">
        <v>8927.3360000000011</v>
      </c>
      <c r="U23" s="49">
        <v>-36030.697</v>
      </c>
      <c r="V23" s="49">
        <v>-30797.000000000007</v>
      </c>
      <c r="W23" s="49">
        <v>-23494</v>
      </c>
      <c r="X23" s="49">
        <v>79044</v>
      </c>
      <c r="Y23" s="49">
        <v>-76833.358489999999</v>
      </c>
      <c r="Z23" s="49">
        <v>6387.3584900000023</v>
      </c>
      <c r="AA23" s="49">
        <v>-46618</v>
      </c>
      <c r="AB23" s="49">
        <v>-14909</v>
      </c>
      <c r="AC23" s="49">
        <v>-15720</v>
      </c>
      <c r="AD23" s="49">
        <v>-105883</v>
      </c>
      <c r="AE23" s="49">
        <v>9476</v>
      </c>
      <c r="AF23" s="58"/>
      <c r="AG23" s="49">
        <v>-52182.649000000005</v>
      </c>
      <c r="AH23" s="49">
        <v>53880.649000000005</v>
      </c>
      <c r="AI23" s="49">
        <v>-168234</v>
      </c>
    </row>
    <row r="24" spans="2:35" ht="14.25" customHeight="1" x14ac:dyDescent="0.35">
      <c r="B24" s="7" t="s">
        <v>280</v>
      </c>
      <c r="C24" s="49">
        <v>-34426</v>
      </c>
      <c r="D24" s="49">
        <v>-85853</v>
      </c>
      <c r="E24" s="49">
        <v>-59543.341999999997</v>
      </c>
      <c r="F24" s="49">
        <v>-317840.03600000002</v>
      </c>
      <c r="G24" s="49">
        <v>-305707.902</v>
      </c>
      <c r="H24" s="49">
        <v>-176245.90165297405</v>
      </c>
      <c r="I24" s="49">
        <v>-39001</v>
      </c>
      <c r="J24" s="49">
        <v>-496962</v>
      </c>
      <c r="K24" s="49">
        <v>-476740</v>
      </c>
      <c r="L24" s="49">
        <v>-164707</v>
      </c>
      <c r="M24" s="49">
        <v>-236955</v>
      </c>
      <c r="N24" s="49">
        <v>-1507241</v>
      </c>
      <c r="O24" s="49">
        <v>-935630</v>
      </c>
      <c r="P24" s="49">
        <v>-316844</v>
      </c>
      <c r="Q24" s="49">
        <v>-699340</v>
      </c>
      <c r="S24" s="49">
        <v>-59543.341999999997</v>
      </c>
      <c r="T24" s="49">
        <v>-258296.69400000002</v>
      </c>
      <c r="U24" s="49">
        <v>12132.13400000002</v>
      </c>
      <c r="V24" s="49">
        <v>129462.00034702595</v>
      </c>
      <c r="W24" s="49">
        <v>-39001</v>
      </c>
      <c r="X24" s="49">
        <v>-457961</v>
      </c>
      <c r="Y24" s="49">
        <v>20222</v>
      </c>
      <c r="Z24" s="49">
        <v>312033</v>
      </c>
      <c r="AA24" s="49">
        <v>-236955</v>
      </c>
      <c r="AB24" s="49">
        <v>-1270286</v>
      </c>
      <c r="AC24" s="49">
        <v>571611</v>
      </c>
      <c r="AD24" s="49">
        <v>618786</v>
      </c>
      <c r="AE24" s="49">
        <v>-699340</v>
      </c>
      <c r="AF24" s="58"/>
      <c r="AG24" s="49">
        <v>-90392.901652974047</v>
      </c>
      <c r="AH24" s="49">
        <v>11538.901652974047</v>
      </c>
      <c r="AI24" s="49">
        <v>-152137</v>
      </c>
    </row>
    <row r="25" spans="2:35" ht="14.25" customHeight="1" x14ac:dyDescent="0.35">
      <c r="B25" s="7" t="s">
        <v>271</v>
      </c>
      <c r="C25" s="49">
        <v>-493</v>
      </c>
      <c r="D25" s="49">
        <v>-22653</v>
      </c>
      <c r="E25" s="49">
        <v>-13883.027</v>
      </c>
      <c r="F25" s="49">
        <v>-24873.026000000002</v>
      </c>
      <c r="G25" s="49">
        <v>-31838.451000000001</v>
      </c>
      <c r="H25" s="49">
        <v>-44971.451000000001</v>
      </c>
      <c r="I25" s="49">
        <v>15553</v>
      </c>
      <c r="J25" s="49">
        <v>-40149</v>
      </c>
      <c r="K25" s="49">
        <v>-50450.895280000019</v>
      </c>
      <c r="L25" s="49">
        <v>-42221</v>
      </c>
      <c r="M25" s="49">
        <v>-35114</v>
      </c>
      <c r="N25" s="49">
        <v>-171453</v>
      </c>
      <c r="O25" s="49">
        <v>-143094</v>
      </c>
      <c r="P25" s="49">
        <v>-53664</v>
      </c>
      <c r="Q25" s="49">
        <v>-45835</v>
      </c>
      <c r="S25" s="49">
        <v>-13883.027</v>
      </c>
      <c r="T25" s="49">
        <v>-10989.999000000002</v>
      </c>
      <c r="U25" s="49">
        <v>-6965.4249999999993</v>
      </c>
      <c r="V25" s="49">
        <v>-13133</v>
      </c>
      <c r="W25" s="49">
        <v>15553</v>
      </c>
      <c r="X25" s="49">
        <v>-55702</v>
      </c>
      <c r="Y25" s="49">
        <v>-10301.895280000019</v>
      </c>
      <c r="Z25" s="49">
        <v>8229.8952800000188</v>
      </c>
      <c r="AA25" s="49">
        <v>-35114</v>
      </c>
      <c r="AB25" s="49">
        <v>-136339</v>
      </c>
      <c r="AC25" s="49">
        <v>28359</v>
      </c>
      <c r="AD25" s="49">
        <v>89430</v>
      </c>
      <c r="AE25" s="49">
        <v>-45835</v>
      </c>
      <c r="AF25" s="58"/>
      <c r="AG25" s="49">
        <v>-22318.451000000001</v>
      </c>
      <c r="AH25" s="49">
        <v>2750.4510000000009</v>
      </c>
      <c r="AI25" s="49">
        <v>-11443</v>
      </c>
    </row>
    <row r="26" spans="2:35" ht="14.25" customHeight="1" x14ac:dyDescent="0.35">
      <c r="B26" s="7" t="s">
        <v>258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58"/>
      <c r="AG26" s="49">
        <v>0</v>
      </c>
      <c r="AH26" s="49">
        <v>0</v>
      </c>
      <c r="AI26" s="49">
        <v>0</v>
      </c>
    </row>
    <row r="27" spans="2:35" ht="14.25" customHeight="1" x14ac:dyDescent="0.35">
      <c r="B27" s="7" t="s">
        <v>36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-27257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-27257</v>
      </c>
      <c r="AF27" s="58"/>
      <c r="AG27" s="49">
        <v>0</v>
      </c>
      <c r="AH27" s="49">
        <v>0</v>
      </c>
      <c r="AI27" s="49">
        <v>0</v>
      </c>
    </row>
    <row r="28" spans="2:35" ht="14.25" customHeight="1" x14ac:dyDescent="0.35">
      <c r="B28" s="7" t="s">
        <v>279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58"/>
      <c r="AG28" s="49">
        <v>0</v>
      </c>
      <c r="AH28" s="49">
        <v>0</v>
      </c>
      <c r="AI28" s="49">
        <v>0</v>
      </c>
    </row>
    <row r="29" spans="2:35" ht="14.25" customHeight="1" x14ac:dyDescent="0.35">
      <c r="B29" s="7" t="s">
        <v>41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32">
        <v>0</v>
      </c>
      <c r="Q29" s="32">
        <v>-79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-79</v>
      </c>
      <c r="AF29" s="58"/>
      <c r="AG29" s="49">
        <v>0</v>
      </c>
      <c r="AH29" s="49">
        <v>0</v>
      </c>
      <c r="AI29" s="49">
        <v>0</v>
      </c>
    </row>
    <row r="30" spans="2:35" ht="14.25" customHeight="1" x14ac:dyDescent="0.35">
      <c r="B30" s="7" t="s">
        <v>38</v>
      </c>
      <c r="C30" s="49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-4391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-4391</v>
      </c>
      <c r="AF30" s="58"/>
      <c r="AG30" s="49">
        <v>0</v>
      </c>
      <c r="AH30" s="49">
        <v>0</v>
      </c>
      <c r="AI30" s="49">
        <v>0</v>
      </c>
    </row>
    <row r="31" spans="2:35" ht="14.1" customHeight="1" x14ac:dyDescent="0.35">
      <c r="B31" s="7" t="s">
        <v>34</v>
      </c>
      <c r="C31" s="49">
        <v>-3869</v>
      </c>
      <c r="D31" s="49">
        <v>-7990</v>
      </c>
      <c r="E31" s="49">
        <v>-9360.0949999999993</v>
      </c>
      <c r="F31" s="49">
        <v>-4489.2879999999996</v>
      </c>
      <c r="G31" s="49">
        <v>-53870.641000000003</v>
      </c>
      <c r="H31" s="49">
        <v>-56058.641000000003</v>
      </c>
      <c r="I31" s="49">
        <v>44998</v>
      </c>
      <c r="J31" s="49">
        <v>46329</v>
      </c>
      <c r="K31" s="49">
        <v>30905</v>
      </c>
      <c r="L31" s="49">
        <v>29823</v>
      </c>
      <c r="M31" s="49">
        <v>8089</v>
      </c>
      <c r="N31" s="49">
        <v>-6983</v>
      </c>
      <c r="O31" s="49">
        <v>-43016</v>
      </c>
      <c r="P31" s="49">
        <v>-64559</v>
      </c>
      <c r="Q31" s="49">
        <v>4542</v>
      </c>
      <c r="S31" s="49">
        <v>-9360.0949999999993</v>
      </c>
      <c r="T31" s="49">
        <v>4870.8069999999998</v>
      </c>
      <c r="U31" s="49">
        <v>-49381.353000000003</v>
      </c>
      <c r="V31" s="49">
        <v>-2188</v>
      </c>
      <c r="W31" s="49">
        <v>44998</v>
      </c>
      <c r="X31" s="49">
        <v>1331</v>
      </c>
      <c r="Y31" s="49">
        <v>-15424</v>
      </c>
      <c r="Z31" s="49">
        <v>-1082</v>
      </c>
      <c r="AA31" s="49">
        <v>8089</v>
      </c>
      <c r="AB31" s="49">
        <v>-15072</v>
      </c>
      <c r="AC31" s="49">
        <v>-36033</v>
      </c>
      <c r="AD31" s="49">
        <v>-21543</v>
      </c>
      <c r="AE31" s="49">
        <v>4542</v>
      </c>
      <c r="AF31" s="58"/>
      <c r="AG31" s="49">
        <v>-48068.641000000003</v>
      </c>
      <c r="AH31" s="49">
        <v>85881.641000000003</v>
      </c>
      <c r="AI31" s="49">
        <v>-94382</v>
      </c>
    </row>
    <row r="32" spans="2:35" ht="14.25" customHeight="1" x14ac:dyDescent="0.35">
      <c r="B32" s="7" t="s">
        <v>48</v>
      </c>
      <c r="C32" s="49">
        <v>-12431</v>
      </c>
      <c r="D32" s="49">
        <v>14999</v>
      </c>
      <c r="E32" s="49">
        <v>126662.47413</v>
      </c>
      <c r="F32" s="49">
        <v>210703</v>
      </c>
      <c r="G32" s="49">
        <v>76888.790950000024</v>
      </c>
      <c r="H32" s="49">
        <v>58693.308300000004</v>
      </c>
      <c r="I32" s="49">
        <v>306161.13901000004</v>
      </c>
      <c r="J32" s="49">
        <v>527863.37894000008</v>
      </c>
      <c r="K32" s="49">
        <v>203265.00009000002</v>
      </c>
      <c r="L32" s="49">
        <v>51136</v>
      </c>
      <c r="M32" s="49">
        <v>570237</v>
      </c>
      <c r="N32" s="49">
        <v>987123</v>
      </c>
      <c r="O32" s="49">
        <v>489159</v>
      </c>
      <c r="P32" s="49">
        <v>423388</v>
      </c>
      <c r="Q32" s="49">
        <v>1405903</v>
      </c>
      <c r="S32" s="49">
        <v>126662.47413</v>
      </c>
      <c r="T32" s="49">
        <v>84040.525869999998</v>
      </c>
      <c r="U32" s="49">
        <v>-133814.20904999998</v>
      </c>
      <c r="V32" s="49">
        <v>-18195.48265000002</v>
      </c>
      <c r="W32" s="49">
        <v>306161.13901000004</v>
      </c>
      <c r="X32" s="49">
        <v>221702.23993000004</v>
      </c>
      <c r="Y32" s="49">
        <v>-324598.3788500001</v>
      </c>
      <c r="Z32" s="49">
        <v>-152129.00009000002</v>
      </c>
      <c r="AA32" s="49">
        <v>570237</v>
      </c>
      <c r="AB32" s="49">
        <v>416886</v>
      </c>
      <c r="AC32" s="49">
        <v>-497964</v>
      </c>
      <c r="AD32" s="49">
        <v>-65771</v>
      </c>
      <c r="AE32" s="49">
        <v>1405903</v>
      </c>
      <c r="AF32" s="58"/>
      <c r="AG32" s="49">
        <v>43694.308300000004</v>
      </c>
      <c r="AH32" s="49">
        <v>-7557.3083000000042</v>
      </c>
      <c r="AI32" s="49">
        <v>372252</v>
      </c>
    </row>
    <row r="33" spans="2:35" ht="14.25" customHeight="1" x14ac:dyDescent="0.35">
      <c r="B33" s="7" t="s">
        <v>272</v>
      </c>
      <c r="C33" s="49">
        <v>8854</v>
      </c>
      <c r="D33" s="49">
        <v>1934</v>
      </c>
      <c r="E33" s="49">
        <v>7293.61</v>
      </c>
      <c r="F33" s="49">
        <v>6348</v>
      </c>
      <c r="G33" s="49">
        <v>35671.816999999995</v>
      </c>
      <c r="H33" s="49">
        <v>18538.816999999999</v>
      </c>
      <c r="I33" s="49">
        <v>-14191</v>
      </c>
      <c r="J33" s="49">
        <v>-12930</v>
      </c>
      <c r="K33" s="49">
        <v>-1195</v>
      </c>
      <c r="L33" s="49">
        <v>-8439</v>
      </c>
      <c r="M33" s="49">
        <v>125</v>
      </c>
      <c r="N33" s="49">
        <v>4511</v>
      </c>
      <c r="O33" s="49">
        <v>55216</v>
      </c>
      <c r="P33" s="49">
        <v>6080</v>
      </c>
      <c r="Q33" s="49">
        <v>979</v>
      </c>
      <c r="S33" s="49">
        <v>7293.61</v>
      </c>
      <c r="T33" s="49">
        <v>-945.60999999999967</v>
      </c>
      <c r="U33" s="49">
        <v>29323.816999999995</v>
      </c>
      <c r="V33" s="49">
        <v>-17132.999999999996</v>
      </c>
      <c r="W33" s="49">
        <v>-14191</v>
      </c>
      <c r="X33" s="49">
        <v>1261</v>
      </c>
      <c r="Y33" s="49">
        <v>11735</v>
      </c>
      <c r="Z33" s="49">
        <v>-7244</v>
      </c>
      <c r="AA33" s="49">
        <v>125</v>
      </c>
      <c r="AB33" s="49">
        <v>4386</v>
      </c>
      <c r="AC33" s="49">
        <v>50705</v>
      </c>
      <c r="AD33" s="49">
        <v>-49136</v>
      </c>
      <c r="AE33" s="49">
        <v>979</v>
      </c>
      <c r="AF33" s="58"/>
      <c r="AG33" s="49">
        <v>16604.816999999999</v>
      </c>
      <c r="AH33" s="49">
        <v>-26977.816999999999</v>
      </c>
      <c r="AI33" s="49">
        <v>14519</v>
      </c>
    </row>
    <row r="34" spans="2:35" ht="14.25" customHeight="1" x14ac:dyDescent="0.35">
      <c r="B34" s="7" t="s">
        <v>273</v>
      </c>
      <c r="C34" s="32">
        <v>1631</v>
      </c>
      <c r="D34" s="32">
        <v>3078</v>
      </c>
      <c r="E34" s="32">
        <v>2710.5010000000002</v>
      </c>
      <c r="F34" s="32">
        <v>7523.4309999999996</v>
      </c>
      <c r="G34" s="32">
        <v>8694.0770000000011</v>
      </c>
      <c r="H34" s="32">
        <v>18145.077000000001</v>
      </c>
      <c r="I34" s="32">
        <v>5510</v>
      </c>
      <c r="J34" s="32">
        <v>13199</v>
      </c>
      <c r="K34" s="32">
        <v>-1448</v>
      </c>
      <c r="L34" s="32">
        <v>4642</v>
      </c>
      <c r="M34" s="32">
        <v>-2695</v>
      </c>
      <c r="N34" s="32">
        <v>1592</v>
      </c>
      <c r="O34" s="32">
        <v>8687</v>
      </c>
      <c r="P34" s="32">
        <v>19143</v>
      </c>
      <c r="Q34" s="32">
        <v>-9335</v>
      </c>
      <c r="S34" s="49">
        <v>2710.5010000000002</v>
      </c>
      <c r="T34" s="49">
        <v>4812.9299999999994</v>
      </c>
      <c r="U34" s="49">
        <v>1170.6460000000015</v>
      </c>
      <c r="V34" s="49">
        <v>9451</v>
      </c>
      <c r="W34" s="49">
        <v>5510</v>
      </c>
      <c r="X34" s="49">
        <v>7689</v>
      </c>
      <c r="Y34" s="49">
        <v>-14647</v>
      </c>
      <c r="Z34" s="49">
        <v>6090</v>
      </c>
      <c r="AA34" s="49">
        <v>-2695</v>
      </c>
      <c r="AB34" s="49">
        <v>4287</v>
      </c>
      <c r="AC34" s="49">
        <v>7095</v>
      </c>
      <c r="AD34" s="49">
        <v>10456</v>
      </c>
      <c r="AE34" s="49">
        <v>-9335</v>
      </c>
      <c r="AF34" s="58"/>
      <c r="AG34" s="49">
        <v>15067.077000000001</v>
      </c>
      <c r="AH34" s="49">
        <v>-13503.077000000001</v>
      </c>
      <c r="AI34" s="49">
        <v>14501</v>
      </c>
    </row>
    <row r="35" spans="2:35" ht="14.25" customHeight="1" x14ac:dyDescent="0.35">
      <c r="B35" s="7" t="s">
        <v>274</v>
      </c>
      <c r="C35" s="49">
        <v>4203</v>
      </c>
      <c r="D35" s="49">
        <v>17382.400000000001</v>
      </c>
      <c r="E35" s="49">
        <v>6735.2418099999995</v>
      </c>
      <c r="F35" s="49">
        <v>6397</v>
      </c>
      <c r="G35" s="49">
        <v>19117.004540000002</v>
      </c>
      <c r="H35" s="49">
        <v>12377.22625</v>
      </c>
      <c r="I35" s="49">
        <v>7424</v>
      </c>
      <c r="J35" s="49">
        <v>15602</v>
      </c>
      <c r="K35" s="49">
        <v>-22193.651070000004</v>
      </c>
      <c r="L35" s="49">
        <v>4026</v>
      </c>
      <c r="M35" s="49">
        <v>-7751</v>
      </c>
      <c r="N35" s="49">
        <v>303</v>
      </c>
      <c r="O35" s="49">
        <v>-30706</v>
      </c>
      <c r="P35" s="32">
        <v>-98364</v>
      </c>
      <c r="Q35" s="32">
        <v>-65462</v>
      </c>
      <c r="S35" s="49">
        <v>6735.2418099999995</v>
      </c>
      <c r="T35" s="49">
        <v>-338.24180999999953</v>
      </c>
      <c r="U35" s="49">
        <v>12720.004540000002</v>
      </c>
      <c r="V35" s="49">
        <v>-6739.778290000002</v>
      </c>
      <c r="W35" s="49">
        <v>7424</v>
      </c>
      <c r="X35" s="49">
        <v>8178</v>
      </c>
      <c r="Y35" s="49">
        <v>-37795.651070000007</v>
      </c>
      <c r="Z35" s="49">
        <v>26219.651070000004</v>
      </c>
      <c r="AA35" s="49">
        <v>-7751</v>
      </c>
      <c r="AB35" s="49">
        <v>8054</v>
      </c>
      <c r="AC35" s="49">
        <v>-31009</v>
      </c>
      <c r="AD35" s="49">
        <v>-67658</v>
      </c>
      <c r="AE35" s="49">
        <v>-65462</v>
      </c>
      <c r="AF35" s="58"/>
      <c r="AG35" s="49">
        <v>-5005.1737500000017</v>
      </c>
      <c r="AH35" s="49">
        <v>-8351.2262499999997</v>
      </c>
      <c r="AI35" s="49">
        <v>-102390</v>
      </c>
    </row>
    <row r="36" spans="2:35" ht="14.25" customHeight="1" x14ac:dyDescent="0.35">
      <c r="B36" s="7" t="s">
        <v>275</v>
      </c>
      <c r="C36" s="49">
        <v>1146</v>
      </c>
      <c r="D36" s="49">
        <v>-2547.6</v>
      </c>
      <c r="E36" s="49">
        <v>340.10523999999896</v>
      </c>
      <c r="F36" s="49">
        <v>-4513.5230000000001</v>
      </c>
      <c r="G36" s="49">
        <v>-16352.446</v>
      </c>
      <c r="H36" s="49">
        <v>-16577.414209999995</v>
      </c>
      <c r="I36" s="49">
        <v>-4175</v>
      </c>
      <c r="J36" s="49">
        <v>-7088.4474899999968</v>
      </c>
      <c r="K36" s="49">
        <v>-1350</v>
      </c>
      <c r="L36" s="49">
        <v>-23101</v>
      </c>
      <c r="M36" s="49">
        <v>-11326</v>
      </c>
      <c r="N36" s="49">
        <v>-45645.685774689322</v>
      </c>
      <c r="O36" s="49">
        <v>-34380</v>
      </c>
      <c r="P36" s="32">
        <v>-20489.74131999999</v>
      </c>
      <c r="Q36" s="32">
        <v>-16667</v>
      </c>
      <c r="S36" s="49">
        <v>340.10523999999896</v>
      </c>
      <c r="T36" s="49">
        <v>-4853.6282399999991</v>
      </c>
      <c r="U36" s="49">
        <v>-11838.922999999999</v>
      </c>
      <c r="V36" s="49">
        <v>-224.96820999999545</v>
      </c>
      <c r="W36" s="49">
        <v>-4175</v>
      </c>
      <c r="X36" s="49">
        <v>-2913.4474899999968</v>
      </c>
      <c r="Y36" s="49">
        <v>5738.4474899999968</v>
      </c>
      <c r="Z36" s="49">
        <v>-21751</v>
      </c>
      <c r="AA36" s="49">
        <v>-11326</v>
      </c>
      <c r="AB36" s="49">
        <v>-34319.685774689322</v>
      </c>
      <c r="AC36" s="49">
        <v>11265.685774689322</v>
      </c>
      <c r="AD36" s="49">
        <v>13890.25868000001</v>
      </c>
      <c r="AE36" s="49">
        <v>-16667</v>
      </c>
      <c r="AF36" s="58"/>
      <c r="AG36" s="49">
        <v>-14029.814209999995</v>
      </c>
      <c r="AH36" s="49">
        <v>-6523.5857900000046</v>
      </c>
      <c r="AI36" s="49">
        <v>2611.2586800000099</v>
      </c>
    </row>
    <row r="37" spans="2:35" ht="14.25" customHeight="1" x14ac:dyDescent="0.35">
      <c r="B37" s="6" t="s">
        <v>276</v>
      </c>
      <c r="C37" s="49">
        <v>-2593</v>
      </c>
      <c r="D37" s="49">
        <v>-27155</v>
      </c>
      <c r="E37" s="49">
        <v>-12931.99907</v>
      </c>
      <c r="F37" s="49">
        <v>-57648.482967850061</v>
      </c>
      <c r="G37" s="49">
        <v>-58680.413747850056</v>
      </c>
      <c r="H37" s="49">
        <v>-146780.21611284997</v>
      </c>
      <c r="I37" s="49">
        <v>-77469</v>
      </c>
      <c r="J37" s="49">
        <v>-144287.84698000003</v>
      </c>
      <c r="K37" s="49">
        <v>-243088.01243</v>
      </c>
      <c r="L37" s="49">
        <v>-289537</v>
      </c>
      <c r="M37" s="49">
        <v>-340001.08909090911</v>
      </c>
      <c r="N37" s="49">
        <v>-363844.07817090908</v>
      </c>
      <c r="O37" s="49">
        <v>-791033.9232575756</v>
      </c>
      <c r="P37" s="32">
        <v>-845530</v>
      </c>
      <c r="Q37" s="32">
        <v>-214319</v>
      </c>
      <c r="S37" s="49">
        <v>-12931.99907</v>
      </c>
      <c r="T37" s="49">
        <v>-44716.483897850063</v>
      </c>
      <c r="U37" s="49">
        <v>-1031.9307799999951</v>
      </c>
      <c r="V37" s="49">
        <v>-88099.802364999923</v>
      </c>
      <c r="W37" s="49">
        <v>-77469</v>
      </c>
      <c r="X37" s="49">
        <v>-66818.846980000031</v>
      </c>
      <c r="Y37" s="49">
        <v>-98800.165449999971</v>
      </c>
      <c r="Z37" s="49">
        <v>-46448.987569999998</v>
      </c>
      <c r="AA37" s="49">
        <v>-340001.08909090911</v>
      </c>
      <c r="AB37" s="49">
        <v>-23842.98907999997</v>
      </c>
      <c r="AC37" s="49">
        <v>-427189.84508666652</v>
      </c>
      <c r="AD37" s="49">
        <v>-54496.076742424397</v>
      </c>
      <c r="AE37" s="49">
        <v>-214319</v>
      </c>
      <c r="AF37" s="58"/>
      <c r="AG37" s="49">
        <v>-119625.21611284997</v>
      </c>
      <c r="AH37" s="49">
        <v>-142756.78388715003</v>
      </c>
      <c r="AI37" s="49">
        <v>-555993</v>
      </c>
    </row>
    <row r="38" spans="2:35" ht="14.25" customHeight="1" x14ac:dyDescent="0.35">
      <c r="B38" s="6" t="s">
        <v>277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160304.08909090911</v>
      </c>
      <c r="N38" s="49">
        <v>160304.08909090905</v>
      </c>
      <c r="O38" s="49">
        <v>339976.60659090901</v>
      </c>
      <c r="P38" s="49">
        <v>339977</v>
      </c>
      <c r="Q38" s="49">
        <v>151040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160304.08909090911</v>
      </c>
      <c r="AB38" s="49">
        <v>0</v>
      </c>
      <c r="AC38" s="49">
        <v>179672.51749999996</v>
      </c>
      <c r="AD38" s="49">
        <v>0.39340909098973498</v>
      </c>
      <c r="AE38" s="49">
        <v>151040</v>
      </c>
      <c r="AF38" s="58"/>
      <c r="AG38" s="49">
        <v>0</v>
      </c>
      <c r="AH38" s="49">
        <v>0</v>
      </c>
      <c r="AI38" s="49">
        <v>339977</v>
      </c>
    </row>
    <row r="39" spans="2:35" ht="14.25" customHeight="1" x14ac:dyDescent="0.35">
      <c r="B39" s="6" t="s">
        <v>278</v>
      </c>
      <c r="C39" s="6">
        <v>0</v>
      </c>
      <c r="D39" s="6">
        <v>-16446</v>
      </c>
      <c r="E39" s="6">
        <v>-7672.8398099999995</v>
      </c>
      <c r="F39" s="6">
        <v>-7672</v>
      </c>
      <c r="G39" s="6">
        <v>-8441.5875400000004</v>
      </c>
      <c r="H39" s="6">
        <v>-8445.8092500000002</v>
      </c>
      <c r="I39" s="6">
        <v>0</v>
      </c>
      <c r="J39" s="6">
        <v>0</v>
      </c>
      <c r="K39" s="6">
        <v>0</v>
      </c>
      <c r="L39" s="6">
        <v>0</v>
      </c>
      <c r="M39" s="49">
        <v>-25867</v>
      </c>
      <c r="N39" s="49">
        <v>-49042</v>
      </c>
      <c r="O39" s="49">
        <v>-63895</v>
      </c>
      <c r="P39" s="49">
        <v>-87860</v>
      </c>
      <c r="Q39" s="49">
        <v>0</v>
      </c>
      <c r="S39" s="49">
        <v>-7672.8398099999995</v>
      </c>
      <c r="T39" s="49">
        <v>0.83980999999948835</v>
      </c>
      <c r="U39" s="49">
        <v>-769.58754000000044</v>
      </c>
      <c r="V39" s="49">
        <v>-4.2217099999998027</v>
      </c>
      <c r="W39" s="49">
        <v>0</v>
      </c>
      <c r="X39" s="49">
        <v>0</v>
      </c>
      <c r="Y39" s="49">
        <v>0</v>
      </c>
      <c r="Z39" s="49">
        <v>0</v>
      </c>
      <c r="AA39" s="49">
        <v>-25867</v>
      </c>
      <c r="AB39" s="49">
        <v>-23175</v>
      </c>
      <c r="AC39" s="49">
        <v>-14853</v>
      </c>
      <c r="AD39" s="49">
        <v>-23965</v>
      </c>
      <c r="AE39" s="49">
        <v>0</v>
      </c>
      <c r="AF39" s="58"/>
      <c r="AG39" s="49">
        <v>8000.1907499999998</v>
      </c>
      <c r="AH39" s="49">
        <v>8445.8092500000002</v>
      </c>
      <c r="AI39" s="49">
        <v>-87860</v>
      </c>
    </row>
    <row r="40" spans="2:35" ht="14.25" customHeight="1" x14ac:dyDescent="0.35">
      <c r="B40" s="5" t="s">
        <v>96</v>
      </c>
      <c r="C40" s="33">
        <v>11156.622999999992</v>
      </c>
      <c r="D40" s="33">
        <v>72188.799999999988</v>
      </c>
      <c r="E40" s="33">
        <v>92390.704768714626</v>
      </c>
      <c r="F40" s="33">
        <v>-73367.420797386847</v>
      </c>
      <c r="G40" s="33">
        <v>-182384.12456836391</v>
      </c>
      <c r="H40" s="33">
        <v>-36288.755463826179</v>
      </c>
      <c r="I40" s="33">
        <v>348284.91057923285</v>
      </c>
      <c r="J40" s="33">
        <v>400995.62941497378</v>
      </c>
      <c r="K40" s="33">
        <v>-466123.68483057164</v>
      </c>
      <c r="L40" s="33">
        <v>67250</v>
      </c>
      <c r="M40" s="33">
        <v>563369</v>
      </c>
      <c r="N40" s="33">
        <v>-36248.677904689393</v>
      </c>
      <c r="O40" s="33">
        <v>640560.68333333335</v>
      </c>
      <c r="P40" s="33">
        <v>1449619.25868</v>
      </c>
      <c r="Q40" s="33">
        <v>1185266.5362064</v>
      </c>
      <c r="S40" s="33">
        <v>92390.704768714626</v>
      </c>
      <c r="T40" s="33">
        <v>-165758.12556610152</v>
      </c>
      <c r="U40" s="33">
        <v>-109016.70377097702</v>
      </c>
      <c r="V40" s="33">
        <v>146095.36910453771</v>
      </c>
      <c r="W40" s="33">
        <v>348284.91057923285</v>
      </c>
      <c r="X40" s="33">
        <v>52710.71883574099</v>
      </c>
      <c r="Y40" s="33">
        <v>-867119.31424554554</v>
      </c>
      <c r="Z40" s="33">
        <v>533373.68483057176</v>
      </c>
      <c r="AA40" s="33">
        <v>563369</v>
      </c>
      <c r="AB40" s="33">
        <v>-599617.67790468934</v>
      </c>
      <c r="AC40" s="33">
        <v>676809.3612380228</v>
      </c>
      <c r="AD40" s="33">
        <v>809058.57534666662</v>
      </c>
      <c r="AE40" s="33">
        <v>1185266.5362064</v>
      </c>
      <c r="AF40" s="58"/>
      <c r="AG40" s="33">
        <v>-108477.55546382614</v>
      </c>
      <c r="AH40" s="33">
        <v>103538.75546382612</v>
      </c>
      <c r="AI40" s="33">
        <v>1382369.25868</v>
      </c>
    </row>
    <row r="41" spans="2:35" ht="14.25" customHeight="1" x14ac:dyDescent="0.35">
      <c r="B41" s="5" t="s">
        <v>97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F41" s="58"/>
      <c r="AG41" s="33"/>
      <c r="AH41" s="33"/>
      <c r="AI41" s="33"/>
    </row>
    <row r="42" spans="2:35" ht="14.25" customHeight="1" x14ac:dyDescent="0.35">
      <c r="B42" s="7" t="s">
        <v>281</v>
      </c>
      <c r="C42" s="49">
        <v>-109254</v>
      </c>
      <c r="D42" s="49">
        <v>-383316</v>
      </c>
      <c r="E42" s="49">
        <v>-278594.58790825098</v>
      </c>
      <c r="F42" s="49">
        <v>-609587.22970596002</v>
      </c>
      <c r="G42" s="49">
        <v>-872364</v>
      </c>
      <c r="H42" s="49">
        <v>-1136347.22409285</v>
      </c>
      <c r="I42" s="49">
        <v>-280286.13901000004</v>
      </c>
      <c r="J42" s="49">
        <v>-426714.90081497381</v>
      </c>
      <c r="K42" s="49">
        <v>-507690.18094791751</v>
      </c>
      <c r="L42" s="49">
        <v>-615111</v>
      </c>
      <c r="M42" s="49">
        <v>-143572</v>
      </c>
      <c r="N42" s="49">
        <v>-273294</v>
      </c>
      <c r="O42" s="49">
        <v>-396315</v>
      </c>
      <c r="P42" s="49">
        <v>-609335</v>
      </c>
      <c r="Q42" s="49">
        <v>-282108</v>
      </c>
      <c r="S42" s="49">
        <v>-278594.58790825098</v>
      </c>
      <c r="T42" s="49">
        <v>-330992.64179770905</v>
      </c>
      <c r="U42" s="49">
        <v>-262776.77029403998</v>
      </c>
      <c r="V42" s="49">
        <v>-263983.22409285</v>
      </c>
      <c r="W42" s="49">
        <v>-280286.13901000004</v>
      </c>
      <c r="X42" s="49">
        <v>-146428.76180497376</v>
      </c>
      <c r="Y42" s="49">
        <v>-80975.280132943706</v>
      </c>
      <c r="Z42" s="49">
        <v>-107420.81905208249</v>
      </c>
      <c r="AA42" s="49">
        <v>-143572</v>
      </c>
      <c r="AB42" s="49">
        <v>-129722</v>
      </c>
      <c r="AC42" s="49">
        <v>-123021</v>
      </c>
      <c r="AD42" s="49">
        <v>-213020</v>
      </c>
      <c r="AE42" s="49">
        <v>-282108</v>
      </c>
      <c r="AF42" s="58"/>
      <c r="AG42" s="49">
        <v>-753031.22409285</v>
      </c>
      <c r="AH42" s="49">
        <v>521236.22409285</v>
      </c>
      <c r="AI42" s="49">
        <v>5776</v>
      </c>
    </row>
    <row r="43" spans="2:35" ht="14.25" customHeight="1" x14ac:dyDescent="0.35">
      <c r="B43" s="7" t="s">
        <v>259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58"/>
      <c r="AG43" s="49">
        <v>0</v>
      </c>
      <c r="AH43" s="49">
        <v>0</v>
      </c>
      <c r="AI43" s="49">
        <v>0</v>
      </c>
    </row>
    <row r="44" spans="2:35" ht="14.25" customHeight="1" x14ac:dyDescent="0.35">
      <c r="B44" s="7" t="s">
        <v>257</v>
      </c>
      <c r="C44" s="7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58"/>
      <c r="AG44" s="49">
        <v>0</v>
      </c>
      <c r="AH44" s="49">
        <v>0</v>
      </c>
      <c r="AI44" s="49">
        <v>0</v>
      </c>
    </row>
    <row r="45" spans="2:35" ht="14.25" customHeight="1" x14ac:dyDescent="0.35">
      <c r="B45" s="7" t="s">
        <v>282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-9918</v>
      </c>
      <c r="I45" s="49">
        <v>0</v>
      </c>
      <c r="J45" s="49">
        <v>3659</v>
      </c>
      <c r="K45" s="49">
        <v>5165.8732199999986</v>
      </c>
      <c r="L45" s="49">
        <v>4742</v>
      </c>
      <c r="M45" s="49">
        <v>-848</v>
      </c>
      <c r="N45" s="49">
        <v>-1238</v>
      </c>
      <c r="O45" s="49">
        <v>-2301</v>
      </c>
      <c r="P45" s="49">
        <v>-2724</v>
      </c>
      <c r="Q45" s="49">
        <v>213</v>
      </c>
      <c r="S45" s="49">
        <v>0</v>
      </c>
      <c r="T45" s="49">
        <v>0</v>
      </c>
      <c r="U45" s="49">
        <v>0</v>
      </c>
      <c r="V45" s="49">
        <v>-9918</v>
      </c>
      <c r="W45" s="49">
        <v>0</v>
      </c>
      <c r="X45" s="49">
        <v>3659</v>
      </c>
      <c r="Y45" s="49">
        <v>1506.8732199999986</v>
      </c>
      <c r="Z45" s="49">
        <v>-423.87321999999858</v>
      </c>
      <c r="AA45" s="49">
        <v>-848</v>
      </c>
      <c r="AB45" s="49">
        <v>-390</v>
      </c>
      <c r="AC45" s="49">
        <v>-1063</v>
      </c>
      <c r="AD45" s="49">
        <v>-423</v>
      </c>
      <c r="AE45" s="49">
        <v>213</v>
      </c>
      <c r="AF45" s="58"/>
      <c r="AG45" s="49">
        <v>-9918</v>
      </c>
      <c r="AH45" s="49">
        <v>14660</v>
      </c>
      <c r="AI45" s="49">
        <v>-7466</v>
      </c>
    </row>
    <row r="46" spans="2:35" ht="14.25" customHeight="1" x14ac:dyDescent="0.35">
      <c r="B46" s="7" t="s">
        <v>98</v>
      </c>
      <c r="C46" s="49">
        <v>-15465</v>
      </c>
      <c r="D46" s="49">
        <v>-42862</v>
      </c>
      <c r="E46" s="49">
        <v>-9984.7356400000008</v>
      </c>
      <c r="F46" s="49">
        <v>-26470.612252149935</v>
      </c>
      <c r="G46" s="49">
        <v>-30275.26325214994</v>
      </c>
      <c r="H46" s="49">
        <v>-65408.434077150014</v>
      </c>
      <c r="I46" s="49">
        <v>-17131</v>
      </c>
      <c r="J46" s="49">
        <v>-36971</v>
      </c>
      <c r="K46" s="49">
        <v>-55060</v>
      </c>
      <c r="L46" s="49">
        <v>-72259</v>
      </c>
      <c r="M46" s="49">
        <v>-751</v>
      </c>
      <c r="N46" s="49">
        <v>-874</v>
      </c>
      <c r="O46" s="49">
        <v>-918</v>
      </c>
      <c r="P46" s="49">
        <v>-1499</v>
      </c>
      <c r="Q46" s="49">
        <v>-58</v>
      </c>
      <c r="S46" s="49">
        <v>-9984.7356400000008</v>
      </c>
      <c r="T46" s="49">
        <v>-16485.876612149936</v>
      </c>
      <c r="U46" s="49">
        <v>-3804.6510000000053</v>
      </c>
      <c r="V46" s="49">
        <v>-35133.170825000074</v>
      </c>
      <c r="W46" s="49">
        <v>-17131</v>
      </c>
      <c r="X46" s="49">
        <v>-19840</v>
      </c>
      <c r="Y46" s="49">
        <v>-18089</v>
      </c>
      <c r="Z46" s="49">
        <v>-17199</v>
      </c>
      <c r="AA46" s="49">
        <v>-751</v>
      </c>
      <c r="AB46" s="49">
        <v>-123</v>
      </c>
      <c r="AC46" s="49">
        <v>-44</v>
      </c>
      <c r="AD46" s="49">
        <v>-581</v>
      </c>
      <c r="AE46" s="49">
        <v>-58</v>
      </c>
      <c r="AF46" s="58"/>
      <c r="AG46" s="49">
        <v>-22546.434077150014</v>
      </c>
      <c r="AH46" s="49">
        <v>-6850.5659228499862</v>
      </c>
      <c r="AI46" s="49">
        <v>70760</v>
      </c>
    </row>
    <row r="47" spans="2:35" ht="14.25" customHeight="1" x14ac:dyDescent="0.35">
      <c r="B47" s="7" t="s">
        <v>283</v>
      </c>
      <c r="C47" s="49">
        <v>-537</v>
      </c>
      <c r="D47" s="49">
        <v>-3536</v>
      </c>
      <c r="E47" s="49">
        <v>-2226.9593300000001</v>
      </c>
      <c r="F47" s="49">
        <v>-2879.6559600000001</v>
      </c>
      <c r="G47" s="49">
        <v>-4069.9750899999999</v>
      </c>
      <c r="H47" s="49">
        <v>-7261.8072499999998</v>
      </c>
      <c r="I47" s="49">
        <v>-1114</v>
      </c>
      <c r="J47" s="49">
        <v>-1020.5442499999999</v>
      </c>
      <c r="K47" s="49">
        <v>-6190.7838200000006</v>
      </c>
      <c r="L47" s="49">
        <v>-4550</v>
      </c>
      <c r="M47" s="49">
        <v>-1143</v>
      </c>
      <c r="N47" s="49">
        <v>-3806</v>
      </c>
      <c r="O47" s="49">
        <v>-5164</v>
      </c>
      <c r="P47" s="49">
        <v>-7433</v>
      </c>
      <c r="Q47" s="49">
        <v>0</v>
      </c>
      <c r="S47" s="49">
        <v>-2226.9593300000001</v>
      </c>
      <c r="T47" s="49">
        <v>-652.69662999999991</v>
      </c>
      <c r="U47" s="49">
        <v>-1190.3191299999999</v>
      </c>
      <c r="V47" s="49">
        <v>-3191.8321599999999</v>
      </c>
      <c r="W47" s="49">
        <v>-1114</v>
      </c>
      <c r="X47" s="49">
        <v>93.45575000000008</v>
      </c>
      <c r="Y47" s="49">
        <v>-5170.2395700000006</v>
      </c>
      <c r="Z47" s="49">
        <v>1640.7838200000006</v>
      </c>
      <c r="AA47" s="49">
        <v>-1143</v>
      </c>
      <c r="AB47" s="49">
        <v>-2663</v>
      </c>
      <c r="AC47" s="49">
        <v>-1358</v>
      </c>
      <c r="AD47" s="49">
        <v>-2269</v>
      </c>
      <c r="AE47" s="49">
        <v>0</v>
      </c>
      <c r="AF47" s="58"/>
      <c r="AG47" s="49">
        <v>-3725.8072499999998</v>
      </c>
      <c r="AH47" s="49">
        <v>2711.8072499999998</v>
      </c>
      <c r="AI47" s="49">
        <v>-2883</v>
      </c>
    </row>
    <row r="48" spans="2:35" ht="14.25" customHeight="1" x14ac:dyDescent="0.35">
      <c r="B48" s="7" t="s">
        <v>279</v>
      </c>
      <c r="C48" s="7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-276759.52380952385</v>
      </c>
      <c r="P48" s="49">
        <v>-276760</v>
      </c>
      <c r="Q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-276759.52380952385</v>
      </c>
      <c r="AD48" s="49">
        <v>-0.47619047615444288</v>
      </c>
      <c r="AE48" s="49">
        <v>0</v>
      </c>
      <c r="AF48" s="58"/>
      <c r="AG48" s="49">
        <v>0</v>
      </c>
      <c r="AH48" s="49">
        <v>0</v>
      </c>
      <c r="AI48" s="49">
        <v>-276760</v>
      </c>
    </row>
    <row r="49" spans="2:35" ht="14.25" customHeight="1" x14ac:dyDescent="0.35">
      <c r="B49" s="7" t="s">
        <v>284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-77</v>
      </c>
      <c r="K49" s="49">
        <v>-79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-77</v>
      </c>
      <c r="Y49" s="49">
        <v>-2</v>
      </c>
      <c r="Z49" s="49">
        <v>79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58"/>
      <c r="AG49" s="49">
        <v>0</v>
      </c>
      <c r="AH49" s="49">
        <v>0</v>
      </c>
      <c r="AI49" s="49">
        <v>0</v>
      </c>
    </row>
    <row r="50" spans="2:35" ht="14.25" customHeight="1" x14ac:dyDescent="0.35">
      <c r="B50" s="7" t="s">
        <v>285</v>
      </c>
      <c r="C50" s="49">
        <v>-207121</v>
      </c>
      <c r="D50" s="49">
        <v>192617</v>
      </c>
      <c r="E50" s="49">
        <v>-10603.062</v>
      </c>
      <c r="F50" s="49">
        <v>-32492</v>
      </c>
      <c r="G50" s="49">
        <v>-112407.77800000001</v>
      </c>
      <c r="H50" s="49">
        <v>-62772.035000000003</v>
      </c>
      <c r="I50" s="49">
        <v>79545</v>
      </c>
      <c r="J50" s="49">
        <v>79505</v>
      </c>
      <c r="K50" s="49">
        <v>-2697772</v>
      </c>
      <c r="L50" s="49">
        <v>-3011242</v>
      </c>
      <c r="M50" s="49">
        <v>8630</v>
      </c>
      <c r="N50" s="49">
        <v>18768</v>
      </c>
      <c r="O50" s="49">
        <v>30319</v>
      </c>
      <c r="P50" s="49">
        <v>-96476</v>
      </c>
      <c r="Q50" s="49">
        <v>138371</v>
      </c>
      <c r="S50" s="49">
        <v>-10603.062</v>
      </c>
      <c r="T50" s="49">
        <v>-21888.938000000002</v>
      </c>
      <c r="U50" s="49">
        <v>-79915.778000000006</v>
      </c>
      <c r="V50" s="49">
        <v>49635.743000000002</v>
      </c>
      <c r="W50" s="49">
        <v>79545</v>
      </c>
      <c r="X50" s="49">
        <v>-40</v>
      </c>
      <c r="Y50" s="49">
        <v>-2777277</v>
      </c>
      <c r="Z50" s="49">
        <v>-313470</v>
      </c>
      <c r="AA50" s="49">
        <v>8630</v>
      </c>
      <c r="AB50" s="49">
        <v>10138</v>
      </c>
      <c r="AC50" s="49">
        <v>11551</v>
      </c>
      <c r="AD50" s="49">
        <v>-126795</v>
      </c>
      <c r="AE50" s="49">
        <v>138371</v>
      </c>
      <c r="AF50" s="58"/>
      <c r="AG50" s="49">
        <v>-255389.035</v>
      </c>
      <c r="AH50" s="49">
        <v>-2948469.9649999999</v>
      </c>
      <c r="AI50" s="49">
        <v>2914766</v>
      </c>
    </row>
    <row r="51" spans="2:35" ht="14.25" customHeight="1" x14ac:dyDescent="0.35">
      <c r="B51" s="7" t="s">
        <v>286</v>
      </c>
      <c r="C51" s="49">
        <v>-12252</v>
      </c>
      <c r="D51" s="49">
        <v>-6948</v>
      </c>
      <c r="E51" s="49">
        <v>-4701.0050000000001</v>
      </c>
      <c r="F51" s="49">
        <v>-20391.112000000001</v>
      </c>
      <c r="G51" s="49">
        <v>-38201.574999999997</v>
      </c>
      <c r="H51" s="49">
        <v>-53355.574999999997</v>
      </c>
      <c r="I51" s="49">
        <v>-589716</v>
      </c>
      <c r="J51" s="49">
        <v>-175226</v>
      </c>
      <c r="K51" s="49">
        <v>-28066.034520000005</v>
      </c>
      <c r="L51" s="49">
        <v>46942</v>
      </c>
      <c r="M51" s="49">
        <v>-142229</v>
      </c>
      <c r="N51" s="49">
        <v>-86741</v>
      </c>
      <c r="O51" s="49">
        <v>-63776</v>
      </c>
      <c r="P51" s="49">
        <v>-371647</v>
      </c>
      <c r="Q51" s="49">
        <v>41086</v>
      </c>
      <c r="S51" s="49">
        <v>-4701.0050000000001</v>
      </c>
      <c r="T51" s="49">
        <v>-15690.107</v>
      </c>
      <c r="U51" s="49">
        <v>-17810.462999999996</v>
      </c>
      <c r="V51" s="49">
        <v>-15154</v>
      </c>
      <c r="W51" s="49">
        <v>-589716</v>
      </c>
      <c r="X51" s="49">
        <v>414490</v>
      </c>
      <c r="Y51" s="49">
        <v>147159.96547999998</v>
      </c>
      <c r="Z51" s="49">
        <v>75008.034520000001</v>
      </c>
      <c r="AA51" s="49">
        <v>-142229</v>
      </c>
      <c r="AB51" s="49">
        <v>55488</v>
      </c>
      <c r="AC51" s="49">
        <v>22965</v>
      </c>
      <c r="AD51" s="49">
        <v>-307871</v>
      </c>
      <c r="AE51" s="49">
        <v>41086</v>
      </c>
      <c r="AF51" s="58"/>
      <c r="AG51" s="49">
        <v>-46407.574999999997</v>
      </c>
      <c r="AH51" s="49">
        <v>100297.575</v>
      </c>
      <c r="AI51" s="49">
        <v>-418589</v>
      </c>
    </row>
    <row r="52" spans="2:35" ht="14.25" customHeight="1" x14ac:dyDescent="0.35">
      <c r="B52" s="5" t="s">
        <v>192</v>
      </c>
      <c r="C52" s="33">
        <v>-344629</v>
      </c>
      <c r="D52" s="33">
        <v>-244045</v>
      </c>
      <c r="E52" s="33">
        <v>-306110.34987825097</v>
      </c>
      <c r="F52" s="33">
        <v>-691820.60991810996</v>
      </c>
      <c r="G52" s="33">
        <v>-1057318.59134215</v>
      </c>
      <c r="H52" s="33">
        <v>-1335063.0754199999</v>
      </c>
      <c r="I52" s="33">
        <v>-808702.13901000004</v>
      </c>
      <c r="J52" s="33">
        <v>-556845.44506497378</v>
      </c>
      <c r="K52" s="33">
        <v>-3289692.1260679178</v>
      </c>
      <c r="L52" s="33">
        <v>-3651478</v>
      </c>
      <c r="M52" s="33">
        <v>-279913</v>
      </c>
      <c r="N52" s="33">
        <v>-347185</v>
      </c>
      <c r="O52" s="33">
        <v>-714914.52380952379</v>
      </c>
      <c r="P52" s="33">
        <v>-1365874</v>
      </c>
      <c r="Q52" s="33">
        <v>-102496</v>
      </c>
      <c r="S52" s="71">
        <v>-306110.34987825097</v>
      </c>
      <c r="T52" s="71">
        <v>-385710.26003985904</v>
      </c>
      <c r="U52" s="71">
        <v>-365497.98142403999</v>
      </c>
      <c r="V52" s="71">
        <v>-277744.48407785007</v>
      </c>
      <c r="W52" s="71">
        <v>-808702.13901000004</v>
      </c>
      <c r="X52" s="71">
        <v>251856.69394502623</v>
      </c>
      <c r="Y52" s="71">
        <v>-2732846.6810029438</v>
      </c>
      <c r="Z52" s="71">
        <v>-361785.8739320825</v>
      </c>
      <c r="AA52" s="71">
        <v>-279913</v>
      </c>
      <c r="AB52" s="71">
        <v>-67272</v>
      </c>
      <c r="AC52" s="71">
        <v>-367729.52380952385</v>
      </c>
      <c r="AD52" s="71">
        <v>-650959.47619047621</v>
      </c>
      <c r="AE52" s="71">
        <v>-102496</v>
      </c>
      <c r="AF52" s="58"/>
      <c r="AG52" s="71">
        <v>-1091018.0754199999</v>
      </c>
      <c r="AH52" s="71">
        <v>-2316414.9245799999</v>
      </c>
      <c r="AI52" s="71">
        <v>2285604</v>
      </c>
    </row>
    <row r="53" spans="2:35" ht="14.25" customHeight="1" x14ac:dyDescent="0.35">
      <c r="B53" s="5" t="s">
        <v>193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S53" s="33"/>
      <c r="T53" s="33"/>
      <c r="U53" s="33"/>
      <c r="V53" s="33"/>
      <c r="W53" s="33"/>
      <c r="X53" s="33"/>
      <c r="Y53" s="33"/>
      <c r="Z53" s="33"/>
      <c r="AA53" s="33"/>
      <c r="AB53" s="33"/>
      <c r="AF53" s="58"/>
      <c r="AG53" s="33"/>
      <c r="AH53" s="33"/>
      <c r="AI53" s="33"/>
    </row>
    <row r="54" spans="2:35" ht="14.25" customHeight="1" x14ac:dyDescent="0.35">
      <c r="B54" s="7" t="s">
        <v>287</v>
      </c>
      <c r="C54" s="49">
        <v>280224</v>
      </c>
      <c r="D54" s="49">
        <v>257821</v>
      </c>
      <c r="E54" s="49">
        <v>296603.58</v>
      </c>
      <c r="F54" s="49">
        <v>844272.08</v>
      </c>
      <c r="G54" s="49">
        <v>1341886.486</v>
      </c>
      <c r="H54" s="49">
        <v>1833282</v>
      </c>
      <c r="I54" s="49">
        <v>575453</v>
      </c>
      <c r="J54" s="49">
        <v>671185.772</v>
      </c>
      <c r="K54" s="49">
        <v>6368059.33005</v>
      </c>
      <c r="L54" s="49">
        <v>6963799</v>
      </c>
      <c r="M54" s="49">
        <v>80000</v>
      </c>
      <c r="N54" s="49">
        <v>820848</v>
      </c>
      <c r="O54" s="49">
        <v>1319440</v>
      </c>
      <c r="P54" s="49">
        <v>2627332</v>
      </c>
      <c r="Q54" s="49">
        <v>1294711</v>
      </c>
      <c r="S54" s="49">
        <v>296603.58</v>
      </c>
      <c r="T54" s="49">
        <v>547668.5</v>
      </c>
      <c r="U54" s="49">
        <v>497614.40600000008</v>
      </c>
      <c r="V54" s="49">
        <v>491395.51399999997</v>
      </c>
      <c r="W54" s="49">
        <v>575453</v>
      </c>
      <c r="X54" s="49">
        <v>95732.771999999997</v>
      </c>
      <c r="Y54" s="49">
        <v>5696873.5580500001</v>
      </c>
      <c r="Z54" s="49">
        <v>595739.66995000001</v>
      </c>
      <c r="AA54" s="49">
        <v>80000</v>
      </c>
      <c r="AB54" s="49">
        <v>740848</v>
      </c>
      <c r="AC54" s="49">
        <v>498592</v>
      </c>
      <c r="AD54" s="49">
        <v>1307892</v>
      </c>
      <c r="AE54" s="49">
        <v>1294711</v>
      </c>
      <c r="AF54" s="58"/>
      <c r="AG54" s="49">
        <v>1575461</v>
      </c>
      <c r="AH54" s="49">
        <v>5130517</v>
      </c>
      <c r="AI54" s="49">
        <v>-4336467</v>
      </c>
    </row>
    <row r="55" spans="2:35" ht="14.25" customHeight="1" x14ac:dyDescent="0.35">
      <c r="B55" s="7" t="s">
        <v>288</v>
      </c>
      <c r="C55" s="49">
        <v>22660</v>
      </c>
      <c r="D55" s="49">
        <v>-39591</v>
      </c>
      <c r="E55" s="49">
        <v>-4505.8090000000002</v>
      </c>
      <c r="F55" s="49">
        <v>-19048</v>
      </c>
      <c r="G55" s="49">
        <v>-48133.31</v>
      </c>
      <c r="H55" s="49">
        <v>-63602.681969999998</v>
      </c>
      <c r="I55" s="49">
        <v>0</v>
      </c>
      <c r="J55" s="49">
        <v>0</v>
      </c>
      <c r="K55" s="49">
        <v>-47586</v>
      </c>
      <c r="L55" s="49">
        <v>-48560</v>
      </c>
      <c r="M55" s="49">
        <v>0</v>
      </c>
      <c r="N55" s="49">
        <v>0</v>
      </c>
      <c r="O55" s="49">
        <v>0</v>
      </c>
      <c r="P55" s="49">
        <v>0</v>
      </c>
      <c r="Q55" s="49">
        <v>-27127</v>
      </c>
      <c r="S55" s="49">
        <v>-4505.8090000000002</v>
      </c>
      <c r="T55" s="49">
        <v>-14542.190999999999</v>
      </c>
      <c r="U55" s="49">
        <v>-29085.309999999998</v>
      </c>
      <c r="V55" s="49">
        <v>-15469.37197</v>
      </c>
      <c r="W55" s="49">
        <v>0</v>
      </c>
      <c r="X55" s="49">
        <v>0</v>
      </c>
      <c r="Y55" s="49">
        <v>-47586</v>
      </c>
      <c r="Z55" s="49">
        <v>-974</v>
      </c>
      <c r="AA55" s="49">
        <v>0</v>
      </c>
      <c r="AB55" s="49">
        <v>0</v>
      </c>
      <c r="AC55" s="49">
        <v>0</v>
      </c>
      <c r="AD55" s="49">
        <v>0</v>
      </c>
      <c r="AE55" s="49">
        <v>-27127</v>
      </c>
      <c r="AF55" s="58"/>
      <c r="AG55" s="49">
        <v>-24011.681969999998</v>
      </c>
      <c r="AH55" s="49">
        <v>15042.681969999998</v>
      </c>
      <c r="AI55" s="49">
        <v>48560</v>
      </c>
    </row>
    <row r="56" spans="2:35" ht="14.25" customHeight="1" x14ac:dyDescent="0.35">
      <c r="B56" s="7" t="s">
        <v>289</v>
      </c>
      <c r="C56" s="49">
        <v>-2000</v>
      </c>
      <c r="D56" s="49">
        <v>-28581</v>
      </c>
      <c r="E56" s="49">
        <v>-36624.249000000003</v>
      </c>
      <c r="F56" s="49">
        <v>-39624.249000000003</v>
      </c>
      <c r="G56" s="49">
        <v>-46390.555</v>
      </c>
      <c r="H56" s="49">
        <v>-68291</v>
      </c>
      <c r="I56" s="49">
        <v>-194624</v>
      </c>
      <c r="J56" s="49">
        <v>-325700.30429</v>
      </c>
      <c r="K56" s="49">
        <v>-2279823</v>
      </c>
      <c r="L56" s="49">
        <v>-2690840</v>
      </c>
      <c r="M56" s="49">
        <v>-159130</v>
      </c>
      <c r="N56" s="49">
        <v>-180340</v>
      </c>
      <c r="O56" s="49">
        <v>-194630</v>
      </c>
      <c r="P56" s="49">
        <v>-657047</v>
      </c>
      <c r="Q56" s="49">
        <v>-520174</v>
      </c>
      <c r="S56" s="49">
        <v>-36624.249000000003</v>
      </c>
      <c r="T56" s="49">
        <v>-3000</v>
      </c>
      <c r="U56" s="49">
        <v>-6766.3059999999969</v>
      </c>
      <c r="V56" s="49">
        <v>-21900.445</v>
      </c>
      <c r="W56" s="49">
        <v>-194624</v>
      </c>
      <c r="X56" s="49">
        <v>-131076.30429</v>
      </c>
      <c r="Y56" s="49">
        <v>-1954122.6957100001</v>
      </c>
      <c r="Z56" s="49">
        <v>-411017</v>
      </c>
      <c r="AA56" s="49">
        <v>-159130</v>
      </c>
      <c r="AB56" s="49">
        <v>-21210</v>
      </c>
      <c r="AC56" s="49">
        <v>-14290</v>
      </c>
      <c r="AD56" s="49">
        <v>-462417</v>
      </c>
      <c r="AE56" s="49">
        <v>-520174</v>
      </c>
      <c r="AF56" s="58"/>
      <c r="AG56" s="49">
        <v>-39710</v>
      </c>
      <c r="AH56" s="49">
        <v>-2622549</v>
      </c>
      <c r="AI56" s="49">
        <v>2033793</v>
      </c>
    </row>
    <row r="57" spans="2:35" ht="14.25" customHeight="1" x14ac:dyDescent="0.35">
      <c r="B57" s="7" t="s">
        <v>290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58"/>
      <c r="AG57" s="49">
        <v>0</v>
      </c>
      <c r="AH57" s="49">
        <v>0</v>
      </c>
      <c r="AI57" s="49">
        <v>0</v>
      </c>
    </row>
    <row r="58" spans="2:35" ht="14.25" customHeight="1" x14ac:dyDescent="0.35">
      <c r="B58" s="7" t="s">
        <v>291</v>
      </c>
      <c r="C58" s="49">
        <v>0</v>
      </c>
      <c r="D58" s="49">
        <v>-16031</v>
      </c>
      <c r="E58" s="49">
        <v>0</v>
      </c>
      <c r="F58" s="49">
        <v>0</v>
      </c>
      <c r="G58" s="49">
        <v>0</v>
      </c>
      <c r="H58" s="49">
        <v>-31318</v>
      </c>
      <c r="I58" s="49">
        <v>0</v>
      </c>
      <c r="J58" s="49">
        <v>0</v>
      </c>
      <c r="K58" s="49">
        <v>0</v>
      </c>
      <c r="L58" s="49">
        <v>0</v>
      </c>
      <c r="M58" s="49">
        <v>-254275</v>
      </c>
      <c r="N58" s="49">
        <v>-513720</v>
      </c>
      <c r="O58" s="49">
        <v>-856023</v>
      </c>
      <c r="P58" s="49">
        <v>-1143720</v>
      </c>
      <c r="Q58" s="49">
        <v>-377500</v>
      </c>
      <c r="S58" s="49">
        <v>0</v>
      </c>
      <c r="T58" s="49">
        <v>0</v>
      </c>
      <c r="U58" s="49">
        <v>0</v>
      </c>
      <c r="V58" s="49">
        <v>-31318</v>
      </c>
      <c r="W58" s="49">
        <v>0</v>
      </c>
      <c r="X58" s="49">
        <v>0</v>
      </c>
      <c r="Y58" s="49">
        <v>0</v>
      </c>
      <c r="Z58" s="49">
        <v>0</v>
      </c>
      <c r="AA58" s="49">
        <v>-254275</v>
      </c>
      <c r="AB58" s="49">
        <v>-259445</v>
      </c>
      <c r="AC58" s="49">
        <v>-342303</v>
      </c>
      <c r="AD58" s="49">
        <v>-287697</v>
      </c>
      <c r="AE58" s="49">
        <v>-377500</v>
      </c>
      <c r="AF58" s="58"/>
      <c r="AG58" s="49">
        <v>-15287</v>
      </c>
      <c r="AH58" s="49">
        <v>31318</v>
      </c>
      <c r="AI58" s="49">
        <v>-1143720</v>
      </c>
    </row>
    <row r="59" spans="2:35" ht="14.1" customHeight="1" x14ac:dyDescent="0.35">
      <c r="B59" s="7" t="s">
        <v>292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-693</v>
      </c>
      <c r="J59" s="49">
        <v>-693</v>
      </c>
      <c r="K59" s="49">
        <v>-4193</v>
      </c>
      <c r="L59" s="49">
        <v>-4725</v>
      </c>
      <c r="M59" s="49">
        <v>-893</v>
      </c>
      <c r="N59" s="49">
        <v>-2538</v>
      </c>
      <c r="O59" s="49">
        <v>-5061</v>
      </c>
      <c r="P59" s="49">
        <v>-14729</v>
      </c>
      <c r="Q59" s="49">
        <v>-11519</v>
      </c>
      <c r="S59" s="49">
        <v>0</v>
      </c>
      <c r="T59" s="49">
        <v>0</v>
      </c>
      <c r="U59" s="49">
        <v>0</v>
      </c>
      <c r="V59" s="49">
        <v>0</v>
      </c>
      <c r="W59" s="49">
        <v>-693</v>
      </c>
      <c r="X59" s="49">
        <v>0</v>
      </c>
      <c r="Y59" s="49">
        <v>-3500</v>
      </c>
      <c r="Z59" s="49">
        <v>-532</v>
      </c>
      <c r="AA59" s="49">
        <v>-893</v>
      </c>
      <c r="AB59" s="49">
        <v>-1645</v>
      </c>
      <c r="AC59" s="49">
        <v>-2523</v>
      </c>
      <c r="AD59" s="49">
        <v>-9668</v>
      </c>
      <c r="AE59" s="49">
        <v>-11519</v>
      </c>
      <c r="AF59" s="58"/>
      <c r="AG59" s="49">
        <v>0</v>
      </c>
      <c r="AH59" s="49">
        <v>-4725</v>
      </c>
      <c r="AI59" s="49">
        <v>-10004</v>
      </c>
    </row>
    <row r="60" spans="2:35" ht="14.25" customHeight="1" x14ac:dyDescent="0.35">
      <c r="B60" s="7" t="s">
        <v>293</v>
      </c>
      <c r="C60" s="49">
        <v>35368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4504</v>
      </c>
      <c r="L60" s="49">
        <v>4425</v>
      </c>
      <c r="M60" s="49">
        <v>0</v>
      </c>
      <c r="N60" s="49">
        <v>0</v>
      </c>
      <c r="O60" s="49">
        <v>0</v>
      </c>
      <c r="P60" s="49">
        <v>0</v>
      </c>
      <c r="Q60" s="49">
        <v>37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4504</v>
      </c>
      <c r="Z60" s="49">
        <v>-79</v>
      </c>
      <c r="AA60" s="49">
        <v>0</v>
      </c>
      <c r="AB60" s="49">
        <v>0</v>
      </c>
      <c r="AC60" s="49">
        <v>0</v>
      </c>
      <c r="AD60" s="49">
        <v>0</v>
      </c>
      <c r="AE60" s="49">
        <v>37</v>
      </c>
      <c r="AF60" s="58"/>
      <c r="AG60" s="49">
        <v>0</v>
      </c>
      <c r="AH60" s="49">
        <v>4425</v>
      </c>
      <c r="AI60" s="49">
        <v>-4425</v>
      </c>
    </row>
    <row r="61" spans="2:35" ht="14.25" customHeight="1" x14ac:dyDescent="0.35">
      <c r="B61" s="7" t="s">
        <v>294</v>
      </c>
      <c r="C61" s="49">
        <v>5026</v>
      </c>
      <c r="D61" s="49">
        <v>0</v>
      </c>
      <c r="E61" s="49">
        <v>-11744.802</v>
      </c>
      <c r="F61" s="49">
        <v>0</v>
      </c>
      <c r="G61" s="49">
        <v>-170.41500000000087</v>
      </c>
      <c r="H61" s="49">
        <v>0</v>
      </c>
      <c r="I61" s="49">
        <v>1273</v>
      </c>
      <c r="J61" s="49">
        <v>0</v>
      </c>
      <c r="K61" s="49">
        <v>-1314.5032500000016</v>
      </c>
      <c r="L61" s="49">
        <v>-1410</v>
      </c>
      <c r="M61" s="49">
        <v>-37758</v>
      </c>
      <c r="N61" s="49">
        <v>98</v>
      </c>
      <c r="O61" s="49">
        <v>-82461</v>
      </c>
      <c r="P61" s="49">
        <v>-103236</v>
      </c>
      <c r="Q61" s="49">
        <v>-272182</v>
      </c>
      <c r="S61" s="49">
        <v>-11744.802</v>
      </c>
      <c r="T61" s="49">
        <v>11744.802</v>
      </c>
      <c r="U61" s="49">
        <v>-170.41500000000087</v>
      </c>
      <c r="V61" s="49">
        <v>170.41500000000087</v>
      </c>
      <c r="W61" s="49">
        <v>1273</v>
      </c>
      <c r="X61" s="49">
        <v>-1273</v>
      </c>
      <c r="Y61" s="49">
        <v>-1314.5032500000016</v>
      </c>
      <c r="Z61" s="49">
        <v>-95.496749999998428</v>
      </c>
      <c r="AA61" s="49">
        <v>-37758</v>
      </c>
      <c r="AB61" s="49">
        <v>37856</v>
      </c>
      <c r="AC61" s="49">
        <v>-82559</v>
      </c>
      <c r="AD61" s="49">
        <v>-20775</v>
      </c>
      <c r="AE61" s="49">
        <v>-272182</v>
      </c>
      <c r="AF61" s="58"/>
      <c r="AG61" s="49">
        <v>0</v>
      </c>
      <c r="AH61" s="49">
        <v>0</v>
      </c>
      <c r="AI61" s="49">
        <v>0</v>
      </c>
    </row>
    <row r="62" spans="2:35" ht="14.25" customHeight="1" x14ac:dyDescent="0.35">
      <c r="B62" s="5" t="s">
        <v>295</v>
      </c>
      <c r="C62" s="33">
        <v>341278</v>
      </c>
      <c r="D62" s="33">
        <v>173618</v>
      </c>
      <c r="E62" s="33">
        <v>243728.72</v>
      </c>
      <c r="F62" s="33">
        <v>785599.83100000001</v>
      </c>
      <c r="G62" s="33">
        <v>1247192.206</v>
      </c>
      <c r="H62" s="33">
        <v>1670070.31803</v>
      </c>
      <c r="I62" s="33">
        <v>381409</v>
      </c>
      <c r="J62" s="33">
        <v>344792.46771</v>
      </c>
      <c r="K62" s="33">
        <v>4039646.8267999999</v>
      </c>
      <c r="L62" s="33">
        <v>4222689</v>
      </c>
      <c r="M62" s="33">
        <v>-372056</v>
      </c>
      <c r="N62" s="33">
        <v>124348</v>
      </c>
      <c r="O62" s="33">
        <v>181265</v>
      </c>
      <c r="P62" s="33">
        <v>708600</v>
      </c>
      <c r="Q62" s="33">
        <v>86246</v>
      </c>
      <c r="S62" s="33">
        <v>243728.72</v>
      </c>
      <c r="T62" s="33">
        <v>541871.11100000003</v>
      </c>
      <c r="U62" s="33">
        <v>461592.37500000012</v>
      </c>
      <c r="V62" s="33">
        <v>422878.11202999996</v>
      </c>
      <c r="W62" s="33">
        <v>381409</v>
      </c>
      <c r="X62" s="33">
        <v>-36616.532290000003</v>
      </c>
      <c r="Y62" s="33">
        <v>3694854.3590899999</v>
      </c>
      <c r="Z62" s="33">
        <v>183042.17320000002</v>
      </c>
      <c r="AA62" s="33">
        <v>-372056</v>
      </c>
      <c r="AB62" s="33">
        <v>496404</v>
      </c>
      <c r="AC62" s="33">
        <v>56917</v>
      </c>
      <c r="AD62" s="33">
        <v>527335</v>
      </c>
      <c r="AE62" s="33">
        <v>86246</v>
      </c>
      <c r="AF62" s="58"/>
      <c r="AG62" s="33">
        <v>1496452.31803</v>
      </c>
      <c r="AH62" s="33">
        <v>2554028.6819700003</v>
      </c>
      <c r="AI62" s="33">
        <v>-3412263</v>
      </c>
    </row>
    <row r="63" spans="2:35" ht="14.25" customHeight="1" thickBot="1" x14ac:dyDescent="0.4">
      <c r="B63" s="5" t="s">
        <v>296</v>
      </c>
      <c r="C63" s="33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151</v>
      </c>
      <c r="M63" s="49">
        <v>-195</v>
      </c>
      <c r="N63" s="49">
        <v>-89</v>
      </c>
      <c r="O63" s="49">
        <v>1798</v>
      </c>
      <c r="P63" s="49">
        <v>-21764</v>
      </c>
      <c r="Q63" s="49">
        <v>3611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151</v>
      </c>
      <c r="AA63" s="33">
        <v>-195</v>
      </c>
      <c r="AB63" s="33">
        <v>106</v>
      </c>
      <c r="AC63" s="33">
        <v>1887</v>
      </c>
      <c r="AD63" s="33">
        <v>-23562</v>
      </c>
      <c r="AE63" s="33">
        <v>3611</v>
      </c>
      <c r="AG63" s="33">
        <v>0</v>
      </c>
      <c r="AH63" s="33">
        <v>151</v>
      </c>
      <c r="AI63" s="33">
        <v>-21915</v>
      </c>
    </row>
    <row r="64" spans="2:35" ht="14.25" customHeight="1" thickBot="1" x14ac:dyDescent="0.4">
      <c r="B64" s="9" t="s">
        <v>297</v>
      </c>
      <c r="C64" s="31">
        <v>7805.6229999999923</v>
      </c>
      <c r="D64" s="31">
        <v>1761.7999999999884</v>
      </c>
      <c r="E64" s="31">
        <v>30009.074890463657</v>
      </c>
      <c r="F64" s="31">
        <v>20411.800284503202</v>
      </c>
      <c r="G64" s="31">
        <v>7489.4900894860912</v>
      </c>
      <c r="H64" s="31">
        <v>298718.48714617389</v>
      </c>
      <c r="I64" s="31">
        <v>-79008.228430767194</v>
      </c>
      <c r="J64" s="31">
        <v>188942.65205999999</v>
      </c>
      <c r="K64" s="31">
        <v>283831.01590151049</v>
      </c>
      <c r="L64" s="31">
        <v>638612</v>
      </c>
      <c r="M64" s="31">
        <v>-88795</v>
      </c>
      <c r="N64" s="31">
        <v>-259174.67790468939</v>
      </c>
      <c r="O64" s="31">
        <v>108709.15952380956</v>
      </c>
      <c r="P64" s="31">
        <v>770581.25867999997</v>
      </c>
      <c r="Q64" s="31">
        <v>1172627.5362064</v>
      </c>
      <c r="S64" s="31">
        <v>30009.074890463642</v>
      </c>
      <c r="T64" s="31">
        <v>-9597.2746059605852</v>
      </c>
      <c r="U64" s="31">
        <v>-12922.310195016908</v>
      </c>
      <c r="V64" s="31">
        <v>291228.9970566876</v>
      </c>
      <c r="W64" s="31">
        <v>-79008.228430767194</v>
      </c>
      <c r="X64" s="31">
        <v>267950.88049076719</v>
      </c>
      <c r="Y64" s="31">
        <v>94888.363841510843</v>
      </c>
      <c r="Z64" s="31">
        <v>354780.98409848928</v>
      </c>
      <c r="AA64" s="31">
        <v>-88795</v>
      </c>
      <c r="AB64" s="31">
        <v>-170379.67790468934</v>
      </c>
      <c r="AC64" s="31">
        <v>367883.83742849895</v>
      </c>
      <c r="AD64" s="31">
        <v>661872.09915619041</v>
      </c>
      <c r="AE64" s="31">
        <v>1172627.5362064</v>
      </c>
      <c r="AG64" s="31">
        <v>296956.68714617402</v>
      </c>
      <c r="AH64" s="31">
        <v>341303.5128538264</v>
      </c>
      <c r="AI64" s="31">
        <v>233795.25867999997</v>
      </c>
    </row>
    <row r="65" spans="2:35" ht="14.25" customHeight="1" x14ac:dyDescent="0.35">
      <c r="B65" s="6" t="s">
        <v>298</v>
      </c>
      <c r="C65" s="32">
        <v>6403</v>
      </c>
      <c r="D65" s="49">
        <v>9521</v>
      </c>
      <c r="E65" s="32">
        <v>11282.829</v>
      </c>
      <c r="F65" s="32">
        <v>11282.829</v>
      </c>
      <c r="G65" s="32">
        <v>11282.829</v>
      </c>
      <c r="H65" s="32">
        <v>11282.829</v>
      </c>
      <c r="I65" s="32">
        <v>310001</v>
      </c>
      <c r="J65" s="32">
        <v>310001</v>
      </c>
      <c r="K65" s="32">
        <v>310001</v>
      </c>
      <c r="L65" s="32">
        <v>310001</v>
      </c>
      <c r="M65" s="32">
        <v>948613</v>
      </c>
      <c r="N65" s="32">
        <v>948613</v>
      </c>
      <c r="O65" s="32">
        <v>948612.664924877</v>
      </c>
      <c r="P65" s="32">
        <v>948613</v>
      </c>
      <c r="Q65" s="32">
        <v>1719194.25868</v>
      </c>
    </row>
    <row r="66" spans="2:35" ht="14.25" customHeight="1" thickBot="1" x14ac:dyDescent="0.4">
      <c r="B66" s="8" t="s">
        <v>299</v>
      </c>
      <c r="C66" s="37">
        <v>14208.622999999992</v>
      </c>
      <c r="D66" s="37">
        <v>11282.799999999988</v>
      </c>
      <c r="E66" s="37">
        <v>41291.903890463655</v>
      </c>
      <c r="F66" s="37">
        <v>31694.6292845032</v>
      </c>
      <c r="G66" s="37">
        <v>18772.319089486089</v>
      </c>
      <c r="H66" s="37">
        <v>310001.31614617392</v>
      </c>
      <c r="I66" s="37">
        <v>230992.77156923281</v>
      </c>
      <c r="J66" s="37">
        <v>498943.65205999999</v>
      </c>
      <c r="K66" s="37">
        <v>593832.01590151049</v>
      </c>
      <c r="L66" s="37">
        <v>948613</v>
      </c>
      <c r="M66" s="37">
        <v>859818</v>
      </c>
      <c r="N66" s="37">
        <v>689438.32209531055</v>
      </c>
      <c r="O66" s="37">
        <v>1057321.8244486866</v>
      </c>
      <c r="P66" s="37">
        <v>1719194.25868</v>
      </c>
      <c r="Q66" s="37">
        <v>2891821.7948864</v>
      </c>
    </row>
    <row r="67" spans="2:35" ht="14.25" customHeight="1" x14ac:dyDescent="0.35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35" ht="14.25" customHeight="1" thickBot="1" x14ac:dyDescent="0.4">
      <c r="B68" s="8" t="s">
        <v>260</v>
      </c>
      <c r="C68" s="37">
        <v>-60682</v>
      </c>
      <c r="D68" s="37">
        <v>-98244.200000000012</v>
      </c>
      <c r="E68" s="37">
        <v>50079.180179999996</v>
      </c>
      <c r="F68" s="37">
        <v>-122693.39400000003</v>
      </c>
      <c r="G68" s="37">
        <v>-305377.39951000002</v>
      </c>
      <c r="H68" s="37">
        <v>-254875.62831297409</v>
      </c>
      <c r="I68" s="37">
        <v>298785.13901000004</v>
      </c>
      <c r="J68" s="37">
        <v>101413.93145000009</v>
      </c>
      <c r="K68" s="37">
        <v>-340490.9047500001</v>
      </c>
      <c r="L68" s="37">
        <v>-163737</v>
      </c>
      <c r="M68" s="37">
        <v>237992</v>
      </c>
      <c r="N68" s="37">
        <v>-799320.68577468931</v>
      </c>
      <c r="O68" s="37">
        <v>-711011</v>
      </c>
      <c r="P68" s="37">
        <v>-288439.74131999997</v>
      </c>
      <c r="Q68" s="37">
        <v>552534</v>
      </c>
      <c r="S68" s="37">
        <v>43003.833129999999</v>
      </c>
      <c r="T68" s="37">
        <v>-167580.70413000003</v>
      </c>
      <c r="U68" s="37">
        <v>-183565.08704999997</v>
      </c>
      <c r="V68" s="37">
        <v>57466.517697025934</v>
      </c>
      <c r="W68" s="37">
        <v>295536.13901000004</v>
      </c>
      <c r="X68" s="37">
        <v>-202635.76006999996</v>
      </c>
      <c r="Y68" s="37">
        <v>-409847.63262000011</v>
      </c>
      <c r="Z68" s="37">
        <v>172285.25367999999</v>
      </c>
      <c r="AA68" s="37">
        <v>257069</v>
      </c>
      <c r="AB68" s="37">
        <v>-1011047</v>
      </c>
      <c r="AC68" s="37">
        <v>108053</v>
      </c>
      <c r="AD68" s="37">
        <v>476339</v>
      </c>
      <c r="AE68" s="37">
        <v>634663</v>
      </c>
      <c r="AG68" s="37">
        <v>-137596.44035297405</v>
      </c>
      <c r="AH68" s="37">
        <v>106013.44035297405</v>
      </c>
      <c r="AI68" s="37">
        <v>-24924</v>
      </c>
    </row>
  </sheetData>
  <mergeCells count="32">
    <mergeCell ref="K2:Q3"/>
    <mergeCell ref="AD5:AD6"/>
    <mergeCell ref="AI5:AI6"/>
    <mergeCell ref="L5:L6"/>
    <mergeCell ref="K5:K6"/>
    <mergeCell ref="M5:M6"/>
    <mergeCell ref="P5:P6"/>
    <mergeCell ref="Q5:Q6"/>
    <mergeCell ref="AE5:AE6"/>
    <mergeCell ref="D5:D6"/>
    <mergeCell ref="E5:E6"/>
    <mergeCell ref="F5:F6"/>
    <mergeCell ref="I5:I6"/>
    <mergeCell ref="J5:J6"/>
    <mergeCell ref="G5:G6"/>
    <mergeCell ref="H5:H6"/>
    <mergeCell ref="C5:C6"/>
    <mergeCell ref="AH5:AH6"/>
    <mergeCell ref="S5:S6"/>
    <mergeCell ref="T5:T6"/>
    <mergeCell ref="U5:U6"/>
    <mergeCell ref="X5:X6"/>
    <mergeCell ref="Y5:Y6"/>
    <mergeCell ref="V5:V6"/>
    <mergeCell ref="AG5:AG6"/>
    <mergeCell ref="W5:W6"/>
    <mergeCell ref="Z5:Z6"/>
    <mergeCell ref="AA5:AA6"/>
    <mergeCell ref="O5:O6"/>
    <mergeCell ref="AB5:AB6"/>
    <mergeCell ref="N5:N6"/>
    <mergeCell ref="AC5:AC6"/>
  </mergeCells>
  <phoneticPr fontId="20" type="noConversion"/>
  <pageMargins left="0.7" right="0.7" top="0.75" bottom="0.75" header="0.3" footer="0.3"/>
  <pageSetup paperSize="9" orientation="portrait" r:id="rId1"/>
  <ignoredErrors>
    <ignoredError sqref="W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0FFB-193F-4268-BBCC-5650463E59F4}">
  <sheetPr>
    <tabColor rgb="FF1B7754"/>
  </sheetPr>
  <dimension ref="B2:AG63"/>
  <sheetViews>
    <sheetView showGridLines="0" topLeftCell="D1" zoomScaleNormal="100" zoomScaleSheetLayoutView="100" workbookViewId="0">
      <selection activeCell="N2" sqref="N2:T3"/>
    </sheetView>
  </sheetViews>
  <sheetFormatPr defaultColWidth="9.140625" defaultRowHeight="14.25" customHeight="1" x14ac:dyDescent="0.35"/>
  <cols>
    <col min="1" max="1" width="1.7109375" style="2" customWidth="1"/>
    <col min="2" max="2" width="55.5703125" style="2" customWidth="1"/>
    <col min="3" max="20" width="10.5703125" style="2" customWidth="1"/>
    <col min="21" max="23" width="10.5703125" customWidth="1"/>
    <col min="24" max="33" width="10.5703125" style="2" customWidth="1"/>
    <col min="34" max="16384" width="9.140625" style="2"/>
  </cols>
  <sheetData>
    <row r="2" spans="2:33" ht="14.25" customHeight="1" x14ac:dyDescent="0.35">
      <c r="H2" s="61"/>
      <c r="N2" s="96" t="s">
        <v>224</v>
      </c>
      <c r="O2" s="96"/>
      <c r="P2" s="96"/>
      <c r="Q2" s="96"/>
      <c r="R2" s="96"/>
      <c r="S2" s="96"/>
      <c r="T2" s="96"/>
    </row>
    <row r="3" spans="2:33" ht="14.25" customHeight="1" x14ac:dyDescent="0.35">
      <c r="H3" s="61"/>
      <c r="L3" s="61"/>
      <c r="N3" s="96"/>
      <c r="O3" s="96"/>
      <c r="P3" s="96"/>
      <c r="Q3" s="96"/>
      <c r="R3" s="96"/>
      <c r="S3" s="96"/>
      <c r="T3" s="96"/>
    </row>
    <row r="5" spans="2:33" s="3" customFormat="1" ht="14.25" customHeight="1" x14ac:dyDescent="0.25">
      <c r="B5" s="75" t="s">
        <v>99</v>
      </c>
      <c r="C5" s="97" t="s">
        <v>18</v>
      </c>
      <c r="D5" s="97" t="s">
        <v>14</v>
      </c>
      <c r="E5" s="95" t="s">
        <v>23</v>
      </c>
      <c r="F5" s="95" t="s">
        <v>24</v>
      </c>
      <c r="G5" s="95" t="s">
        <v>25</v>
      </c>
      <c r="H5" s="95" t="s">
        <v>87</v>
      </c>
      <c r="I5" s="95" t="s">
        <v>12</v>
      </c>
      <c r="J5" s="95" t="s">
        <v>182</v>
      </c>
      <c r="K5" s="95" t="s">
        <v>183</v>
      </c>
      <c r="L5" s="95" t="s">
        <v>125</v>
      </c>
      <c r="M5" s="95" t="s">
        <v>184</v>
      </c>
      <c r="N5" s="95" t="s">
        <v>13</v>
      </c>
      <c r="O5" s="95" t="s">
        <v>29</v>
      </c>
      <c r="P5" s="95" t="s">
        <v>194</v>
      </c>
      <c r="Q5" s="95" t="s">
        <v>197</v>
      </c>
      <c r="R5" s="95" t="s">
        <v>218</v>
      </c>
      <c r="S5" s="95" t="s">
        <v>217</v>
      </c>
      <c r="T5" s="95" t="s">
        <v>223</v>
      </c>
      <c r="U5"/>
      <c r="V5" s="95" t="s">
        <v>18</v>
      </c>
      <c r="W5" s="95" t="s">
        <v>14</v>
      </c>
      <c r="X5" s="95" t="s">
        <v>12</v>
      </c>
      <c r="Y5" s="95" t="s">
        <v>105</v>
      </c>
      <c r="Z5" s="95" t="s">
        <v>106</v>
      </c>
      <c r="AA5" s="95" t="s">
        <v>107</v>
      </c>
      <c r="AB5" s="95" t="s">
        <v>13</v>
      </c>
      <c r="AC5" s="95" t="s">
        <v>191</v>
      </c>
      <c r="AD5" s="95" t="s">
        <v>196</v>
      </c>
      <c r="AE5" s="95" t="s">
        <v>199</v>
      </c>
      <c r="AF5" s="95" t="s">
        <v>217</v>
      </c>
      <c r="AG5" s="95" t="s">
        <v>225</v>
      </c>
    </row>
    <row r="6" spans="2:33" s="3" customFormat="1" ht="14.25" customHeight="1" x14ac:dyDescent="0.25">
      <c r="B6" s="76" t="s">
        <v>22</v>
      </c>
      <c r="C6" s="97"/>
      <c r="D6" s="97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</row>
    <row r="7" spans="2:33" ht="14.25" customHeight="1" x14ac:dyDescent="0.35">
      <c r="B7" s="5" t="s">
        <v>100</v>
      </c>
      <c r="C7" s="4">
        <v>124424.59299999999</v>
      </c>
      <c r="D7" s="4">
        <v>203462.49800000002</v>
      </c>
      <c r="E7" s="4">
        <v>695926</v>
      </c>
      <c r="F7" s="4">
        <v>899861.63899999997</v>
      </c>
      <c r="G7" s="4">
        <v>1484149.064</v>
      </c>
      <c r="H7" s="4">
        <v>1872327</v>
      </c>
      <c r="I7" s="4">
        <v>695926</v>
      </c>
      <c r="J7" s="4">
        <v>2608740.1231275117</v>
      </c>
      <c r="K7" s="4">
        <v>2882275.9701275118</v>
      </c>
      <c r="L7" s="4">
        <v>3202336.2744175121</v>
      </c>
      <c r="M7" s="4">
        <v>5388526.7866491573</v>
      </c>
      <c r="N7" s="4">
        <v>2608740.1231275117</v>
      </c>
      <c r="O7" s="4">
        <v>5699923.8144394783</v>
      </c>
      <c r="P7" s="4">
        <v>4966106.6731085693</v>
      </c>
      <c r="Q7" s="4">
        <v>6009627.7626332585</v>
      </c>
      <c r="R7" s="4">
        <v>6162939.974788093</v>
      </c>
      <c r="S7" s="4">
        <v>2972111.3108685999</v>
      </c>
      <c r="T7" s="4">
        <v>3041554.8158286</v>
      </c>
      <c r="V7" s="4">
        <v>124424.59299999999</v>
      </c>
      <c r="W7" s="4">
        <v>203462.49800000002</v>
      </c>
      <c r="X7" s="4">
        <v>695926</v>
      </c>
      <c r="Y7" s="4">
        <v>899861.63899999997</v>
      </c>
      <c r="Z7" s="4">
        <v>1484149.064</v>
      </c>
      <c r="AA7" s="4">
        <v>1872327</v>
      </c>
      <c r="AB7" s="4">
        <v>2608740.1231275117</v>
      </c>
      <c r="AC7" s="4">
        <v>2844878.5046875114</v>
      </c>
      <c r="AD7" s="4">
        <v>3161938.5954291122</v>
      </c>
      <c r="AE7" s="4">
        <v>5342131.9989391575</v>
      </c>
      <c r="AF7" s="4">
        <v>2972111.3108685999</v>
      </c>
      <c r="AG7" s="4">
        <v>4928709.2076685689</v>
      </c>
    </row>
    <row r="8" spans="2:33" ht="14.25" customHeight="1" x14ac:dyDescent="0.35">
      <c r="B8" s="7" t="s">
        <v>3</v>
      </c>
      <c r="C8" s="36">
        <v>78219</v>
      </c>
      <c r="D8" s="36">
        <v>212614.28200000001</v>
      </c>
      <c r="E8" s="36">
        <v>79381.493748251407</v>
      </c>
      <c r="F8" s="36">
        <v>86661.878251748567</v>
      </c>
      <c r="G8" s="36">
        <v>129484.73352735231</v>
      </c>
      <c r="H8" s="36">
        <v>184994</v>
      </c>
      <c r="I8" s="36">
        <v>480522.10552735231</v>
      </c>
      <c r="J8" s="36">
        <v>170730.84004923279</v>
      </c>
      <c r="K8" s="36">
        <v>244134.226075741</v>
      </c>
      <c r="L8" s="36">
        <v>325091.18347835477</v>
      </c>
      <c r="M8" s="36">
        <v>420123.75039667101</v>
      </c>
      <c r="N8" s="36">
        <v>1160079.8165216448</v>
      </c>
      <c r="O8" s="36">
        <v>526202</v>
      </c>
      <c r="P8" s="36">
        <v>616978</v>
      </c>
      <c r="Q8" s="36">
        <v>852664</v>
      </c>
      <c r="R8" s="36">
        <v>625924</v>
      </c>
      <c r="S8" s="36">
        <v>2621768</v>
      </c>
      <c r="T8" s="36">
        <v>675996.87303999986</v>
      </c>
      <c r="V8" s="36">
        <v>78219</v>
      </c>
      <c r="W8" s="36">
        <v>212614.28200000001</v>
      </c>
      <c r="X8" s="36">
        <v>480522.10552735231</v>
      </c>
      <c r="Y8" s="36">
        <v>571871.45182833367</v>
      </c>
      <c r="Z8" s="36">
        <v>729343.79965232615</v>
      </c>
      <c r="AA8" s="36">
        <v>924950.24960332853</v>
      </c>
      <c r="AB8" s="36">
        <v>1160079.8165216448</v>
      </c>
      <c r="AC8" s="32">
        <v>1515551.1599507667</v>
      </c>
      <c r="AD8" s="32">
        <v>1888394.9338750257</v>
      </c>
      <c r="AE8" s="32">
        <v>2415967.7503966708</v>
      </c>
      <c r="AF8" s="32">
        <v>2621768</v>
      </c>
      <c r="AG8" s="32">
        <v>2771562.87304</v>
      </c>
    </row>
    <row r="9" spans="2:33" ht="14.25" customHeight="1" x14ac:dyDescent="0.35">
      <c r="B9" s="7" t="s">
        <v>209</v>
      </c>
      <c r="C9" s="49">
        <v>-13880.905000000001</v>
      </c>
      <c r="D9" s="49">
        <v>-235168.77299999993</v>
      </c>
      <c r="E9" s="49">
        <v>4114.3638399996562</v>
      </c>
      <c r="F9" s="49">
        <v>-228082.5349124393</v>
      </c>
      <c r="G9" s="49">
        <v>-286683.91392135201</v>
      </c>
      <c r="H9" s="49">
        <v>16586.166040338576</v>
      </c>
      <c r="I9" s="49">
        <v>-494065.91895345319</v>
      </c>
      <c r="J9" s="49">
        <v>298785.13901000004</v>
      </c>
      <c r="K9" s="49">
        <v>-197371.20755999995</v>
      </c>
      <c r="L9" s="49">
        <v>-441904.83620000014</v>
      </c>
      <c r="M9" s="49">
        <v>176753.90474999999</v>
      </c>
      <c r="N9" s="49">
        <v>-163737</v>
      </c>
      <c r="O9" s="49">
        <v>237992</v>
      </c>
      <c r="P9" s="49">
        <v>-1037312.6857746893</v>
      </c>
      <c r="Q9" s="49">
        <v>88309.685774689322</v>
      </c>
      <c r="R9" s="49">
        <v>422571.25868000003</v>
      </c>
      <c r="S9" s="49">
        <v>-288439.74131999997</v>
      </c>
      <c r="T9" s="49">
        <v>552534</v>
      </c>
      <c r="V9" s="49">
        <v>-13880.905000000001</v>
      </c>
      <c r="W9" s="49">
        <v>-235168.77299999993</v>
      </c>
      <c r="X9" s="49">
        <v>-494065.91895345307</v>
      </c>
      <c r="Y9" s="49">
        <v>-199395.14378345269</v>
      </c>
      <c r="Z9" s="49">
        <v>-168683.81643101334</v>
      </c>
      <c r="AA9" s="49">
        <v>-323904.73870966147</v>
      </c>
      <c r="AB9" s="36">
        <v>-163737</v>
      </c>
      <c r="AC9" s="32">
        <v>-224530.1390100001</v>
      </c>
      <c r="AD9" s="32">
        <v>-1064471.6172246893</v>
      </c>
      <c r="AE9" s="32">
        <v>-534257.09525000001</v>
      </c>
      <c r="AF9" s="32">
        <v>-288439.74131999997</v>
      </c>
      <c r="AG9" s="32">
        <v>26102.258680000028</v>
      </c>
    </row>
    <row r="10" spans="2:33" ht="14.25" customHeight="1" x14ac:dyDescent="0.35">
      <c r="B10" s="7" t="s">
        <v>101</v>
      </c>
      <c r="C10" s="49">
        <v>0</v>
      </c>
      <c r="D10" s="49">
        <v>-16446</v>
      </c>
      <c r="E10" s="49">
        <v>-7672.8398099999995</v>
      </c>
      <c r="F10" s="49">
        <v>0</v>
      </c>
      <c r="G10" s="49">
        <v>0</v>
      </c>
      <c r="H10" s="49">
        <v>0</v>
      </c>
      <c r="I10" s="49">
        <v>-8445.8092500000002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-25867</v>
      </c>
      <c r="P10" s="49">
        <v>-23175</v>
      </c>
      <c r="Q10" s="49">
        <v>-14853</v>
      </c>
      <c r="R10" s="49">
        <v>-23965</v>
      </c>
      <c r="S10" s="49">
        <v>-87860</v>
      </c>
      <c r="T10" s="49">
        <v>0</v>
      </c>
      <c r="V10" s="36">
        <v>0</v>
      </c>
      <c r="W10" s="36">
        <v>-16446</v>
      </c>
      <c r="X10" s="36">
        <v>-7672.8398099999995</v>
      </c>
      <c r="Y10" s="36">
        <v>0</v>
      </c>
      <c r="Z10" s="36">
        <v>0</v>
      </c>
      <c r="AA10" s="36">
        <v>0</v>
      </c>
      <c r="AB10" s="36">
        <v>0</v>
      </c>
      <c r="AC10" s="32">
        <v>-25867</v>
      </c>
      <c r="AD10" s="32">
        <v>-49042</v>
      </c>
      <c r="AE10" s="32">
        <v>-63895</v>
      </c>
      <c r="AF10" s="32">
        <v>-87860</v>
      </c>
      <c r="AG10" s="32">
        <v>-61993</v>
      </c>
    </row>
    <row r="11" spans="2:33" ht="14.25" customHeight="1" x14ac:dyDescent="0.35">
      <c r="B11" s="57" t="s">
        <v>11</v>
      </c>
      <c r="C11" s="33">
        <v>64338.095000000001</v>
      </c>
      <c r="D11" s="33">
        <v>-39000.490999999922</v>
      </c>
      <c r="E11" s="33">
        <v>75823.017778251058</v>
      </c>
      <c r="F11" s="33">
        <v>-141420.65666069073</v>
      </c>
      <c r="G11" s="33">
        <v>-157199.1803939997</v>
      </c>
      <c r="H11" s="33">
        <v>201580.16604033858</v>
      </c>
      <c r="I11" s="33">
        <v>-21989.62267610088</v>
      </c>
      <c r="J11" s="33">
        <v>469515.97905923286</v>
      </c>
      <c r="K11" s="33">
        <v>46763.018515741045</v>
      </c>
      <c r="L11" s="33">
        <v>-116813.65272164537</v>
      </c>
      <c r="M11" s="33">
        <v>596877.65514667099</v>
      </c>
      <c r="N11" s="33">
        <v>996342.81652164483</v>
      </c>
      <c r="O11" s="33">
        <v>738327</v>
      </c>
      <c r="P11" s="33">
        <v>-443509.68577468931</v>
      </c>
      <c r="Q11" s="33">
        <v>926120.68577468931</v>
      </c>
      <c r="R11" s="33">
        <v>1024530.25868</v>
      </c>
      <c r="S11" s="33">
        <v>2245468.25868</v>
      </c>
      <c r="T11" s="33">
        <v>1228530.87304</v>
      </c>
      <c r="V11" s="33">
        <v>64338.095000000001</v>
      </c>
      <c r="W11" s="33">
        <v>-39000.490999999922</v>
      </c>
      <c r="X11" s="33">
        <v>-21216.653236100763</v>
      </c>
      <c r="Y11" s="33">
        <v>372476.30804488098</v>
      </c>
      <c r="Z11" s="33">
        <v>560659.98322131275</v>
      </c>
      <c r="AA11" s="33">
        <v>601045.51089366712</v>
      </c>
      <c r="AB11" s="33">
        <v>996342.81652164483</v>
      </c>
      <c r="AC11" s="33">
        <v>1265154.0209407667</v>
      </c>
      <c r="AD11" s="33">
        <v>774881.31665033638</v>
      </c>
      <c r="AE11" s="33">
        <v>1817815.6551466708</v>
      </c>
      <c r="AF11" s="33">
        <v>2245468.25868</v>
      </c>
      <c r="AG11" s="33">
        <v>2735672.1317199999</v>
      </c>
    </row>
    <row r="12" spans="2:33" ht="14.25" customHeight="1" x14ac:dyDescent="0.35">
      <c r="B12" s="7" t="s">
        <v>102</v>
      </c>
      <c r="C12" s="49">
        <v>-109791</v>
      </c>
      <c r="D12" s="49">
        <v>-386852</v>
      </c>
      <c r="E12" s="49">
        <v>-280821.54723825096</v>
      </c>
      <c r="F12" s="49">
        <v>-331645.33842770907</v>
      </c>
      <c r="G12" s="49">
        <v>-263967.08942403994</v>
      </c>
      <c r="H12" s="49">
        <v>-277093.0562528501</v>
      </c>
      <c r="I12" s="49">
        <v>-1153527.0313428501</v>
      </c>
      <c r="J12" s="49">
        <v>-281400.13901000004</v>
      </c>
      <c r="K12" s="49">
        <v>-142676.306054974</v>
      </c>
      <c r="L12" s="49">
        <v>-84638.646482943717</v>
      </c>
      <c r="M12" s="49">
        <v>-106203.90845208248</v>
      </c>
      <c r="N12" s="49">
        <v>-614919</v>
      </c>
      <c r="O12" s="49">
        <v>-145563</v>
      </c>
      <c r="P12" s="49">
        <v>-132775</v>
      </c>
      <c r="Q12" s="49">
        <v>-125442</v>
      </c>
      <c r="R12" s="49">
        <v>-215712</v>
      </c>
      <c r="S12" s="49">
        <v>-619492</v>
      </c>
      <c r="T12" s="49">
        <v>-281895</v>
      </c>
      <c r="V12" s="36">
        <v>-109791</v>
      </c>
      <c r="W12" s="36">
        <v>-386852</v>
      </c>
      <c r="X12" s="36">
        <v>-1153527.0313428501</v>
      </c>
      <c r="Y12" s="36">
        <v>-1154105.6231145991</v>
      </c>
      <c r="Z12" s="36">
        <v>-965136.59074186406</v>
      </c>
      <c r="AA12" s="36">
        <v>-785808.14780076779</v>
      </c>
      <c r="AB12" s="36">
        <v>-614919</v>
      </c>
      <c r="AC12" s="32">
        <v>-479081.86099000019</v>
      </c>
      <c r="AD12" s="32">
        <v>-469180.55493502622</v>
      </c>
      <c r="AE12" s="32">
        <v>-509983.90845208248</v>
      </c>
      <c r="AF12" s="32">
        <v>-619492</v>
      </c>
      <c r="AG12" s="32">
        <v>-755824</v>
      </c>
    </row>
    <row r="13" spans="2:33" ht="14.25" customHeight="1" x14ac:dyDescent="0.35">
      <c r="B13" s="7" t="s">
        <v>210</v>
      </c>
      <c r="C13" s="49">
        <v>-16216</v>
      </c>
      <c r="D13" s="49">
        <v>29333</v>
      </c>
      <c r="E13" s="49">
        <v>-15875.356539999999</v>
      </c>
      <c r="F13" s="49">
        <v>-20141.643459999999</v>
      </c>
      <c r="G13" s="49">
        <v>-18847.468903560635</v>
      </c>
      <c r="H13" s="49">
        <v>-50812.440204999955</v>
      </c>
      <c r="I13" s="49">
        <v>-105676.90910856059</v>
      </c>
      <c r="J13" s="49">
        <v>-67693</v>
      </c>
      <c r="K13" s="49">
        <v>-76280.478819999989</v>
      </c>
      <c r="L13" s="49">
        <v>-71876.681080000009</v>
      </c>
      <c r="M13" s="49">
        <v>-168559.8401</v>
      </c>
      <c r="N13" s="49">
        <v>-384410</v>
      </c>
      <c r="O13" s="49">
        <v>-18075.91090909089</v>
      </c>
      <c r="P13" s="49">
        <v>-183666</v>
      </c>
      <c r="Q13" s="49">
        <v>-50578.482500000042</v>
      </c>
      <c r="R13" s="49">
        <v>-234283</v>
      </c>
      <c r="S13" s="49">
        <v>-486603</v>
      </c>
      <c r="T13" s="49">
        <v>-113293</v>
      </c>
      <c r="V13" s="36">
        <v>-16216</v>
      </c>
      <c r="W13" s="36">
        <v>29333</v>
      </c>
      <c r="X13" s="36">
        <v>-105676.90910856059</v>
      </c>
      <c r="Y13" s="36">
        <v>-157494.55256856058</v>
      </c>
      <c r="Z13" s="36">
        <v>-213633.38792856058</v>
      </c>
      <c r="AA13" s="36">
        <v>-266662.60010499996</v>
      </c>
      <c r="AB13" s="36">
        <v>-384410</v>
      </c>
      <c r="AC13" s="32">
        <v>-334792.91090909089</v>
      </c>
      <c r="AD13" s="32">
        <v>-442178.43208909093</v>
      </c>
      <c r="AE13" s="32">
        <v>-420880.23350909096</v>
      </c>
      <c r="AF13" s="32">
        <v>-486603</v>
      </c>
      <c r="AG13" s="32">
        <v>-581820.48250000004</v>
      </c>
    </row>
    <row r="14" spans="2:33" ht="14.25" customHeight="1" x14ac:dyDescent="0.35">
      <c r="B14" s="7" t="s">
        <v>211</v>
      </c>
      <c r="C14" s="36">
        <v>-12681</v>
      </c>
      <c r="D14" s="36">
        <v>-79913</v>
      </c>
      <c r="E14" s="36">
        <v>16938</v>
      </c>
      <c r="F14" s="36">
        <v>-91080</v>
      </c>
      <c r="G14" s="36">
        <v>52605</v>
      </c>
      <c r="H14" s="36">
        <v>-541792.56000000006</v>
      </c>
      <c r="I14" s="36">
        <v>-563329.56000000006</v>
      </c>
      <c r="J14" s="36">
        <v>-199334.68704923289</v>
      </c>
      <c r="K14" s="36">
        <v>-16790.233640767168</v>
      </c>
      <c r="L14" s="36">
        <v>41261.163762943819</v>
      </c>
      <c r="M14" s="36">
        <v>-222493.93438490998</v>
      </c>
      <c r="N14" s="36">
        <v>-397356.93438490998</v>
      </c>
      <c r="O14" s="36">
        <v>318259.05223999999</v>
      </c>
      <c r="P14" s="36">
        <v>-262360.40375</v>
      </c>
      <c r="Q14" s="36">
        <v>-284349.89162000001</v>
      </c>
      <c r="R14" s="36">
        <v>440114.47949</v>
      </c>
      <c r="S14" s="36">
        <v>211663.23636000004</v>
      </c>
      <c r="T14" s="36">
        <v>-708822.28444000008</v>
      </c>
      <c r="V14" s="36">
        <v>-12681</v>
      </c>
      <c r="W14" s="36">
        <v>-79913</v>
      </c>
      <c r="X14" s="36">
        <v>-563329.56000000006</v>
      </c>
      <c r="Y14" s="36">
        <v>-779602.24704923294</v>
      </c>
      <c r="Z14" s="36">
        <v>-705312.48069000011</v>
      </c>
      <c r="AA14" s="36">
        <v>-716656.31692705629</v>
      </c>
      <c r="AB14" s="36">
        <v>-397356.93438490998</v>
      </c>
      <c r="AC14" s="32">
        <v>120236.04797726666</v>
      </c>
      <c r="AD14" s="32">
        <v>-125334.12213196617</v>
      </c>
      <c r="AE14" s="32">
        <v>-450945.17751491</v>
      </c>
      <c r="AF14" s="32">
        <v>211663.23636000004</v>
      </c>
      <c r="AG14" s="32">
        <v>-815418.10031999997</v>
      </c>
    </row>
    <row r="15" spans="2:33" ht="14.25" customHeight="1" x14ac:dyDescent="0.35">
      <c r="B15" s="7" t="s">
        <v>190</v>
      </c>
      <c r="C15" s="49">
        <v>0</v>
      </c>
      <c r="D15" s="49">
        <v>-16031</v>
      </c>
      <c r="E15" s="49">
        <v>-36624.249000000003</v>
      </c>
      <c r="F15" s="49">
        <v>-3000</v>
      </c>
      <c r="G15" s="49">
        <v>-6766.3059999999969</v>
      </c>
      <c r="H15" s="49">
        <v>-21900.445</v>
      </c>
      <c r="I15" s="49">
        <v>-68291</v>
      </c>
      <c r="J15" s="49">
        <v>-194624</v>
      </c>
      <c r="K15" s="49">
        <v>-131076.30429</v>
      </c>
      <c r="L15" s="49">
        <v>-1954122.6957100001</v>
      </c>
      <c r="M15" s="49">
        <v>-411017</v>
      </c>
      <c r="N15" s="49">
        <v>-2690840</v>
      </c>
      <c r="O15" s="49">
        <v>-159130</v>
      </c>
      <c r="P15" s="49">
        <v>-21210</v>
      </c>
      <c r="Q15" s="49">
        <v>-342303</v>
      </c>
      <c r="R15" s="49">
        <v>-287697</v>
      </c>
      <c r="S15" s="49">
        <v>-1143720</v>
      </c>
      <c r="T15" s="49">
        <v>-377500</v>
      </c>
      <c r="V15" s="36">
        <v>0</v>
      </c>
      <c r="W15" s="36">
        <v>-16031</v>
      </c>
      <c r="X15" s="36">
        <v>-68291</v>
      </c>
      <c r="Y15" s="36">
        <v>-226290.75099999999</v>
      </c>
      <c r="Z15" s="36">
        <v>-354367.05528999999</v>
      </c>
      <c r="AA15" s="36">
        <v>-2301723.4450000003</v>
      </c>
      <c r="AB15" s="36">
        <v>-2690840</v>
      </c>
      <c r="AC15" s="32">
        <v>-2655346</v>
      </c>
      <c r="AD15" s="32">
        <v>-2545479.6957100001</v>
      </c>
      <c r="AE15" s="32">
        <v>-933660</v>
      </c>
      <c r="AF15" s="32">
        <v>-1143720</v>
      </c>
      <c r="AG15" s="32">
        <v>-1028710</v>
      </c>
    </row>
    <row r="16" spans="2:33" ht="14.25" customHeight="1" x14ac:dyDescent="0.35">
      <c r="B16" s="7" t="s">
        <v>208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-276759.52380952385</v>
      </c>
      <c r="R16" s="49">
        <v>-0.47619047615444288</v>
      </c>
      <c r="S16" s="49">
        <v>-276760</v>
      </c>
      <c r="T16" s="49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2">
        <v>0</v>
      </c>
      <c r="AD16" s="32">
        <v>0</v>
      </c>
      <c r="AE16" s="32">
        <v>-276759.52380952385</v>
      </c>
      <c r="AF16" s="32">
        <v>-276760</v>
      </c>
      <c r="AG16" s="32">
        <v>-276760</v>
      </c>
    </row>
    <row r="17" spans="2:33" ht="14.25" customHeight="1" thickBot="1" x14ac:dyDescent="0.4">
      <c r="B17" s="8" t="s">
        <v>103</v>
      </c>
      <c r="C17" s="37">
        <v>198774.49799999999</v>
      </c>
      <c r="D17" s="37">
        <v>695925.98899999994</v>
      </c>
      <c r="E17" s="37">
        <v>936486.13499999989</v>
      </c>
      <c r="F17" s="37">
        <v>1487149.2775483998</v>
      </c>
      <c r="G17" s="37">
        <v>1878324.1087216004</v>
      </c>
      <c r="H17" s="37">
        <v>2562345.3354175114</v>
      </c>
      <c r="I17" s="37">
        <v>2608740.1231275117</v>
      </c>
      <c r="J17" s="37">
        <v>2882275.9701275118</v>
      </c>
      <c r="K17" s="37">
        <v>3202336.2744175121</v>
      </c>
      <c r="L17" s="37">
        <v>5388526.7866491573</v>
      </c>
      <c r="M17" s="37">
        <v>5699923.8144394783</v>
      </c>
      <c r="N17" s="37">
        <v>5699923.8144394783</v>
      </c>
      <c r="O17" s="37">
        <v>4966106.6731085693</v>
      </c>
      <c r="P17" s="37">
        <v>6009627.7626332585</v>
      </c>
      <c r="Q17" s="37">
        <v>6162939.974788093</v>
      </c>
      <c r="R17" s="37">
        <v>5435987.712808569</v>
      </c>
      <c r="S17" s="37">
        <v>3041554.8158286</v>
      </c>
      <c r="T17" s="37">
        <v>3294534.2272286001</v>
      </c>
      <c r="V17" s="37">
        <v>198774.49799999999</v>
      </c>
      <c r="W17" s="37">
        <v>695925.98899999994</v>
      </c>
      <c r="X17" s="37">
        <v>2607967.1536875116</v>
      </c>
      <c r="Y17" s="37">
        <v>2844878.5046875114</v>
      </c>
      <c r="Z17" s="37">
        <v>3161938.5954291122</v>
      </c>
      <c r="AA17" s="37">
        <v>5342131.9989391575</v>
      </c>
      <c r="AB17" s="37">
        <v>5699923.2409907766</v>
      </c>
      <c r="AC17" s="37">
        <v>4928709.2076685689</v>
      </c>
      <c r="AD17" s="37">
        <v>5969230.0836448595</v>
      </c>
      <c r="AE17" s="37">
        <v>6116545.1870780941</v>
      </c>
      <c r="AF17" s="37">
        <v>3041554.8158286</v>
      </c>
      <c r="AG17" s="37">
        <v>5651569.6587685691</v>
      </c>
    </row>
    <row r="18" spans="2:33" ht="5.25" customHeight="1" x14ac:dyDescent="0.3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2:33" ht="14.25" customHeight="1" x14ac:dyDescent="0.35">
      <c r="B19" s="7" t="s">
        <v>104</v>
      </c>
      <c r="C19" s="35">
        <v>74349.904999999999</v>
      </c>
      <c r="D19" s="35">
        <v>492463.49099999992</v>
      </c>
      <c r="E19" s="35">
        <v>240560.13499999989</v>
      </c>
      <c r="F19" s="35">
        <v>587287.63854839979</v>
      </c>
      <c r="G19" s="35">
        <v>394175.04472160037</v>
      </c>
      <c r="H19" s="35">
        <v>690018.33541751141</v>
      </c>
      <c r="I19" s="35">
        <v>1912814.1231275117</v>
      </c>
      <c r="J19" s="35">
        <v>273535.84700000007</v>
      </c>
      <c r="K19" s="35">
        <v>320060.30429000035</v>
      </c>
      <c r="L19" s="35">
        <v>2186190.5122316452</v>
      </c>
      <c r="M19" s="35">
        <v>311397.02779032104</v>
      </c>
      <c r="N19" s="35">
        <v>3091183.6913119666</v>
      </c>
      <c r="O19" s="35">
        <v>-733817.14133090898</v>
      </c>
      <c r="P19" s="35">
        <v>1043521.0895246891</v>
      </c>
      <c r="Q19" s="35">
        <v>153312.21215483453</v>
      </c>
      <c r="R19" s="35">
        <v>-726952.26197952405</v>
      </c>
      <c r="S19" s="35">
        <v>69443.504960000049</v>
      </c>
      <c r="T19" s="35">
        <v>252979.4114000001</v>
      </c>
      <c r="V19" s="35">
        <v>74349.904999999999</v>
      </c>
      <c r="W19" s="35">
        <v>492463.49099999992</v>
      </c>
      <c r="X19" s="35">
        <v>1912041.1536875116</v>
      </c>
      <c r="Y19" s="35">
        <v>1945016.8656875114</v>
      </c>
      <c r="Z19" s="35">
        <v>1677789.5314291122</v>
      </c>
      <c r="AA19" s="35">
        <v>3469804.9989391575</v>
      </c>
      <c r="AB19" s="35">
        <v>3091183.1178632649</v>
      </c>
      <c r="AC19" s="35">
        <v>2083830.7029810576</v>
      </c>
      <c r="AD19" s="35">
        <v>2807291.4882157473</v>
      </c>
      <c r="AE19" s="35">
        <v>774413.18813893665</v>
      </c>
      <c r="AF19" s="35">
        <v>69443.504960000049</v>
      </c>
      <c r="AG19" s="35">
        <v>722860.45110000018</v>
      </c>
    </row>
    <row r="20" spans="2:33" ht="14.25" customHeight="1" x14ac:dyDescent="0.35">
      <c r="B20" s="7"/>
      <c r="C20" s="7"/>
      <c r="D20" s="7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X20" s="49"/>
      <c r="Y20" s="49"/>
      <c r="Z20" s="49"/>
      <c r="AA20" s="49"/>
    </row>
    <row r="21" spans="2:33" ht="14.25" customHeight="1" x14ac:dyDescent="0.35">
      <c r="B21" s="24" t="s">
        <v>212</v>
      </c>
      <c r="C21" s="24"/>
      <c r="D21" s="24"/>
      <c r="E21" s="49"/>
      <c r="F21" s="49"/>
      <c r="G21" s="49"/>
      <c r="H21" s="49"/>
      <c r="X21" s="49"/>
      <c r="Y21" s="49"/>
      <c r="Z21" s="49"/>
      <c r="AA21" s="49"/>
    </row>
    <row r="22" spans="2:33" ht="14.25" customHeight="1" x14ac:dyDescent="0.35">
      <c r="B22" s="7"/>
      <c r="C22" s="7"/>
      <c r="D22" s="7"/>
      <c r="E22" s="49"/>
      <c r="F22" s="49"/>
      <c r="G22" s="49"/>
      <c r="H22" s="49"/>
      <c r="X22" s="49"/>
      <c r="Y22" s="49"/>
      <c r="Z22" s="49"/>
      <c r="AA22" s="49"/>
    </row>
    <row r="23" spans="2:33" ht="14.25" customHeight="1" x14ac:dyDescent="0.35">
      <c r="B23" s="6"/>
      <c r="C23" s="6"/>
      <c r="D23" s="6"/>
      <c r="E23" s="34"/>
      <c r="F23" s="32"/>
      <c r="G23" s="32"/>
      <c r="H23" s="32"/>
      <c r="I23" s="32"/>
      <c r="J23" s="34"/>
      <c r="K23" s="32"/>
      <c r="L23" s="32"/>
      <c r="M23" s="32"/>
      <c r="N23" s="49"/>
      <c r="O23"/>
      <c r="P23"/>
      <c r="Q23"/>
      <c r="R23"/>
      <c r="S23"/>
      <c r="T23"/>
      <c r="X23" s="49"/>
      <c r="Y23" s="32"/>
      <c r="Z23" s="32"/>
      <c r="AA23" s="32"/>
    </row>
    <row r="24" spans="2:33" ht="14.25" customHeight="1" x14ac:dyDescent="0.35">
      <c r="B24"/>
      <c r="C24"/>
      <c r="D24"/>
      <c r="E24"/>
      <c r="F24"/>
      <c r="G24"/>
      <c r="H24"/>
      <c r="I24"/>
      <c r="J24"/>
      <c r="K24"/>
      <c r="L24"/>
      <c r="M24"/>
      <c r="N24" s="49"/>
      <c r="O24"/>
      <c r="P24"/>
      <c r="Q24"/>
      <c r="R24"/>
      <c r="S24"/>
      <c r="T24"/>
      <c r="X24" s="49"/>
      <c r="Y24"/>
      <c r="Z24"/>
      <c r="AA24"/>
    </row>
    <row r="25" spans="2:33" ht="14.25" customHeight="1" x14ac:dyDescent="0.3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X25" s="49"/>
      <c r="Y25"/>
      <c r="Z25"/>
      <c r="AA25"/>
    </row>
    <row r="26" spans="2:33" ht="14.25" customHeight="1" x14ac:dyDescent="0.3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X26" s="49"/>
      <c r="Y26"/>
      <c r="Z26"/>
      <c r="AA26"/>
    </row>
    <row r="27" spans="2:33" ht="14.25" customHeight="1" x14ac:dyDescent="0.35">
      <c r="B27"/>
      <c r="C27"/>
      <c r="D27"/>
      <c r="E27"/>
      <c r="F27"/>
      <c r="M27"/>
      <c r="N27"/>
      <c r="O27"/>
      <c r="P27"/>
      <c r="Q27"/>
      <c r="R27"/>
      <c r="S27"/>
      <c r="T27"/>
      <c r="X27" s="49"/>
      <c r="Y27"/>
      <c r="Z27"/>
      <c r="AA27"/>
    </row>
    <row r="28" spans="2:33" ht="14.25" customHeight="1" x14ac:dyDescent="0.35">
      <c r="B28"/>
      <c r="C28"/>
      <c r="D28"/>
      <c r="E28"/>
      <c r="F28"/>
      <c r="M28"/>
      <c r="N28"/>
      <c r="O28"/>
      <c r="P28"/>
      <c r="Q28"/>
      <c r="R28"/>
      <c r="S28"/>
      <c r="T28"/>
      <c r="X28" s="49"/>
      <c r="Y28"/>
      <c r="Z28"/>
      <c r="AA28"/>
    </row>
    <row r="29" spans="2:33" ht="14.25" customHeight="1" x14ac:dyDescent="0.3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X29" s="49"/>
      <c r="Y29"/>
      <c r="Z29"/>
      <c r="AA29"/>
    </row>
    <row r="30" spans="2:33" ht="14.25" customHeight="1" x14ac:dyDescent="0.3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X30" s="49"/>
      <c r="Y30"/>
      <c r="Z30"/>
      <c r="AA30"/>
    </row>
    <row r="31" spans="2:33" ht="14.25" customHeight="1" x14ac:dyDescent="0.3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X31" s="49"/>
      <c r="Y31"/>
      <c r="Z31"/>
      <c r="AA31"/>
    </row>
    <row r="32" spans="2:33" ht="18" x14ac:dyDescent="0.3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X32" s="49"/>
      <c r="Y32"/>
      <c r="Z32"/>
      <c r="AA32"/>
    </row>
    <row r="33" spans="2:27" ht="18" x14ac:dyDescent="0.3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X33" s="49"/>
      <c r="Y33"/>
      <c r="Z33"/>
      <c r="AA33"/>
    </row>
    <row r="34" spans="2:27" ht="18" x14ac:dyDescent="0.3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X34"/>
      <c r="Y34"/>
      <c r="Z34"/>
      <c r="AA34"/>
    </row>
    <row r="35" spans="2:27" ht="18" x14ac:dyDescent="0.3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X35"/>
      <c r="Y35"/>
      <c r="Z35"/>
      <c r="AA35"/>
    </row>
    <row r="36" spans="2:27" ht="18" x14ac:dyDescent="0.3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X36"/>
      <c r="Y36"/>
      <c r="Z36"/>
      <c r="AA36"/>
    </row>
    <row r="37" spans="2:27" ht="18" x14ac:dyDescent="0.3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X37"/>
      <c r="Y37"/>
      <c r="Z37"/>
      <c r="AA37"/>
    </row>
    <row r="38" spans="2:27" ht="14.25" customHeight="1" x14ac:dyDescent="0.3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X38"/>
      <c r="Y38"/>
      <c r="Z38"/>
      <c r="AA38"/>
    </row>
    <row r="39" spans="2:27" ht="18" x14ac:dyDescent="0.3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X39"/>
      <c r="Y39"/>
      <c r="Z39"/>
      <c r="AA39"/>
    </row>
    <row r="40" spans="2:27" ht="14.25" customHeight="1" x14ac:dyDescent="0.3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X40"/>
      <c r="Y40"/>
      <c r="Z40"/>
      <c r="AA40"/>
    </row>
    <row r="41" spans="2:27" ht="14.25" customHeight="1" x14ac:dyDescent="0.3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X41"/>
      <c r="Y41"/>
      <c r="Z41"/>
      <c r="AA41"/>
    </row>
    <row r="42" spans="2:27" ht="14.25" customHeight="1" x14ac:dyDescent="0.3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X42"/>
      <c r="Y42"/>
      <c r="Z42"/>
      <c r="AA42"/>
    </row>
    <row r="43" spans="2:27" ht="14.25" customHeight="1" x14ac:dyDescent="0.3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X43"/>
      <c r="Y43"/>
      <c r="Z43"/>
      <c r="AA43"/>
    </row>
    <row r="44" spans="2:27" ht="15" customHeight="1" x14ac:dyDescent="0.3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X44"/>
      <c r="Y44"/>
      <c r="Z44"/>
      <c r="AA44"/>
    </row>
    <row r="45" spans="2:27" ht="15" customHeight="1" x14ac:dyDescent="0.3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X45"/>
      <c r="Y45"/>
      <c r="Z45"/>
      <c r="AA45"/>
    </row>
    <row r="46" spans="2:27" ht="15" customHeight="1" x14ac:dyDescent="0.3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X46"/>
      <c r="Y46"/>
      <c r="Z46"/>
      <c r="AA46"/>
    </row>
    <row r="47" spans="2:27" ht="15" customHeight="1" x14ac:dyDescent="0.3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X47"/>
      <c r="Y47"/>
      <c r="Z47"/>
      <c r="AA47"/>
    </row>
    <row r="48" spans="2:27" ht="14.25" customHeight="1" x14ac:dyDescent="0.3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X48"/>
      <c r="Y48"/>
      <c r="Z48"/>
      <c r="AA48"/>
    </row>
    <row r="49" spans="2:27" ht="14.25" customHeight="1" x14ac:dyDescent="0.3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X49"/>
      <c r="Y49"/>
      <c r="Z49"/>
      <c r="AA49"/>
    </row>
    <row r="50" spans="2:27" ht="14.25" customHeight="1" x14ac:dyDescent="0.3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X50"/>
      <c r="Y50"/>
      <c r="Z50"/>
      <c r="AA50"/>
    </row>
    <row r="51" spans="2:27" ht="14.25" customHeight="1" x14ac:dyDescent="0.3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X51"/>
      <c r="Y51"/>
      <c r="Z51"/>
      <c r="AA51"/>
    </row>
    <row r="52" spans="2:27" ht="14.25" customHeight="1" x14ac:dyDescent="0.3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X52"/>
      <c r="Y52"/>
      <c r="Z52"/>
      <c r="AA52"/>
    </row>
    <row r="53" spans="2:27" ht="13.5" customHeight="1" x14ac:dyDescent="0.3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X53"/>
      <c r="Y53"/>
      <c r="Z53"/>
      <c r="AA53"/>
    </row>
    <row r="54" spans="2:27" ht="13.5" customHeight="1" x14ac:dyDescent="0.3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X54"/>
      <c r="Y54"/>
      <c r="Z54"/>
      <c r="AA54"/>
    </row>
    <row r="55" spans="2:27" ht="13.5" customHeight="1" x14ac:dyDescent="0.3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X55"/>
      <c r="Y55"/>
      <c r="Z55"/>
      <c r="AA55"/>
    </row>
    <row r="56" spans="2:27" ht="13.5" customHeight="1" x14ac:dyDescent="0.3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X56"/>
      <c r="Y56"/>
      <c r="Z56"/>
      <c r="AA56"/>
    </row>
    <row r="57" spans="2:27" ht="13.5" customHeight="1" x14ac:dyDescent="0.3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X57"/>
      <c r="Y57"/>
      <c r="Z57"/>
      <c r="AA57"/>
    </row>
    <row r="58" spans="2:27" ht="14.25" customHeight="1" x14ac:dyDescent="0.3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X58"/>
      <c r="Y58"/>
      <c r="Z58"/>
      <c r="AA58"/>
    </row>
    <row r="59" spans="2:27" ht="14.25" customHeight="1" x14ac:dyDescent="0.3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X59"/>
      <c r="Y59"/>
      <c r="Z59"/>
      <c r="AA59"/>
    </row>
    <row r="60" spans="2:27" ht="14.25" customHeight="1" x14ac:dyDescent="0.3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X60"/>
      <c r="Y60"/>
      <c r="Z60"/>
      <c r="AA60"/>
    </row>
    <row r="61" spans="2:27" ht="14.25" customHeight="1" x14ac:dyDescent="0.3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X61"/>
      <c r="Y61"/>
      <c r="Z61"/>
      <c r="AA61"/>
    </row>
    <row r="62" spans="2:27" ht="14.25" customHeight="1" x14ac:dyDescent="0.3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X62"/>
      <c r="Y62"/>
      <c r="Z62"/>
      <c r="AA62"/>
    </row>
    <row r="63" spans="2:27" ht="14.25" customHeight="1" x14ac:dyDescent="0.3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X63"/>
      <c r="Y63"/>
      <c r="Z63"/>
      <c r="AA63"/>
    </row>
  </sheetData>
  <mergeCells count="31">
    <mergeCell ref="N2:T3"/>
    <mergeCell ref="AF5:AF6"/>
    <mergeCell ref="AE5:AE6"/>
    <mergeCell ref="C5:C6"/>
    <mergeCell ref="D5:D6"/>
    <mergeCell ref="V5:V6"/>
    <mergeCell ref="W5:W6"/>
    <mergeCell ref="AC5:AC6"/>
    <mergeCell ref="E5:E6"/>
    <mergeCell ref="F5:F6"/>
    <mergeCell ref="G5:G6"/>
    <mergeCell ref="H5:H6"/>
    <mergeCell ref="J5:J6"/>
    <mergeCell ref="I5:I6"/>
    <mergeCell ref="AB5:AB6"/>
    <mergeCell ref="K5:K6"/>
    <mergeCell ref="L5:L6"/>
    <mergeCell ref="Q5:Q6"/>
    <mergeCell ref="R5:R6"/>
    <mergeCell ref="N5:N6"/>
    <mergeCell ref="M5:M6"/>
    <mergeCell ref="Y5:Y6"/>
    <mergeCell ref="O5:O6"/>
    <mergeCell ref="T5:T6"/>
    <mergeCell ref="AG5:AG6"/>
    <mergeCell ref="S5:S6"/>
    <mergeCell ref="P5:P6"/>
    <mergeCell ref="Z5:Z6"/>
    <mergeCell ref="AD5:AD6"/>
    <mergeCell ref="AA5:AA6"/>
    <mergeCell ref="X5:X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0AAB-C397-47C5-B2A3-43F440BA40B7}">
  <sheetPr>
    <tabColor rgb="FF1B7754"/>
    <outlinePr summaryRight="0"/>
  </sheetPr>
  <dimension ref="B2:R45"/>
  <sheetViews>
    <sheetView showGridLines="0" zoomScaleNormal="100" workbookViewId="0">
      <selection activeCell="L2" sqref="L2:R3"/>
    </sheetView>
  </sheetViews>
  <sheetFormatPr defaultColWidth="9.140625" defaultRowHeight="14.25" customHeight="1" x14ac:dyDescent="0.35"/>
  <cols>
    <col min="1" max="1" width="1.7109375" style="2" customWidth="1"/>
    <col min="2" max="2" width="53.140625" style="2" customWidth="1"/>
    <col min="3" max="18" width="10.85546875" style="2" customWidth="1"/>
    <col min="19" max="16384" width="9.140625" style="2"/>
  </cols>
  <sheetData>
    <row r="2" spans="2:18" ht="14.25" customHeight="1" x14ac:dyDescent="0.35">
      <c r="L2" s="96" t="s">
        <v>224</v>
      </c>
      <c r="M2" s="96"/>
      <c r="N2" s="96"/>
      <c r="O2" s="96"/>
      <c r="P2" s="96"/>
      <c r="Q2" s="96"/>
      <c r="R2" s="96"/>
    </row>
    <row r="3" spans="2:18" ht="14.25" customHeight="1" x14ac:dyDescent="0.35">
      <c r="I3" s="61"/>
      <c r="L3" s="96"/>
      <c r="M3" s="96"/>
      <c r="N3" s="96"/>
      <c r="O3" s="96"/>
      <c r="P3" s="96"/>
      <c r="Q3" s="96"/>
      <c r="R3" s="96"/>
    </row>
    <row r="5" spans="2:18" s="11" customFormat="1" ht="14.25" customHeight="1" x14ac:dyDescent="0.25">
      <c r="B5" s="75" t="s">
        <v>108</v>
      </c>
      <c r="C5" s="95" t="s">
        <v>19</v>
      </c>
      <c r="D5" s="95" t="s">
        <v>9</v>
      </c>
      <c r="E5" s="95" t="s">
        <v>23</v>
      </c>
      <c r="F5" s="95" t="s">
        <v>24</v>
      </c>
      <c r="G5" s="95" t="s">
        <v>25</v>
      </c>
      <c r="H5" s="95" t="s">
        <v>87</v>
      </c>
      <c r="I5" s="95" t="s">
        <v>26</v>
      </c>
      <c r="J5" s="95" t="s">
        <v>27</v>
      </c>
      <c r="K5" s="95" t="s">
        <v>28</v>
      </c>
      <c r="L5" s="95" t="s">
        <v>88</v>
      </c>
      <c r="M5" s="95" t="s">
        <v>29</v>
      </c>
      <c r="N5" s="95" t="s">
        <v>194</v>
      </c>
      <c r="O5" s="95" t="s">
        <v>197</v>
      </c>
      <c r="P5" s="95" t="s">
        <v>218</v>
      </c>
      <c r="Q5" s="95" t="s">
        <v>223</v>
      </c>
      <c r="R5" s="95" t="s">
        <v>226</v>
      </c>
    </row>
    <row r="6" spans="2:18" ht="14.25" customHeight="1" x14ac:dyDescent="0.35">
      <c r="B6" s="76" t="s">
        <v>22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2:18" ht="14.45" customHeight="1" x14ac:dyDescent="0.35">
      <c r="B7" s="6" t="s">
        <v>251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2826534</v>
      </c>
      <c r="L7" s="6">
        <v>3459887.7266947818</v>
      </c>
      <c r="M7" s="6">
        <v>2955878.1719011841</v>
      </c>
      <c r="N7" s="6">
        <v>3307088.9261245606</v>
      </c>
      <c r="O7" s="6">
        <v>3796126.547410585</v>
      </c>
      <c r="P7" s="6">
        <v>3308427.9087991854</v>
      </c>
      <c r="Q7" s="6">
        <v>3435962.8403765606</v>
      </c>
      <c r="R7" s="6">
        <v>3387582.6926613464</v>
      </c>
    </row>
    <row r="8" spans="2:18" ht="14.45" customHeight="1" x14ac:dyDescent="0.35">
      <c r="B8" s="6" t="s">
        <v>117</v>
      </c>
      <c r="C8" s="7">
        <v>437929.49800000002</v>
      </c>
      <c r="D8" s="6">
        <v>705686</v>
      </c>
      <c r="E8" s="6">
        <v>948717</v>
      </c>
      <c r="F8" s="6">
        <v>1358677</v>
      </c>
      <c r="G8" s="6">
        <v>1649109</v>
      </c>
      <c r="H8" s="6">
        <v>2419889</v>
      </c>
      <c r="I8" s="6">
        <v>2659403</v>
      </c>
      <c r="J8" s="6">
        <v>2741039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</row>
    <row r="9" spans="2:18" ht="14.45" customHeight="1" x14ac:dyDescent="0.35">
      <c r="B9" s="6" t="s">
        <v>252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194732</v>
      </c>
      <c r="I9" s="6">
        <v>315921</v>
      </c>
      <c r="J9" s="6">
        <v>315067</v>
      </c>
      <c r="K9" s="6">
        <v>316575</v>
      </c>
      <c r="L9" s="6">
        <v>251920.71523999999</v>
      </c>
      <c r="M9" s="6">
        <v>254142.73180000001</v>
      </c>
      <c r="N9" s="6">
        <v>533781.44572999992</v>
      </c>
      <c r="O9" s="6">
        <v>547910.85721000005</v>
      </c>
      <c r="P9" s="6">
        <v>1226612.81168</v>
      </c>
      <c r="Q9" s="6">
        <v>1979649.8880300003</v>
      </c>
      <c r="R9" s="6">
        <v>1983796.5107</v>
      </c>
    </row>
    <row r="10" spans="2:18" ht="14.45" customHeight="1" x14ac:dyDescent="0.35">
      <c r="B10" s="6" t="s">
        <v>109</v>
      </c>
      <c r="C10" s="6">
        <v>0</v>
      </c>
      <c r="D10" s="6">
        <v>40799</v>
      </c>
      <c r="E10" s="6">
        <v>47017</v>
      </c>
      <c r="F10" s="6">
        <v>249329</v>
      </c>
      <c r="G10" s="6">
        <v>431876</v>
      </c>
      <c r="H10" s="6">
        <v>422552</v>
      </c>
      <c r="I10" s="6">
        <v>571924</v>
      </c>
      <c r="J10" s="6">
        <v>533708</v>
      </c>
      <c r="K10" s="6">
        <v>593059</v>
      </c>
      <c r="L10" s="6">
        <v>237791.54750999997</v>
      </c>
      <c r="M10" s="6">
        <v>154344.26506999999</v>
      </c>
      <c r="N10" s="6">
        <v>579379.67199000006</v>
      </c>
      <c r="O10" s="6">
        <v>574443.95103</v>
      </c>
      <c r="P10" s="6">
        <v>758529.74038000067</v>
      </c>
      <c r="Q10" s="6">
        <v>1130182.1048799991</v>
      </c>
      <c r="R10" s="6">
        <v>1372330.9623492616</v>
      </c>
    </row>
    <row r="11" spans="2:18" s="12" customFormat="1" ht="14.25" customHeight="1" x14ac:dyDescent="0.35">
      <c r="B11" s="5" t="s">
        <v>250</v>
      </c>
      <c r="C11" s="4">
        <v>437929.49800000002</v>
      </c>
      <c r="D11" s="4">
        <v>746485</v>
      </c>
      <c r="E11" s="4">
        <v>995734</v>
      </c>
      <c r="F11" s="4">
        <v>1608006</v>
      </c>
      <c r="G11" s="4">
        <v>2080985</v>
      </c>
      <c r="H11" s="4">
        <v>3037173</v>
      </c>
      <c r="I11" s="4">
        <v>3547248</v>
      </c>
      <c r="J11" s="4">
        <v>3589814</v>
      </c>
      <c r="K11" s="4">
        <v>3736168</v>
      </c>
      <c r="L11" s="4">
        <v>3949599.989444782</v>
      </c>
      <c r="M11" s="4">
        <v>3364365.168771184</v>
      </c>
      <c r="N11" s="4">
        <v>4420250.0438445602</v>
      </c>
      <c r="O11" s="4">
        <v>4918481.3556505851</v>
      </c>
      <c r="P11" s="4">
        <v>5293570.460859186</v>
      </c>
      <c r="Q11" s="4">
        <v>6545794.8332865601</v>
      </c>
      <c r="R11" s="4">
        <v>6743710.1657106075</v>
      </c>
    </row>
    <row r="12" spans="2:18" ht="14.45" customHeight="1" x14ac:dyDescent="0.35">
      <c r="B12" s="6" t="s">
        <v>249</v>
      </c>
      <c r="C12" s="6">
        <v>234467</v>
      </c>
      <c r="D12" s="6">
        <v>50559</v>
      </c>
      <c r="E12" s="6">
        <v>95872.361000000004</v>
      </c>
      <c r="F12" s="6">
        <v>123856.936</v>
      </c>
      <c r="G12" s="6">
        <v>208658</v>
      </c>
      <c r="H12" s="6">
        <v>465405</v>
      </c>
      <c r="I12" s="6">
        <v>896568</v>
      </c>
      <c r="J12" s="6">
        <v>750149</v>
      </c>
      <c r="K12" s="6">
        <v>664435</v>
      </c>
      <c r="L12" s="6">
        <v>977488.11758478219</v>
      </c>
      <c r="M12" s="6">
        <v>1030925.793461184</v>
      </c>
      <c r="N12" s="6">
        <v>805054.57949736994</v>
      </c>
      <c r="O12" s="6">
        <v>1149974.3937424803</v>
      </c>
      <c r="P12" s="6">
        <v>2252014.9000011096</v>
      </c>
      <c r="Q12" s="6">
        <v>3251259.7524565598</v>
      </c>
      <c r="R12" s="6">
        <v>2128468.3427784541</v>
      </c>
    </row>
    <row r="13" spans="2:18" s="12" customFormat="1" ht="14.25" customHeight="1" x14ac:dyDescent="0.35">
      <c r="B13" s="5" t="s">
        <v>110</v>
      </c>
      <c r="C13" s="4">
        <v>203462.49800000002</v>
      </c>
      <c r="D13" s="4">
        <v>695926</v>
      </c>
      <c r="E13" s="4">
        <v>899861.63899999997</v>
      </c>
      <c r="F13" s="4">
        <v>1484149.064</v>
      </c>
      <c r="G13" s="4">
        <v>1872327</v>
      </c>
      <c r="H13" s="4">
        <v>2571768</v>
      </c>
      <c r="I13" s="4">
        <v>2650680</v>
      </c>
      <c r="J13" s="4">
        <v>2839665</v>
      </c>
      <c r="K13" s="4">
        <v>3071733</v>
      </c>
      <c r="L13" s="4">
        <v>2972111.8718599998</v>
      </c>
      <c r="M13" s="4">
        <v>2333439.37531</v>
      </c>
      <c r="N13" s="4">
        <v>3615195.4643471902</v>
      </c>
      <c r="O13" s="4">
        <v>3768506.9619081048</v>
      </c>
      <c r="P13" s="4">
        <v>3041555.5608580764</v>
      </c>
      <c r="Q13" s="4">
        <v>3294535.0808300003</v>
      </c>
      <c r="R13" s="4">
        <v>4615241.8229321539</v>
      </c>
    </row>
    <row r="14" spans="2:18" ht="14.25" customHeight="1" x14ac:dyDescent="0.35">
      <c r="B14" s="6" t="s">
        <v>111</v>
      </c>
      <c r="C14" s="69">
        <v>2.6011902223244996</v>
      </c>
      <c r="D14" s="69">
        <v>3.2732007849814901</v>
      </c>
      <c r="E14" s="69">
        <v>3.6315149654703682</v>
      </c>
      <c r="F14" s="69">
        <v>5.2010794101474991</v>
      </c>
      <c r="G14" s="69">
        <v>5.2445197790823119</v>
      </c>
      <c r="H14" s="69">
        <v>5.3551468593009295</v>
      </c>
      <c r="I14" s="69">
        <v>4.6373765501535722</v>
      </c>
      <c r="J14" s="69">
        <v>3.8949553232306617</v>
      </c>
      <c r="K14" s="69">
        <v>3.3219833811768398</v>
      </c>
      <c r="L14" s="69">
        <v>2.5619887178987653</v>
      </c>
      <c r="M14" s="69">
        <v>1.5396638773882116</v>
      </c>
      <c r="N14" s="69">
        <v>1.9144276440779964</v>
      </c>
      <c r="O14" s="69">
        <v>1.559833305427758</v>
      </c>
      <c r="P14" s="69">
        <v>1.1601162119829354</v>
      </c>
      <c r="Q14" s="69">
        <v>1.1886921681904248</v>
      </c>
      <c r="R14" s="69">
        <v>1.6125826820057212</v>
      </c>
    </row>
    <row r="15" spans="2:18" ht="14.45" customHeight="1" x14ac:dyDescent="0.35">
      <c r="B15" s="6" t="s">
        <v>2</v>
      </c>
      <c r="C15" s="6">
        <v>78219</v>
      </c>
      <c r="D15" s="6">
        <v>212613.29374999995</v>
      </c>
      <c r="E15" s="6">
        <v>247792.35320690641</v>
      </c>
      <c r="F15" s="6">
        <v>285354.0480663245</v>
      </c>
      <c r="G15" s="6">
        <v>357006.37596367701</v>
      </c>
      <c r="H15" s="6">
        <v>480242.29168118897</v>
      </c>
      <c r="I15" s="6">
        <v>571590.41784351529</v>
      </c>
      <c r="J15" s="6">
        <v>729062.27782983822</v>
      </c>
      <c r="K15" s="6">
        <v>924668.38257084042</v>
      </c>
      <c r="L15" s="6">
        <v>1160080</v>
      </c>
      <c r="M15" s="6">
        <v>1515551.1599507672</v>
      </c>
      <c r="N15" s="6">
        <v>1888394.9338750262</v>
      </c>
      <c r="O15" s="6">
        <v>2415967.7503966717</v>
      </c>
      <c r="P15" s="6">
        <v>2621768</v>
      </c>
      <c r="Q15" s="6">
        <v>2771562.87304</v>
      </c>
      <c r="R15" s="6">
        <v>2862018.7196799996</v>
      </c>
    </row>
    <row r="16" spans="2:18" ht="14.25" customHeight="1" thickBot="1" x14ac:dyDescent="0.4">
      <c r="B16" s="6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2:18" ht="14.25" customHeight="1" thickBot="1" x14ac:dyDescent="0.4">
      <c r="B17" s="9" t="s">
        <v>112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2:18" ht="14.25" customHeight="1" x14ac:dyDescent="0.35">
      <c r="B18" s="7" t="s">
        <v>113</v>
      </c>
      <c r="C18" s="7">
        <v>12153.734</v>
      </c>
      <c r="D18" s="6">
        <v>66638</v>
      </c>
      <c r="E18" s="6">
        <v>108858.755</v>
      </c>
      <c r="F18" s="6">
        <v>291622.87099999998</v>
      </c>
      <c r="G18" s="6">
        <v>412957</v>
      </c>
      <c r="H18" s="6">
        <v>538943</v>
      </c>
      <c r="I18" s="6">
        <v>649182</v>
      </c>
      <c r="J18" s="6">
        <v>694724</v>
      </c>
      <c r="K18" s="6">
        <v>867389</v>
      </c>
      <c r="L18" s="6">
        <v>751890</v>
      </c>
      <c r="M18" s="6">
        <v>457209</v>
      </c>
      <c r="N18" s="6">
        <v>936187</v>
      </c>
      <c r="O18" s="6">
        <v>974300</v>
      </c>
      <c r="P18" s="6">
        <v>955552</v>
      </c>
      <c r="Q18" s="6">
        <v>640538</v>
      </c>
      <c r="R18" s="6">
        <v>1264321</v>
      </c>
    </row>
    <row r="19" spans="2:18" ht="14.25" customHeight="1" x14ac:dyDescent="0.35">
      <c r="B19" s="7" t="s">
        <v>114</v>
      </c>
      <c r="C19" s="7">
        <v>425775.76400000002</v>
      </c>
      <c r="D19" s="6">
        <v>679847</v>
      </c>
      <c r="E19" s="6">
        <v>886875.48100000003</v>
      </c>
      <c r="F19" s="6">
        <v>1316383.5889999999</v>
      </c>
      <c r="G19" s="6">
        <v>1668028</v>
      </c>
      <c r="H19" s="6">
        <v>2498230</v>
      </c>
      <c r="I19" s="6">
        <v>2898066</v>
      </c>
      <c r="J19" s="6">
        <v>2895089</v>
      </c>
      <c r="K19" s="6">
        <v>2868779</v>
      </c>
      <c r="L19" s="6">
        <v>3197709.989444782</v>
      </c>
      <c r="M19" s="6">
        <v>2907156.168771184</v>
      </c>
      <c r="N19" s="6">
        <v>3484063.0438445602</v>
      </c>
      <c r="O19" s="6">
        <v>3944181.3556505851</v>
      </c>
      <c r="P19" s="6">
        <v>4338018.460859186</v>
      </c>
      <c r="Q19" s="6">
        <v>5905256.8332865601</v>
      </c>
      <c r="R19" s="6">
        <v>5479389.1657106075</v>
      </c>
    </row>
    <row r="20" spans="2:18" ht="14.25" customHeight="1" x14ac:dyDescent="0.35">
      <c r="B20" s="27" t="s">
        <v>115</v>
      </c>
      <c r="C20" s="45">
        <v>2.7752718315403362</v>
      </c>
      <c r="D20" s="45">
        <v>8.9269040905041628</v>
      </c>
      <c r="E20" s="45">
        <v>10.932513603030529</v>
      </c>
      <c r="F20" s="45">
        <v>18.135683013620596</v>
      </c>
      <c r="G20" s="45">
        <v>19.844304500032436</v>
      </c>
      <c r="H20" s="45">
        <v>17.744889737924048</v>
      </c>
      <c r="I20" s="45">
        <v>18.30100404595337</v>
      </c>
      <c r="J20" s="45">
        <v>19.352646125955271</v>
      </c>
      <c r="K20" s="45">
        <v>23.216006346609682</v>
      </c>
      <c r="L20" s="45">
        <v>19.037117733679594</v>
      </c>
      <c r="M20" s="45">
        <v>13.589755483260845</v>
      </c>
      <c r="N20" s="45">
        <v>21.179503211672191</v>
      </c>
      <c r="O20" s="45">
        <v>19.808959911592993</v>
      </c>
      <c r="P20" s="45">
        <v>18.051181278597863</v>
      </c>
      <c r="Q20" s="45">
        <v>9.7854884901486283</v>
      </c>
      <c r="R20" s="45">
        <v>18.748151520933199</v>
      </c>
    </row>
    <row r="21" spans="2:18" ht="14.25" customHeight="1" x14ac:dyDescent="0.35">
      <c r="B21" s="27" t="s">
        <v>116</v>
      </c>
      <c r="C21" s="45">
        <v>97.224728168459663</v>
      </c>
      <c r="D21" s="45">
        <v>91.073095909495834</v>
      </c>
      <c r="E21" s="45">
        <v>89.067510098078401</v>
      </c>
      <c r="F21" s="45">
        <v>81.864345593237829</v>
      </c>
      <c r="G21" s="45">
        <v>80.155695499967564</v>
      </c>
      <c r="H21" s="45">
        <v>82.255110262075945</v>
      </c>
      <c r="I21" s="45">
        <v>81.698995954046623</v>
      </c>
      <c r="J21" s="45">
        <v>80.647326017448265</v>
      </c>
      <c r="K21" s="45">
        <v>76.783993653390311</v>
      </c>
      <c r="L21" s="45">
        <v>80.962882266320406</v>
      </c>
      <c r="M21" s="45">
        <v>86.410244516739155</v>
      </c>
      <c r="N21" s="45">
        <v>78.820496788327816</v>
      </c>
      <c r="O21" s="45">
        <v>80.191040088407007</v>
      </c>
      <c r="P21" s="45">
        <v>81.948818721402134</v>
      </c>
      <c r="Q21" s="45">
        <v>90.214511509851363</v>
      </c>
      <c r="R21" s="45">
        <v>81.251848479066808</v>
      </c>
    </row>
    <row r="22" spans="2:18" ht="14.25" customHeight="1" x14ac:dyDescent="0.3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2:18" ht="14.25" customHeight="1" x14ac:dyDescent="0.35">
      <c r="B23" s="27" t="s">
        <v>117</v>
      </c>
      <c r="C23" s="27">
        <v>437929.49800000002</v>
      </c>
      <c r="D23" s="27">
        <v>705686</v>
      </c>
      <c r="E23" s="27">
        <v>948717</v>
      </c>
      <c r="F23" s="27">
        <v>1358677</v>
      </c>
      <c r="G23" s="27">
        <v>1649109</v>
      </c>
      <c r="H23" s="27">
        <v>2419889</v>
      </c>
      <c r="I23" s="27">
        <v>2659403</v>
      </c>
      <c r="J23" s="27">
        <v>2741039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</row>
    <row r="24" spans="2:18" ht="14.25" customHeight="1" x14ac:dyDescent="0.35">
      <c r="B24" s="27" t="s">
        <v>118</v>
      </c>
      <c r="C24" s="6">
        <v>0</v>
      </c>
      <c r="D24" s="6">
        <v>40799</v>
      </c>
      <c r="E24" s="6">
        <v>47017</v>
      </c>
      <c r="F24" s="6">
        <v>249329</v>
      </c>
      <c r="G24" s="6">
        <v>431876</v>
      </c>
      <c r="H24" s="48">
        <v>617284</v>
      </c>
      <c r="I24" s="48">
        <v>887845</v>
      </c>
      <c r="J24" s="48">
        <v>848775</v>
      </c>
      <c r="K24" s="48">
        <v>909634</v>
      </c>
      <c r="L24" s="48">
        <v>489712.26274999999</v>
      </c>
      <c r="M24" s="48">
        <v>408486.99687000003</v>
      </c>
      <c r="N24" s="48">
        <v>1113161.11772</v>
      </c>
      <c r="O24" s="48">
        <v>1122354.8082400002</v>
      </c>
      <c r="P24" s="48">
        <v>1985142.5520600006</v>
      </c>
      <c r="Q24" s="48">
        <v>3109831.9929099996</v>
      </c>
      <c r="R24" s="48">
        <v>3356127.4730492616</v>
      </c>
    </row>
    <row r="25" spans="2:18" ht="14.25" customHeight="1" x14ac:dyDescent="0.35">
      <c r="B25" s="27" t="s">
        <v>119</v>
      </c>
      <c r="C25" s="45">
        <v>100</v>
      </c>
      <c r="D25" s="45">
        <v>94.534518443103337</v>
      </c>
      <c r="E25" s="45">
        <v>95.278156616124392</v>
      </c>
      <c r="F25" s="45">
        <v>84.494523030386702</v>
      </c>
      <c r="G25" s="45">
        <v>79.246558720990308</v>
      </c>
      <c r="H25" s="45">
        <v>79.675705005938084</v>
      </c>
      <c r="I25" s="45">
        <v>74.970878833394224</v>
      </c>
      <c r="J25" s="45">
        <v>76.356017331260063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</row>
    <row r="26" spans="2:18" ht="14.25" customHeight="1" x14ac:dyDescent="0.35">
      <c r="B26" s="27" t="s">
        <v>120</v>
      </c>
      <c r="C26" s="45">
        <v>0</v>
      </c>
      <c r="D26" s="45">
        <v>5.4654815568966555</v>
      </c>
      <c r="E26" s="45">
        <v>4.7218433838756129</v>
      </c>
      <c r="F26" s="45">
        <v>15.505476969613296</v>
      </c>
      <c r="G26" s="45">
        <v>20.753441279009699</v>
      </c>
      <c r="H26" s="45">
        <v>20.324294994061912</v>
      </c>
      <c r="I26" s="45">
        <v>25.029121166605773</v>
      </c>
      <c r="J26" s="45">
        <v>23.643982668739941</v>
      </c>
      <c r="K26" s="45">
        <v>24.34671031923618</v>
      </c>
      <c r="L26" s="45">
        <v>12.399034435354089</v>
      </c>
      <c r="M26" s="45">
        <v>12.141577277688844</v>
      </c>
      <c r="N26" s="45">
        <v>25.183216032544081</v>
      </c>
      <c r="O26" s="45">
        <v>22.819133124304429</v>
      </c>
      <c r="P26" s="45">
        <v>37.501013101425634</v>
      </c>
      <c r="Q26" s="45">
        <v>47.508852203798639</v>
      </c>
      <c r="R26" s="45">
        <v>49.766781053462061</v>
      </c>
    </row>
    <row r="27" spans="2:18" ht="14.25" customHeight="1" x14ac:dyDescent="0.35">
      <c r="B27" s="27"/>
      <c r="C27" s="27"/>
      <c r="D27" s="46"/>
      <c r="E27" s="46"/>
      <c r="F27" s="46"/>
      <c r="G27" s="44"/>
      <c r="H27" s="44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2:18" ht="14.25" customHeight="1" x14ac:dyDescent="0.35">
      <c r="B28" s="27" t="s">
        <v>121</v>
      </c>
      <c r="C28" s="27">
        <v>437929.49800000002</v>
      </c>
      <c r="D28" s="27">
        <v>705686</v>
      </c>
      <c r="E28" s="27">
        <v>948717</v>
      </c>
      <c r="F28" s="6">
        <v>1388165.88958</v>
      </c>
      <c r="G28" s="6">
        <v>1682482</v>
      </c>
      <c r="H28" s="48">
        <v>2456512.7958800001</v>
      </c>
      <c r="I28" s="6">
        <v>2688800.44783</v>
      </c>
      <c r="J28" s="6">
        <v>2762708.3095</v>
      </c>
      <c r="K28" s="6">
        <v>1308101.8638500003</v>
      </c>
      <c r="L28" s="6">
        <v>1494725.2600347819</v>
      </c>
      <c r="M28" s="6">
        <v>1230044.1543511841</v>
      </c>
      <c r="N28" s="6">
        <v>1431049</v>
      </c>
      <c r="O28" s="6">
        <v>1870972.1444505854</v>
      </c>
      <c r="P28" s="6">
        <v>1650388.6124177852</v>
      </c>
      <c r="Q28" s="6">
        <v>1758874.6020025602</v>
      </c>
      <c r="R28" s="6">
        <v>1656005.8733898071</v>
      </c>
    </row>
    <row r="29" spans="2:18" ht="14.25" customHeight="1" x14ac:dyDescent="0.35">
      <c r="B29" s="27" t="s">
        <v>122</v>
      </c>
      <c r="C29" s="27">
        <v>0</v>
      </c>
      <c r="D29" s="6">
        <v>40799.432000000001</v>
      </c>
      <c r="E29" s="6">
        <v>47017.41143</v>
      </c>
      <c r="F29" s="6">
        <v>219840.57032999999</v>
      </c>
      <c r="G29" s="6">
        <v>398503</v>
      </c>
      <c r="H29" s="48">
        <v>580660.20422000007</v>
      </c>
      <c r="I29" s="6">
        <v>858447.55169000011</v>
      </c>
      <c r="J29" s="6">
        <v>827105.30825</v>
      </c>
      <c r="K29" s="6">
        <v>2428066.1222200003</v>
      </c>
      <c r="L29" s="6">
        <v>2454874.7294100001</v>
      </c>
      <c r="M29" s="6">
        <v>2134321.0144199999</v>
      </c>
      <c r="N29" s="6">
        <v>2989201</v>
      </c>
      <c r="O29" s="6">
        <v>3047509.2111999998</v>
      </c>
      <c r="P29" s="6">
        <v>3643181.8484414001</v>
      </c>
      <c r="Q29" s="6">
        <v>4786920.2312840009</v>
      </c>
      <c r="R29" s="6">
        <v>5087704.2923208</v>
      </c>
    </row>
    <row r="30" spans="2:18" ht="14.25" customHeight="1" x14ac:dyDescent="0.35">
      <c r="B30" s="27" t="s">
        <v>123</v>
      </c>
      <c r="C30" s="45">
        <v>100</v>
      </c>
      <c r="D30" s="45">
        <v>94.534518443103337</v>
      </c>
      <c r="E30" s="45">
        <v>95.278156616124392</v>
      </c>
      <c r="F30" s="45">
        <v>86.328402355463837</v>
      </c>
      <c r="G30" s="45">
        <v>80.850270424822853</v>
      </c>
      <c r="H30" s="45">
        <v>80.88155649612321</v>
      </c>
      <c r="I30" s="45">
        <v>75.799618403618808</v>
      </c>
      <c r="J30" s="45">
        <v>76.959650541782949</v>
      </c>
      <c r="K30" s="45">
        <v>35.011858777496094</v>
      </c>
      <c r="L30" s="45">
        <v>37.844978327663611</v>
      </c>
      <c r="M30" s="45">
        <v>36.560958535914551</v>
      </c>
      <c r="N30" s="45">
        <v>32.374842730736781</v>
      </c>
      <c r="O30" s="45">
        <v>38.039630714491246</v>
      </c>
      <c r="P30" s="45">
        <v>31.177229520619527</v>
      </c>
      <c r="Q30" s="45">
        <v>26.870298364048352</v>
      </c>
      <c r="R30" s="45">
        <v>24.556302579698844</v>
      </c>
    </row>
    <row r="31" spans="2:18" ht="14.25" customHeight="1" x14ac:dyDescent="0.35">
      <c r="B31" s="27" t="s">
        <v>124</v>
      </c>
      <c r="C31" s="45">
        <v>0</v>
      </c>
      <c r="D31" s="45">
        <v>5.4655394281197882</v>
      </c>
      <c r="E31" s="45">
        <v>4.7218847031436102</v>
      </c>
      <c r="F31" s="45">
        <v>13.671626245797588</v>
      </c>
      <c r="G31" s="45">
        <v>19.14972957517714</v>
      </c>
      <c r="H31" s="45">
        <v>19.118443507169331</v>
      </c>
      <c r="I31" s="45">
        <v>24.20038158284958</v>
      </c>
      <c r="J31" s="45">
        <v>23.040338810033052</v>
      </c>
      <c r="K31" s="45">
        <v>64.988140849662017</v>
      </c>
      <c r="L31" s="45">
        <v>62.155021672336396</v>
      </c>
      <c r="M31" s="45">
        <v>63.439041464085456</v>
      </c>
      <c r="N31" s="45">
        <v>67.625156277360958</v>
      </c>
      <c r="O31" s="45">
        <v>61.960369285508754</v>
      </c>
      <c r="P31" s="45">
        <v>68.822770479380452</v>
      </c>
      <c r="Q31" s="45">
        <v>73.129701635951662</v>
      </c>
      <c r="R31" s="45">
        <v>75.443697420301149</v>
      </c>
    </row>
    <row r="32" spans="2:18" ht="14.25" customHeight="1" x14ac:dyDescent="0.35">
      <c r="B32" s="17"/>
      <c r="C32" s="17"/>
      <c r="D32" s="46"/>
      <c r="E32" s="46"/>
      <c r="F32" s="46"/>
      <c r="G32" s="44"/>
      <c r="H32" s="44"/>
      <c r="I32" s="47"/>
      <c r="J32" s="47"/>
      <c r="K32" s="47"/>
    </row>
    <row r="33" spans="2:11" ht="14.1" customHeight="1" x14ac:dyDescent="0.35">
      <c r="B33" s="24" t="s">
        <v>349</v>
      </c>
      <c r="C33" s="24"/>
      <c r="D33" s="44"/>
      <c r="E33" s="44"/>
      <c r="F33" s="44"/>
      <c r="G33" s="44"/>
      <c r="H33" s="44"/>
      <c r="I33" s="44"/>
      <c r="J33" s="44"/>
      <c r="K33" s="44"/>
    </row>
    <row r="34" spans="2:11" ht="14.25" customHeight="1" x14ac:dyDescent="0.35">
      <c r="B34" s="24" t="s">
        <v>350</v>
      </c>
      <c r="C34" s="24"/>
      <c r="D34" s="44"/>
      <c r="E34" s="44"/>
      <c r="F34" s="44"/>
      <c r="G34" s="44"/>
      <c r="H34" s="44"/>
      <c r="I34" s="44"/>
      <c r="J34" s="44"/>
      <c r="K34" s="44"/>
    </row>
    <row r="35" spans="2:11" ht="14.25" customHeight="1" x14ac:dyDescent="0.35">
      <c r="B35" s="24" t="s">
        <v>351</v>
      </c>
      <c r="C35" s="24"/>
      <c r="K35" s="21"/>
    </row>
    <row r="36" spans="2:11" ht="14.25" customHeight="1" x14ac:dyDescent="0.35">
      <c r="B36" s="40" t="s">
        <v>254</v>
      </c>
      <c r="C36" s="24"/>
      <c r="K36" s="21"/>
    </row>
    <row r="37" spans="2:11" ht="14.25" customHeight="1" x14ac:dyDescent="0.35">
      <c r="B37" s="40" t="s">
        <v>352</v>
      </c>
      <c r="C37" s="40"/>
      <c r="K37" s="21"/>
    </row>
    <row r="38" spans="2:11" ht="14.25" customHeight="1" x14ac:dyDescent="0.35">
      <c r="B38" s="43" t="s">
        <v>253</v>
      </c>
      <c r="C38" s="43"/>
    </row>
    <row r="39" spans="2:11" ht="14.25" customHeight="1" x14ac:dyDescent="0.35">
      <c r="B39" s="42"/>
      <c r="C39" s="42"/>
    </row>
    <row r="40" spans="2:11" ht="14.25" customHeight="1" x14ac:dyDescent="0.35">
      <c r="B40" s="42"/>
      <c r="C40" s="42"/>
    </row>
    <row r="41" spans="2:11" ht="14.25" customHeight="1" x14ac:dyDescent="0.35">
      <c r="B41" s="42"/>
      <c r="C41" s="42"/>
    </row>
    <row r="42" spans="2:11" ht="14.25" customHeight="1" x14ac:dyDescent="0.35">
      <c r="B42" s="42"/>
      <c r="C42" s="42"/>
    </row>
    <row r="43" spans="2:11" ht="14.25" customHeight="1" x14ac:dyDescent="0.35">
      <c r="B43" s="42"/>
      <c r="C43" s="42"/>
    </row>
    <row r="44" spans="2:11" ht="14.25" customHeight="1" x14ac:dyDescent="0.35">
      <c r="B44" s="42"/>
      <c r="C44" s="42"/>
    </row>
    <row r="45" spans="2:11" ht="14.25" customHeight="1" x14ac:dyDescent="0.35">
      <c r="B45" s="41"/>
      <c r="C45" s="41"/>
    </row>
  </sheetData>
  <mergeCells count="17">
    <mergeCell ref="C5:C6"/>
    <mergeCell ref="L5:L6"/>
    <mergeCell ref="K5:K6"/>
    <mergeCell ref="D5:D6"/>
    <mergeCell ref="J5:J6"/>
    <mergeCell ref="E5:E6"/>
    <mergeCell ref="F5:F6"/>
    <mergeCell ref="G5:G6"/>
    <mergeCell ref="H5:H6"/>
    <mergeCell ref="I5:I6"/>
    <mergeCell ref="N5:N6"/>
    <mergeCell ref="L2:R3"/>
    <mergeCell ref="Q5:Q6"/>
    <mergeCell ref="R5:R6"/>
    <mergeCell ref="P5:P6"/>
    <mergeCell ref="O5:O6"/>
    <mergeCell ref="M5:M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31E2-AB34-4001-849F-3262A9DFCF55}">
  <sheetPr>
    <tabColor rgb="FF1B7754"/>
    <outlinePr summaryRight="0"/>
  </sheetPr>
  <dimension ref="B1:W153"/>
  <sheetViews>
    <sheetView showGridLines="0" topLeftCell="B103" zoomScaleNormal="100" workbookViewId="0">
      <selection activeCell="T105" sqref="T105:U105"/>
    </sheetView>
  </sheetViews>
  <sheetFormatPr defaultColWidth="9.140625" defaultRowHeight="14.25" customHeight="1" x14ac:dyDescent="0.35"/>
  <cols>
    <col min="1" max="1" width="1.7109375" style="2" customWidth="1"/>
    <col min="2" max="2" width="56.7109375" style="2" customWidth="1"/>
    <col min="3" max="12" width="10.7109375" style="2" customWidth="1"/>
    <col min="13" max="14" width="10.7109375" style="22" customWidth="1"/>
    <col min="15" max="15" width="10.7109375" style="23" customWidth="1"/>
    <col min="16" max="20" width="10.7109375" style="2" customWidth="1"/>
    <col min="21" max="21" width="10.7109375" style="23" customWidth="1"/>
    <col min="22" max="16384" width="9.140625" style="2"/>
  </cols>
  <sheetData>
    <row r="1" spans="2:21" ht="14.25" customHeight="1" x14ac:dyDescent="0.35">
      <c r="D1" s="22"/>
      <c r="E1" s="22"/>
      <c r="F1" s="22"/>
      <c r="G1" s="22"/>
      <c r="H1" s="22"/>
      <c r="I1" s="22"/>
      <c r="J1" s="22"/>
      <c r="K1" s="22"/>
      <c r="L1" s="22"/>
    </row>
    <row r="2" spans="2:21" ht="14.25" customHeight="1" x14ac:dyDescent="0.35">
      <c r="D2" s="22"/>
      <c r="E2" s="22"/>
      <c r="F2" s="22"/>
      <c r="G2" s="22"/>
      <c r="H2" s="22"/>
      <c r="O2" s="96" t="s">
        <v>224</v>
      </c>
      <c r="P2" s="96"/>
      <c r="Q2" s="96"/>
      <c r="R2" s="96"/>
      <c r="S2" s="96"/>
      <c r="T2" s="96"/>
      <c r="U2" s="96"/>
    </row>
    <row r="3" spans="2:21" ht="14.25" customHeight="1" x14ac:dyDescent="0.35">
      <c r="D3" s="22"/>
      <c r="E3" s="22"/>
      <c r="F3" s="22"/>
      <c r="G3" s="22"/>
      <c r="H3" s="22"/>
      <c r="L3" s="61"/>
      <c r="O3" s="96"/>
      <c r="P3" s="96"/>
      <c r="Q3" s="96"/>
      <c r="R3" s="96"/>
      <c r="S3" s="96"/>
      <c r="T3" s="96"/>
      <c r="U3" s="96"/>
    </row>
    <row r="5" spans="2:21" s="11" customFormat="1" ht="14.25" customHeight="1" x14ac:dyDescent="0.25">
      <c r="B5" s="75" t="s">
        <v>126</v>
      </c>
      <c r="C5" s="95" t="s">
        <v>19</v>
      </c>
      <c r="D5" s="95" t="s">
        <v>9</v>
      </c>
      <c r="E5" s="95" t="s">
        <v>23</v>
      </c>
      <c r="F5" s="95" t="s">
        <v>24</v>
      </c>
      <c r="G5" s="95" t="s">
        <v>25</v>
      </c>
      <c r="H5" s="95" t="s">
        <v>87</v>
      </c>
      <c r="I5" s="95" t="s">
        <v>4</v>
      </c>
      <c r="J5" s="95" t="s">
        <v>26</v>
      </c>
      <c r="K5" s="95" t="s">
        <v>27</v>
      </c>
      <c r="L5" s="95" t="s">
        <v>28</v>
      </c>
      <c r="M5" s="95" t="s">
        <v>88</v>
      </c>
      <c r="N5" s="95" t="s">
        <v>15</v>
      </c>
      <c r="O5" s="95" t="s">
        <v>29</v>
      </c>
      <c r="P5" s="95" t="s">
        <v>194</v>
      </c>
      <c r="Q5" s="95" t="s">
        <v>197</v>
      </c>
      <c r="R5" s="95" t="s">
        <v>218</v>
      </c>
      <c r="S5" s="95" t="s">
        <v>220</v>
      </c>
      <c r="T5" s="95" t="s">
        <v>223</v>
      </c>
      <c r="U5" s="95" t="s">
        <v>226</v>
      </c>
    </row>
    <row r="6" spans="2:21" ht="14.25" customHeight="1" x14ac:dyDescent="0.35">
      <c r="B6" s="76" t="s">
        <v>22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2:21" ht="13.5" customHeight="1" thickBot="1" x14ac:dyDescent="0.4">
      <c r="B7" s="8" t="s">
        <v>127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</row>
    <row r="8" spans="2:21" ht="14.25" customHeight="1" x14ac:dyDescent="0.35">
      <c r="B8" s="6" t="s">
        <v>129</v>
      </c>
      <c r="C8" s="56">
        <v>348528.47000000003</v>
      </c>
      <c r="D8" s="56">
        <v>625389</v>
      </c>
      <c r="E8" s="6">
        <v>309588</v>
      </c>
      <c r="F8" s="6">
        <v>286080</v>
      </c>
      <c r="G8" s="6">
        <v>320325</v>
      </c>
      <c r="H8" s="6">
        <v>372907</v>
      </c>
      <c r="I8" s="6">
        <f>SUM(E8:H8)</f>
        <v>1288900</v>
      </c>
      <c r="J8" s="6">
        <v>595649</v>
      </c>
      <c r="K8" s="6">
        <v>645987</v>
      </c>
      <c r="L8" s="6">
        <v>659967</v>
      </c>
      <c r="M8" s="6">
        <v>664946.31000000006</v>
      </c>
      <c r="N8" s="6">
        <v>2566548.31</v>
      </c>
      <c r="O8" s="6">
        <v>777506.03</v>
      </c>
      <c r="P8" s="6">
        <v>834486.33000000007</v>
      </c>
      <c r="Q8" s="6">
        <v>844819.16999999993</v>
      </c>
      <c r="R8" s="6">
        <v>819833.12000000011</v>
      </c>
      <c r="S8" s="6">
        <v>3276644.6500000004</v>
      </c>
      <c r="T8" s="6">
        <v>728664.53</v>
      </c>
      <c r="U8" s="6">
        <v>859495.49</v>
      </c>
    </row>
    <row r="9" spans="2:21" ht="14.25" customHeight="1" x14ac:dyDescent="0.35">
      <c r="B9" s="6" t="s">
        <v>130</v>
      </c>
      <c r="C9" s="6">
        <f>323212.1+101867.38</f>
        <v>425079.48</v>
      </c>
      <c r="D9" s="56">
        <v>681529.97059514048</v>
      </c>
      <c r="E9" s="6">
        <v>296999.21480000002</v>
      </c>
      <c r="F9" s="6">
        <v>282798.25300000003</v>
      </c>
      <c r="G9" s="6">
        <v>314722.9498</v>
      </c>
      <c r="H9" s="6">
        <v>425075.44400000002</v>
      </c>
      <c r="I9" s="6">
        <f>SUM(E9:H9)</f>
        <v>1319595.8615999999</v>
      </c>
      <c r="J9" s="6">
        <v>633456.62408199999</v>
      </c>
      <c r="K9" s="6">
        <v>629319.41421620001</v>
      </c>
      <c r="L9" s="6">
        <v>669309.37969999993</v>
      </c>
      <c r="M9" s="6">
        <v>691388.3074417999</v>
      </c>
      <c r="N9" s="6">
        <v>2629258.33</v>
      </c>
      <c r="O9" s="6">
        <v>748757.10042000003</v>
      </c>
      <c r="P9" s="6">
        <v>785167.12079999992</v>
      </c>
      <c r="Q9" s="6">
        <v>828006.87271420006</v>
      </c>
      <c r="R9" s="6">
        <v>798812.09603199991</v>
      </c>
      <c r="S9" s="6">
        <v>3160743.1899661999</v>
      </c>
      <c r="T9" s="6">
        <v>643826.44513240003</v>
      </c>
      <c r="U9" s="6">
        <v>724532.40938800003</v>
      </c>
    </row>
    <row r="10" spans="2:21" ht="14.1" customHeight="1" x14ac:dyDescent="0.35">
      <c r="B10" s="6" t="s">
        <v>229</v>
      </c>
      <c r="C10" s="6">
        <v>120769.60999999999</v>
      </c>
      <c r="D10" s="6">
        <v>258109.40735287283</v>
      </c>
      <c r="E10" s="6">
        <v>128659.4</v>
      </c>
      <c r="F10" s="6">
        <v>118747.36</v>
      </c>
      <c r="G10" s="6">
        <v>133615.81</v>
      </c>
      <c r="H10" s="6">
        <v>156411.01999999999</v>
      </c>
      <c r="I10" s="6">
        <f>H10+G10+F10+E10</f>
        <v>537433.59</v>
      </c>
      <c r="J10" s="6">
        <v>252740.98</v>
      </c>
      <c r="K10" s="6">
        <v>276025.38</v>
      </c>
      <c r="L10" s="6">
        <v>280304.87</v>
      </c>
      <c r="M10" s="6">
        <v>277767.23</v>
      </c>
      <c r="N10" s="6">
        <f>M10+L10+K10+J10</f>
        <v>1086838.46</v>
      </c>
      <c r="O10" s="6">
        <v>328282.43</v>
      </c>
      <c r="P10" s="6">
        <v>359189.01999999996</v>
      </c>
      <c r="Q10" s="6">
        <v>359664.95999999996</v>
      </c>
      <c r="R10" s="6">
        <v>349395.28</v>
      </c>
      <c r="S10" s="6">
        <f t="shared" ref="S10" si="0">SUM(O10:R10)</f>
        <v>1396531.69</v>
      </c>
      <c r="T10" s="6">
        <v>314632.3</v>
      </c>
      <c r="U10" s="6">
        <v>376421.19999999995</v>
      </c>
    </row>
    <row r="11" spans="2:21" ht="14.1" customHeight="1" x14ac:dyDescent="0.35">
      <c r="B11" s="6" t="s">
        <v>230</v>
      </c>
      <c r="C11" s="6">
        <f t="shared" ref="C11:I11" si="1">SUM(C13:C14)</f>
        <v>138964</v>
      </c>
      <c r="D11" s="6">
        <f t="shared" si="1"/>
        <v>259059.80350408595</v>
      </c>
      <c r="E11" s="6">
        <f>SUM(E13:E14)</f>
        <v>129724.55</v>
      </c>
      <c r="F11" s="6">
        <f t="shared" si="1"/>
        <v>120477.2</v>
      </c>
      <c r="G11" s="6">
        <f t="shared" si="1"/>
        <v>134841.12</v>
      </c>
      <c r="H11" s="6">
        <f t="shared" si="1"/>
        <v>158190.57</v>
      </c>
      <c r="I11" s="6">
        <f t="shared" si="1"/>
        <v>543233.43999999994</v>
      </c>
      <c r="J11" s="6">
        <f t="shared" ref="J11:U11" si="2">SUM(J13:J14)</f>
        <v>260577.16</v>
      </c>
      <c r="K11" s="6">
        <f t="shared" si="2"/>
        <v>281688.51</v>
      </c>
      <c r="L11" s="6">
        <f t="shared" si="2"/>
        <v>286820.52999999997</v>
      </c>
      <c r="M11" s="6">
        <f t="shared" si="2"/>
        <v>281543.21999999997</v>
      </c>
      <c r="N11" s="6">
        <f t="shared" si="2"/>
        <v>1110629.42</v>
      </c>
      <c r="O11" s="6">
        <f t="shared" si="2"/>
        <v>336334.32999999996</v>
      </c>
      <c r="P11" s="6">
        <f t="shared" si="2"/>
        <v>366552.03</v>
      </c>
      <c r="Q11" s="6">
        <f t="shared" si="2"/>
        <v>366124.48</v>
      </c>
      <c r="R11" s="6">
        <f t="shared" si="2"/>
        <v>356507.13</v>
      </c>
      <c r="S11" s="6">
        <f t="shared" si="2"/>
        <v>1425517.9700000002</v>
      </c>
      <c r="T11" s="6">
        <f t="shared" si="2"/>
        <v>319991.33</v>
      </c>
      <c r="U11" s="6">
        <f t="shared" si="2"/>
        <v>381484.24</v>
      </c>
    </row>
    <row r="12" spans="2:21" ht="14.25" customHeight="1" x14ac:dyDescent="0.35">
      <c r="B12" s="6" t="s">
        <v>128</v>
      </c>
      <c r="C12" s="77">
        <f t="shared" ref="C12:U12" si="3">(C10/C8)*1000</f>
        <v>346.51289749729762</v>
      </c>
      <c r="D12" s="77">
        <f t="shared" si="3"/>
        <v>412.71817597187169</v>
      </c>
      <c r="E12" s="77">
        <f t="shared" si="3"/>
        <v>415.58264532217009</v>
      </c>
      <c r="F12" s="77">
        <f t="shared" si="3"/>
        <v>415.08445190156601</v>
      </c>
      <c r="G12" s="77">
        <f t="shared" si="3"/>
        <v>417.12576289705765</v>
      </c>
      <c r="H12" s="77">
        <f t="shared" si="3"/>
        <v>419.4370714414049</v>
      </c>
      <c r="I12" s="77">
        <f t="shared" si="3"/>
        <v>416.97074249359918</v>
      </c>
      <c r="J12" s="77">
        <f t="shared" si="3"/>
        <v>424.31193538476521</v>
      </c>
      <c r="K12" s="77">
        <f t="shared" si="3"/>
        <v>427.29246873389093</v>
      </c>
      <c r="L12" s="77">
        <f t="shared" si="3"/>
        <v>424.72558476408665</v>
      </c>
      <c r="M12" s="77">
        <f t="shared" si="3"/>
        <v>417.72880881164673</v>
      </c>
      <c r="N12" s="77">
        <f t="shared" si="3"/>
        <v>423.46308299180231</v>
      </c>
      <c r="O12" s="77">
        <f t="shared" si="3"/>
        <v>422.224931168701</v>
      </c>
      <c r="P12" s="77">
        <f t="shared" si="3"/>
        <v>430.43128100133163</v>
      </c>
      <c r="Q12" s="77">
        <f t="shared" si="3"/>
        <v>425.73011216116225</v>
      </c>
      <c r="R12" s="77">
        <f t="shared" si="3"/>
        <v>426.17853740771045</v>
      </c>
      <c r="S12" s="77">
        <f t="shared" si="3"/>
        <v>426.2078556489181</v>
      </c>
      <c r="T12" s="77">
        <f t="shared" si="3"/>
        <v>431.7930776732058</v>
      </c>
      <c r="U12" s="77">
        <f t="shared" si="3"/>
        <v>437.95599206692748</v>
      </c>
    </row>
    <row r="13" spans="2:21" ht="13.5" customHeight="1" x14ac:dyDescent="0.35">
      <c r="B13" s="7" t="s">
        <v>231</v>
      </c>
      <c r="C13" s="6">
        <v>56706.729999999996</v>
      </c>
      <c r="D13" s="6">
        <v>187133.00036734602</v>
      </c>
      <c r="E13" s="6">
        <v>85568.94</v>
      </c>
      <c r="F13" s="6">
        <v>70049.209999999992</v>
      </c>
      <c r="G13" s="6">
        <v>89986.38</v>
      </c>
      <c r="H13" s="6">
        <v>88987.94</v>
      </c>
      <c r="I13" s="6">
        <v>334592.46999999997</v>
      </c>
      <c r="J13" s="6">
        <v>91498.65</v>
      </c>
      <c r="K13" s="6">
        <v>116073.72</v>
      </c>
      <c r="L13" s="6">
        <v>97037.36</v>
      </c>
      <c r="M13" s="6">
        <v>99975.24000000002</v>
      </c>
      <c r="N13" s="6">
        <v>404584.97000000003</v>
      </c>
      <c r="O13" s="6">
        <v>133750.22</v>
      </c>
      <c r="P13" s="6">
        <v>181835.41</v>
      </c>
      <c r="Q13" s="6">
        <v>180375.56</v>
      </c>
      <c r="R13" s="6">
        <v>152758.46000000002</v>
      </c>
      <c r="S13" s="6">
        <v>648719.65</v>
      </c>
      <c r="T13" s="6">
        <v>154971.96000000002</v>
      </c>
      <c r="U13" s="6">
        <v>212846.56</v>
      </c>
    </row>
    <row r="14" spans="2:21" ht="14.25" customHeight="1" x14ac:dyDescent="0.35">
      <c r="B14" s="7" t="s">
        <v>232</v>
      </c>
      <c r="C14" s="6">
        <v>82257.27</v>
      </c>
      <c r="D14" s="6">
        <v>71926.803136739938</v>
      </c>
      <c r="E14" s="6">
        <v>44155.61</v>
      </c>
      <c r="F14" s="6">
        <v>50427.990000000005</v>
      </c>
      <c r="G14" s="6">
        <v>44854.74</v>
      </c>
      <c r="H14" s="6">
        <v>69202.63</v>
      </c>
      <c r="I14" s="6">
        <v>208640.97</v>
      </c>
      <c r="J14" s="6">
        <v>169078.51</v>
      </c>
      <c r="K14" s="6">
        <v>165614.79</v>
      </c>
      <c r="L14" s="6">
        <v>189783.16999999998</v>
      </c>
      <c r="M14" s="6">
        <v>181567.97999999998</v>
      </c>
      <c r="N14" s="6">
        <v>706044.45</v>
      </c>
      <c r="O14" s="6">
        <v>202584.11</v>
      </c>
      <c r="P14" s="6">
        <v>184716.62</v>
      </c>
      <c r="Q14" s="6">
        <v>185748.91999999998</v>
      </c>
      <c r="R14" s="6">
        <v>203748.66999999998</v>
      </c>
      <c r="S14" s="6">
        <v>776798.32000000007</v>
      </c>
      <c r="T14" s="6">
        <v>165019.37</v>
      </c>
      <c r="U14" s="6">
        <v>168637.68</v>
      </c>
    </row>
    <row r="15" spans="2:21" ht="15" customHeight="1" x14ac:dyDescent="0.35">
      <c r="B15" s="18" t="s">
        <v>131</v>
      </c>
      <c r="C15" s="78">
        <f t="shared" ref="C15:U15" si="4">C13/C11</f>
        <v>0.40806777294838947</v>
      </c>
      <c r="D15" s="78">
        <f t="shared" si="4"/>
        <v>0.7223544441713996</v>
      </c>
      <c r="E15" s="78">
        <f t="shared" si="4"/>
        <v>0.65962024921265872</v>
      </c>
      <c r="F15" s="78">
        <f t="shared" si="4"/>
        <v>0.58143125836257814</v>
      </c>
      <c r="G15" s="78">
        <f t="shared" si="4"/>
        <v>0.66735117596175419</v>
      </c>
      <c r="H15" s="78">
        <f t="shared" si="4"/>
        <v>0.56253631300525686</v>
      </c>
      <c r="I15" s="78">
        <f t="shared" si="4"/>
        <v>0.61592760195322294</v>
      </c>
      <c r="J15" s="78">
        <f t="shared" si="4"/>
        <v>0.35113841136345181</v>
      </c>
      <c r="K15" s="78">
        <f t="shared" si="4"/>
        <v>0.41206409164505858</v>
      </c>
      <c r="L15" s="78">
        <f t="shared" si="4"/>
        <v>0.33832083079966419</v>
      </c>
      <c r="M15" s="78">
        <f t="shared" si="4"/>
        <v>0.35509730974874842</v>
      </c>
      <c r="N15" s="78">
        <f t="shared" si="4"/>
        <v>0.36428439830092024</v>
      </c>
      <c r="O15" s="78">
        <f t="shared" si="4"/>
        <v>0.39767043703210436</v>
      </c>
      <c r="P15" s="78">
        <f t="shared" si="4"/>
        <v>0.49606984852873409</v>
      </c>
      <c r="Q15" s="78">
        <f t="shared" si="4"/>
        <v>0.49266184003866664</v>
      </c>
      <c r="R15" s="78">
        <f t="shared" si="4"/>
        <v>0.42848640923394721</v>
      </c>
      <c r="S15" s="78">
        <f t="shared" si="4"/>
        <v>0.45507644495004151</v>
      </c>
      <c r="T15" s="78">
        <f t="shared" si="4"/>
        <v>0.48430049651657753</v>
      </c>
      <c r="U15" s="78">
        <f t="shared" si="4"/>
        <v>0.55794325867826156</v>
      </c>
    </row>
    <row r="16" spans="2:21" ht="14.1" customHeight="1" x14ac:dyDescent="0.35">
      <c r="B16" s="6" t="s">
        <v>132</v>
      </c>
      <c r="C16" s="6">
        <f t="shared" ref="C16:O16" si="5">C17+C18+C19</f>
        <v>135210.4</v>
      </c>
      <c r="D16" s="6">
        <f t="shared" si="5"/>
        <v>248389.13</v>
      </c>
      <c r="E16" s="6">
        <f t="shared" si="5"/>
        <v>113779.6</v>
      </c>
      <c r="F16" s="6">
        <f t="shared" si="5"/>
        <v>107492.70000000001</v>
      </c>
      <c r="G16" s="6">
        <f t="shared" si="5"/>
        <v>120123.65</v>
      </c>
      <c r="H16" s="6">
        <f t="shared" si="5"/>
        <v>138224.13</v>
      </c>
      <c r="I16" s="6">
        <f t="shared" si="5"/>
        <v>479620.07999999996</v>
      </c>
      <c r="J16" s="6">
        <f t="shared" si="5"/>
        <v>225457.95</v>
      </c>
      <c r="K16" s="6">
        <f t="shared" si="5"/>
        <v>231039.59</v>
      </c>
      <c r="L16" s="6">
        <f t="shared" si="5"/>
        <v>237589.69</v>
      </c>
      <c r="M16" s="6">
        <f t="shared" si="5"/>
        <v>240058.82</v>
      </c>
      <c r="N16" s="6">
        <f t="shared" si="5"/>
        <v>934146.05</v>
      </c>
      <c r="O16" s="6">
        <f t="shared" si="5"/>
        <v>294744.89</v>
      </c>
      <c r="P16" s="6">
        <f>P17+P18+P19</f>
        <v>317857.88</v>
      </c>
      <c r="Q16" s="6">
        <f>Q17+Q18+Q19</f>
        <v>308394.02999999997</v>
      </c>
      <c r="R16" s="6">
        <f>R17+R18+R19</f>
        <v>300498.90000000002</v>
      </c>
      <c r="S16" s="6">
        <f>SUM(O16:R16)</f>
        <v>1221495.7000000002</v>
      </c>
      <c r="T16" s="6">
        <v>288439.08</v>
      </c>
      <c r="U16" s="6">
        <v>331573.57</v>
      </c>
    </row>
    <row r="17" spans="2:21" ht="14.1" customHeight="1" x14ac:dyDescent="0.35">
      <c r="B17" s="7" t="s">
        <v>133</v>
      </c>
      <c r="C17" s="6">
        <v>41758.35</v>
      </c>
      <c r="D17" s="6">
        <v>113190.65</v>
      </c>
      <c r="E17" s="6">
        <v>29419.95</v>
      </c>
      <c r="F17" s="6">
        <v>29955.440000000002</v>
      </c>
      <c r="G17" s="6">
        <v>31956.929999999997</v>
      </c>
      <c r="H17" s="6">
        <v>37547.460000000006</v>
      </c>
      <c r="I17" s="6">
        <v>128879.78</v>
      </c>
      <c r="J17" s="6">
        <v>63149.850000000006</v>
      </c>
      <c r="K17" s="6">
        <v>75537.7</v>
      </c>
      <c r="L17" s="6">
        <v>75487.89</v>
      </c>
      <c r="M17" s="6">
        <v>74897.049999999988</v>
      </c>
      <c r="N17" s="6">
        <v>289072.49</v>
      </c>
      <c r="O17" s="6">
        <v>87498.42</v>
      </c>
      <c r="P17" s="6">
        <v>95747.51999999999</v>
      </c>
      <c r="Q17" s="6">
        <v>95925.569999999992</v>
      </c>
      <c r="R17" s="6">
        <v>92061.040000000008</v>
      </c>
      <c r="S17" s="6">
        <f>SUM(O17:R17)</f>
        <v>371232.55000000005</v>
      </c>
      <c r="T17" s="6">
        <v>84076.55</v>
      </c>
      <c r="U17" s="6">
        <v>95744.54</v>
      </c>
    </row>
    <row r="18" spans="2:21" ht="14.25" customHeight="1" x14ac:dyDescent="0.35">
      <c r="B18" s="7" t="s">
        <v>134</v>
      </c>
      <c r="C18" s="6">
        <v>33620.49</v>
      </c>
      <c r="D18" s="6">
        <v>72379.839999999997</v>
      </c>
      <c r="E18" s="6">
        <v>34571.1</v>
      </c>
      <c r="F18" s="6">
        <v>33360.79</v>
      </c>
      <c r="G18" s="6">
        <v>35961.69</v>
      </c>
      <c r="H18" s="6">
        <v>39525.51</v>
      </c>
      <c r="I18" s="6">
        <v>143419.09</v>
      </c>
      <c r="J18" s="6">
        <v>67639.839999999997</v>
      </c>
      <c r="K18" s="6">
        <v>72717.049999999988</v>
      </c>
      <c r="L18" s="6">
        <v>73394.22</v>
      </c>
      <c r="M18" s="6">
        <v>73964.960000000021</v>
      </c>
      <c r="N18" s="6">
        <v>287716.07</v>
      </c>
      <c r="O18" s="6">
        <v>76163.34</v>
      </c>
      <c r="P18" s="6">
        <v>80455.260000000009</v>
      </c>
      <c r="Q18" s="6">
        <v>79259.78</v>
      </c>
      <c r="R18" s="6">
        <v>79144.81</v>
      </c>
      <c r="S18" s="6">
        <f t="shared" ref="S18:S19" si="6">SUM(O18:R18)</f>
        <v>315023.19</v>
      </c>
      <c r="T18" s="6">
        <v>72886.41</v>
      </c>
      <c r="U18" s="6">
        <v>74001.03</v>
      </c>
    </row>
    <row r="19" spans="2:21" ht="14.25" customHeight="1" x14ac:dyDescent="0.35">
      <c r="B19" s="7" t="s">
        <v>135</v>
      </c>
      <c r="C19" s="6">
        <v>59831.56</v>
      </c>
      <c r="D19" s="6">
        <v>62818.64</v>
      </c>
      <c r="E19" s="6">
        <v>49788.55</v>
      </c>
      <c r="F19" s="6">
        <v>44176.47</v>
      </c>
      <c r="G19" s="6">
        <v>52205.03</v>
      </c>
      <c r="H19" s="6">
        <v>61151.16</v>
      </c>
      <c r="I19" s="6">
        <v>207321.21</v>
      </c>
      <c r="J19" s="6">
        <v>94668.26</v>
      </c>
      <c r="K19" s="6">
        <v>82784.84</v>
      </c>
      <c r="L19" s="6">
        <v>88707.58</v>
      </c>
      <c r="M19" s="6">
        <v>91196.81</v>
      </c>
      <c r="N19" s="6">
        <v>357357.49</v>
      </c>
      <c r="O19" s="6">
        <v>131083.13</v>
      </c>
      <c r="P19" s="6">
        <v>141655.09999999998</v>
      </c>
      <c r="Q19" s="6">
        <v>133208.68</v>
      </c>
      <c r="R19" s="6">
        <v>129293.05</v>
      </c>
      <c r="S19" s="6">
        <f t="shared" si="6"/>
        <v>535239.96</v>
      </c>
      <c r="T19" s="6">
        <v>131476.12</v>
      </c>
      <c r="U19" s="6">
        <v>161828</v>
      </c>
    </row>
    <row r="20" spans="2:21" ht="14.25" customHeight="1" x14ac:dyDescent="0.35">
      <c r="B20" s="6" t="s">
        <v>136</v>
      </c>
      <c r="C20" s="6">
        <v>2832.8</v>
      </c>
      <c r="D20" s="6">
        <v>7492</v>
      </c>
      <c r="E20" s="6">
        <v>3894.51</v>
      </c>
      <c r="F20" s="6">
        <v>3368.31</v>
      </c>
      <c r="G20" s="6">
        <v>3911.12</v>
      </c>
      <c r="H20" s="6">
        <v>4330.49</v>
      </c>
      <c r="I20" s="6">
        <v>15504.429999999998</v>
      </c>
      <c r="J20" s="6">
        <v>7703.9800000000005</v>
      </c>
      <c r="K20" s="6">
        <v>8535.1</v>
      </c>
      <c r="L20" s="6">
        <v>8782.81</v>
      </c>
      <c r="M20" s="6">
        <v>8515.4799999999959</v>
      </c>
      <c r="N20" s="6">
        <v>33537.479999999996</v>
      </c>
      <c r="O20" s="6">
        <v>10622.259999999998</v>
      </c>
      <c r="P20" s="6">
        <v>11552.03</v>
      </c>
      <c r="Q20" s="6">
        <v>11715.8</v>
      </c>
      <c r="R20" s="6">
        <v>10729.779999999999</v>
      </c>
      <c r="S20" s="6">
        <f>SUM(O20:R20)</f>
        <v>44619.869999999995</v>
      </c>
      <c r="T20" s="6">
        <v>288439.08</v>
      </c>
      <c r="U20" s="6">
        <v>23098.05</v>
      </c>
    </row>
    <row r="21" spans="2:21" ht="14.25" customHeight="1" thickBot="1" x14ac:dyDescent="0.4">
      <c r="B21" s="21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2:21" ht="14.25" customHeight="1" thickBot="1" x14ac:dyDescent="0.4">
      <c r="B22" s="9" t="s">
        <v>302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2:21" ht="14.25" customHeight="1" x14ac:dyDescent="0.35">
      <c r="B23" s="5" t="s">
        <v>137</v>
      </c>
      <c r="C23" s="4">
        <f t="shared" ref="C23:U23" si="7">C24+C25</f>
        <v>233945.62167999998</v>
      </c>
      <c r="D23" s="4">
        <f t="shared" si="7"/>
        <v>456539.03858000005</v>
      </c>
      <c r="E23" s="4">
        <f t="shared" si="7"/>
        <v>182525.37059000001</v>
      </c>
      <c r="F23" s="4">
        <f t="shared" si="7"/>
        <v>187418.70570932512</v>
      </c>
      <c r="G23" s="4">
        <f t="shared" si="7"/>
        <v>272258</v>
      </c>
      <c r="H23" s="4">
        <f t="shared" si="7"/>
        <v>332081.41860000027</v>
      </c>
      <c r="I23" s="4">
        <f t="shared" si="7"/>
        <v>974244</v>
      </c>
      <c r="J23" s="4">
        <f t="shared" si="7"/>
        <v>379240</v>
      </c>
      <c r="K23" s="4">
        <f t="shared" si="7"/>
        <v>405919</v>
      </c>
      <c r="L23" s="4">
        <f t="shared" si="7"/>
        <v>596505.41997000028</v>
      </c>
      <c r="M23" s="4">
        <f t="shared" si="7"/>
        <v>741335.68901999923</v>
      </c>
      <c r="N23" s="4">
        <f t="shared" si="7"/>
        <v>2122996</v>
      </c>
      <c r="O23" s="4">
        <f t="shared" si="7"/>
        <v>883714</v>
      </c>
      <c r="P23" s="4">
        <f t="shared" si="7"/>
        <v>1050291</v>
      </c>
      <c r="Q23" s="4">
        <f t="shared" si="7"/>
        <v>1514665</v>
      </c>
      <c r="R23" s="4">
        <f t="shared" si="7"/>
        <v>1210367</v>
      </c>
      <c r="S23" s="4">
        <f t="shared" si="7"/>
        <v>4659042</v>
      </c>
      <c r="T23" s="4">
        <f t="shared" si="7"/>
        <v>1121579</v>
      </c>
      <c r="U23" s="4">
        <f t="shared" si="7"/>
        <v>1004221</v>
      </c>
    </row>
    <row r="24" spans="2:21" ht="14.25" customHeight="1" x14ac:dyDescent="0.35">
      <c r="B24" s="7" t="s">
        <v>138</v>
      </c>
      <c r="C24" s="6">
        <f>85.6973508*1000</f>
        <v>85697.3508</v>
      </c>
      <c r="D24" s="6">
        <v>327987.91621000005</v>
      </c>
      <c r="E24" s="6">
        <v>114666</v>
      </c>
      <c r="F24" s="6">
        <v>145187.80402522514</v>
      </c>
      <c r="G24" s="6">
        <v>182610</v>
      </c>
      <c r="H24" s="6">
        <v>168759.73560000036</v>
      </c>
      <c r="I24" s="6">
        <v>611184</v>
      </c>
      <c r="J24" s="6">
        <v>141935</v>
      </c>
      <c r="K24" s="6">
        <v>180381</v>
      </c>
      <c r="L24" s="49">
        <v>212368.46580999999</v>
      </c>
      <c r="M24" s="49">
        <v>261431.8441999997</v>
      </c>
      <c r="N24" s="49">
        <v>796074</v>
      </c>
      <c r="O24" s="49">
        <v>381684</v>
      </c>
      <c r="P24" s="49">
        <v>565034</v>
      </c>
      <c r="Q24" s="49">
        <v>777213</v>
      </c>
      <c r="R24" s="49">
        <v>515040</v>
      </c>
      <c r="S24" s="6">
        <v>2238970</v>
      </c>
      <c r="T24" s="6">
        <v>564694</v>
      </c>
      <c r="U24" s="49">
        <v>644486</v>
      </c>
    </row>
    <row r="25" spans="2:21" ht="14.25" customHeight="1" x14ac:dyDescent="0.35">
      <c r="B25" s="7" t="s">
        <v>139</v>
      </c>
      <c r="C25" s="6">
        <f>148.24827088*1000</f>
        <v>148248.27088</v>
      </c>
      <c r="D25" s="6">
        <v>128551.12237000001</v>
      </c>
      <c r="E25" s="6">
        <v>67859.370589999991</v>
      </c>
      <c r="F25" s="6">
        <v>42230.901684099983</v>
      </c>
      <c r="G25" s="6">
        <v>89648</v>
      </c>
      <c r="H25" s="6">
        <v>163321.6829999999</v>
      </c>
      <c r="I25" s="6">
        <v>363060</v>
      </c>
      <c r="J25" s="6">
        <v>237305</v>
      </c>
      <c r="K25" s="6">
        <v>225538</v>
      </c>
      <c r="L25" s="49">
        <v>384136.95416000026</v>
      </c>
      <c r="M25" s="49">
        <v>479903.84481999953</v>
      </c>
      <c r="N25" s="49">
        <v>1326922</v>
      </c>
      <c r="O25" s="49">
        <v>502030</v>
      </c>
      <c r="P25" s="49">
        <v>485257</v>
      </c>
      <c r="Q25" s="49">
        <v>737452</v>
      </c>
      <c r="R25" s="49">
        <v>695327</v>
      </c>
      <c r="S25" s="6">
        <v>2420072</v>
      </c>
      <c r="T25" s="6">
        <v>556885</v>
      </c>
      <c r="U25" s="49">
        <v>359735</v>
      </c>
    </row>
    <row r="26" spans="2:21" ht="14.25" customHeight="1" x14ac:dyDescent="0.35">
      <c r="B26" s="5" t="s">
        <v>310</v>
      </c>
      <c r="C26" s="4">
        <f t="shared" ref="C26:U26" si="8">SUM(C27:C30)</f>
        <v>29347.841780000002</v>
      </c>
      <c r="D26" s="4">
        <f t="shared" si="8"/>
        <v>78352.003899999996</v>
      </c>
      <c r="E26" s="4">
        <f t="shared" si="8"/>
        <v>37657.985315029982</v>
      </c>
      <c r="F26" s="4">
        <f t="shared" si="8"/>
        <v>38304.104010234405</v>
      </c>
      <c r="G26" s="4">
        <f t="shared" si="8"/>
        <v>44344</v>
      </c>
      <c r="H26" s="4">
        <f t="shared" si="8"/>
        <v>50767.712459999981</v>
      </c>
      <c r="I26" s="4">
        <f t="shared" si="8"/>
        <v>171073.80178526434</v>
      </c>
      <c r="J26" s="4">
        <f t="shared" si="8"/>
        <v>105456</v>
      </c>
      <c r="K26" s="4">
        <f t="shared" si="8"/>
        <v>139870</v>
      </c>
      <c r="L26" s="4">
        <f t="shared" si="8"/>
        <v>168008.12561999998</v>
      </c>
      <c r="M26" s="4">
        <f t="shared" si="8"/>
        <v>184414.29784999997</v>
      </c>
      <c r="N26" s="4">
        <f t="shared" si="8"/>
        <v>597750</v>
      </c>
      <c r="O26" s="4">
        <f t="shared" si="8"/>
        <v>278736</v>
      </c>
      <c r="P26" s="4">
        <f t="shared" si="8"/>
        <v>305081</v>
      </c>
      <c r="Q26" s="4">
        <f t="shared" si="8"/>
        <v>295668</v>
      </c>
      <c r="R26" s="4">
        <f t="shared" si="8"/>
        <v>334087</v>
      </c>
      <c r="S26" s="4">
        <f>SUM(S27:S30)</f>
        <v>1213571</v>
      </c>
      <c r="T26" s="4">
        <f t="shared" si="8"/>
        <v>338873</v>
      </c>
      <c r="U26" s="4">
        <f t="shared" si="8"/>
        <v>404629</v>
      </c>
    </row>
    <row r="27" spans="2:21" ht="14.25" customHeight="1" x14ac:dyDescent="0.35">
      <c r="B27" s="7" t="s">
        <v>140</v>
      </c>
      <c r="C27" s="6">
        <f>15.29983774*1000</f>
        <v>15299.837739999999</v>
      </c>
      <c r="D27" s="6">
        <v>37367.780789999997</v>
      </c>
      <c r="E27" s="6">
        <v>19025.494236279988</v>
      </c>
      <c r="F27" s="6">
        <v>17177.047983400003</v>
      </c>
      <c r="G27" s="6">
        <v>20911</v>
      </c>
      <c r="H27" s="6">
        <v>25453.499630000006</v>
      </c>
      <c r="I27" s="6">
        <v>82567.041849679998</v>
      </c>
      <c r="J27" s="6">
        <v>52038</v>
      </c>
      <c r="K27" s="6">
        <v>77626</v>
      </c>
      <c r="L27" s="49">
        <v>86199.273029999997</v>
      </c>
      <c r="M27" s="49">
        <v>93783.864899999957</v>
      </c>
      <c r="N27" s="49">
        <v>309648</v>
      </c>
      <c r="O27" s="49">
        <v>162389</v>
      </c>
      <c r="P27" s="49">
        <v>158790</v>
      </c>
      <c r="Q27" s="49">
        <v>136580</v>
      </c>
      <c r="R27" s="49">
        <v>163382</v>
      </c>
      <c r="S27" s="6">
        <v>621141</v>
      </c>
      <c r="T27" s="6">
        <v>142589</v>
      </c>
      <c r="U27" s="49">
        <v>163713</v>
      </c>
    </row>
    <row r="28" spans="2:21" ht="14.25" customHeight="1" x14ac:dyDescent="0.35">
      <c r="B28" s="7" t="s">
        <v>141</v>
      </c>
      <c r="C28" s="6">
        <f>7.58341023*1000</f>
        <v>7583.4102300000004</v>
      </c>
      <c r="D28" s="6">
        <v>19925.109980000001</v>
      </c>
      <c r="E28" s="6">
        <v>10009.763848124996</v>
      </c>
      <c r="F28" s="6">
        <v>11009.431141749999</v>
      </c>
      <c r="G28" s="6">
        <v>11302</v>
      </c>
      <c r="H28" s="6">
        <v>14794.691119999989</v>
      </c>
      <c r="I28" s="6">
        <v>47115.886109874984</v>
      </c>
      <c r="J28" s="6">
        <v>26940</v>
      </c>
      <c r="K28" s="6">
        <v>31423</v>
      </c>
      <c r="L28" s="49">
        <v>32492.978349999983</v>
      </c>
      <c r="M28" s="49">
        <v>38077.849990000046</v>
      </c>
      <c r="N28" s="49">
        <v>128934</v>
      </c>
      <c r="O28" s="49">
        <v>42381</v>
      </c>
      <c r="P28" s="49">
        <v>58988</v>
      </c>
      <c r="Q28" s="49">
        <v>65810</v>
      </c>
      <c r="R28" s="49">
        <v>79223</v>
      </c>
      <c r="S28" s="6">
        <v>246401</v>
      </c>
      <c r="T28" s="6">
        <v>85911</v>
      </c>
      <c r="U28" s="49">
        <v>95657</v>
      </c>
    </row>
    <row r="29" spans="2:21" ht="14.25" customHeight="1" x14ac:dyDescent="0.35">
      <c r="B29" s="7" t="s">
        <v>142</v>
      </c>
      <c r="C29" s="6">
        <f>3.01612557*1000</f>
        <v>3016.1255699999997</v>
      </c>
      <c r="D29" s="6">
        <v>8736.9156700000021</v>
      </c>
      <c r="E29" s="6">
        <v>2119.9617266250007</v>
      </c>
      <c r="F29" s="6">
        <v>4304.8394312500013</v>
      </c>
      <c r="G29" s="6">
        <v>5065</v>
      </c>
      <c r="H29" s="6">
        <v>5841.7761699999937</v>
      </c>
      <c r="I29" s="6">
        <v>17331.577327874995</v>
      </c>
      <c r="J29" s="6">
        <v>10243</v>
      </c>
      <c r="K29" s="6">
        <v>8500</v>
      </c>
      <c r="L29" s="49">
        <v>9985.9595700000009</v>
      </c>
      <c r="M29" s="49">
        <v>14518.841819999994</v>
      </c>
      <c r="N29" s="49">
        <v>43248</v>
      </c>
      <c r="O29" s="49">
        <v>21682</v>
      </c>
      <c r="P29" s="49">
        <v>24611</v>
      </c>
      <c r="Q29" s="49">
        <v>22987</v>
      </c>
      <c r="R29" s="49">
        <v>24484</v>
      </c>
      <c r="S29" s="6">
        <v>93763</v>
      </c>
      <c r="T29" s="6">
        <v>45915</v>
      </c>
      <c r="U29" s="49">
        <v>58963</v>
      </c>
    </row>
    <row r="30" spans="2:21" ht="14.25" customHeight="1" x14ac:dyDescent="0.35">
      <c r="B30" s="27" t="s">
        <v>143</v>
      </c>
      <c r="C30" s="6">
        <f>3.44846824*1000</f>
        <v>3448.4682400000002</v>
      </c>
      <c r="D30" s="6">
        <v>12322.197459999994</v>
      </c>
      <c r="E30" s="6">
        <v>6502.7655039999981</v>
      </c>
      <c r="F30" s="6">
        <v>5812.7854538344009</v>
      </c>
      <c r="G30" s="6">
        <v>7066</v>
      </c>
      <c r="H30" s="6">
        <v>4677.7455399999926</v>
      </c>
      <c r="I30" s="6">
        <v>24059.296497834392</v>
      </c>
      <c r="J30" s="6">
        <v>16235</v>
      </c>
      <c r="K30" s="6">
        <v>22321</v>
      </c>
      <c r="L30" s="49">
        <v>39329.914670000006</v>
      </c>
      <c r="M30" s="49">
        <v>38033.741139999969</v>
      </c>
      <c r="N30" s="49">
        <v>115920</v>
      </c>
      <c r="O30" s="49">
        <v>52284</v>
      </c>
      <c r="P30" s="49">
        <v>62692</v>
      </c>
      <c r="Q30" s="49">
        <v>70291</v>
      </c>
      <c r="R30" s="49">
        <v>66998</v>
      </c>
      <c r="S30" s="6">
        <v>252266</v>
      </c>
      <c r="T30" s="6">
        <v>64458</v>
      </c>
      <c r="U30" s="49">
        <v>86296</v>
      </c>
    </row>
    <row r="31" spans="2:21" ht="14.25" customHeight="1" x14ac:dyDescent="0.35">
      <c r="B31" s="5" t="s">
        <v>144</v>
      </c>
      <c r="C31" s="4">
        <v>5687</v>
      </c>
      <c r="D31" s="4">
        <f>SUM(D32:D33)</f>
        <v>9925.0835200000001</v>
      </c>
      <c r="E31" s="4">
        <f t="shared" ref="E31:U31" si="9">SUM(E32:E33)</f>
        <v>3562.5960200000009</v>
      </c>
      <c r="F31" s="4">
        <f t="shared" si="9"/>
        <v>3701.1235499999998</v>
      </c>
      <c r="G31" s="4">
        <f t="shared" si="9"/>
        <v>4857</v>
      </c>
      <c r="H31" s="4">
        <f t="shared" si="9"/>
        <v>6824.2848399999957</v>
      </c>
      <c r="I31" s="4">
        <f t="shared" si="9"/>
        <v>18944.756529999999</v>
      </c>
      <c r="J31" s="4">
        <f t="shared" si="9"/>
        <v>6247.19625</v>
      </c>
      <c r="K31" s="4">
        <f t="shared" si="9"/>
        <v>7309.2668899999999</v>
      </c>
      <c r="L31" s="4">
        <f t="shared" si="9"/>
        <v>12100.055649999998</v>
      </c>
      <c r="M31" s="4">
        <f t="shared" si="9"/>
        <v>8397.8926599999977</v>
      </c>
      <c r="N31" s="4">
        <f t="shared" si="9"/>
        <v>34060.217189999996</v>
      </c>
      <c r="O31" s="4">
        <f t="shared" si="9"/>
        <v>8177.74208</v>
      </c>
      <c r="P31" s="4">
        <f t="shared" si="9"/>
        <v>18592.659189040001</v>
      </c>
      <c r="Q31" s="4">
        <f t="shared" si="9"/>
        <v>14622</v>
      </c>
      <c r="R31" s="4">
        <f t="shared" si="9"/>
        <v>11341</v>
      </c>
      <c r="S31" s="4">
        <f t="shared" si="9"/>
        <v>52731</v>
      </c>
      <c r="T31" s="4">
        <f t="shared" si="9"/>
        <v>3926.171699999999</v>
      </c>
      <c r="U31" s="4">
        <f t="shared" si="9"/>
        <v>3551.6184500000004</v>
      </c>
    </row>
    <row r="32" spans="2:21" ht="14.25" customHeight="1" x14ac:dyDescent="0.35">
      <c r="B32" s="7" t="s">
        <v>145</v>
      </c>
      <c r="C32" s="49">
        <v>0</v>
      </c>
      <c r="D32" s="49">
        <v>9925.0835200000001</v>
      </c>
      <c r="E32" s="49">
        <v>3158.5960200000009</v>
      </c>
      <c r="F32" s="49">
        <v>2976.9988599999997</v>
      </c>
      <c r="G32" s="49">
        <v>3941</v>
      </c>
      <c r="H32" s="49">
        <v>5778.6529999999966</v>
      </c>
      <c r="I32" s="49">
        <v>15855</v>
      </c>
      <c r="J32" s="49">
        <v>5375</v>
      </c>
      <c r="K32" s="49">
        <v>6163</v>
      </c>
      <c r="L32" s="49">
        <v>10957.489959999999</v>
      </c>
      <c r="M32" s="49">
        <v>7438.675470000002</v>
      </c>
      <c r="N32" s="49">
        <v>29936</v>
      </c>
      <c r="O32" s="49">
        <v>7490</v>
      </c>
      <c r="P32" s="49">
        <v>17866</v>
      </c>
      <c r="Q32" s="49">
        <v>13609</v>
      </c>
      <c r="R32" s="49">
        <v>10760</v>
      </c>
      <c r="S32" s="6">
        <v>49725</v>
      </c>
      <c r="T32" s="6">
        <v>2969.171699999999</v>
      </c>
      <c r="U32" s="49">
        <v>2399.6184500000004</v>
      </c>
    </row>
    <row r="33" spans="2:21" ht="14.25" customHeight="1" x14ac:dyDescent="0.35">
      <c r="B33" s="7" t="s">
        <v>95</v>
      </c>
      <c r="C33" s="49">
        <v>0</v>
      </c>
      <c r="D33" s="49">
        <v>0</v>
      </c>
      <c r="E33" s="49">
        <v>404</v>
      </c>
      <c r="F33" s="49">
        <v>724.1246900000001</v>
      </c>
      <c r="G33" s="49">
        <v>916</v>
      </c>
      <c r="H33" s="49">
        <v>1045.6318399999991</v>
      </c>
      <c r="I33" s="49">
        <v>3089.7565299999992</v>
      </c>
      <c r="J33" s="49">
        <v>872.19624999999996</v>
      </c>
      <c r="K33" s="49">
        <v>1146.2668900000001</v>
      </c>
      <c r="L33" s="49">
        <v>1142.5656900000001</v>
      </c>
      <c r="M33" s="49">
        <v>959.21718999999575</v>
      </c>
      <c r="N33" s="49">
        <v>4124.2171899999958</v>
      </c>
      <c r="O33" s="49">
        <v>687.74207999999999</v>
      </c>
      <c r="P33" s="49">
        <v>726.65918904</v>
      </c>
      <c r="Q33" s="49">
        <v>1013</v>
      </c>
      <c r="R33" s="49">
        <v>581</v>
      </c>
      <c r="S33" s="6">
        <v>3006</v>
      </c>
      <c r="T33" s="6">
        <v>957</v>
      </c>
      <c r="U33" s="49">
        <v>1152</v>
      </c>
    </row>
    <row r="34" spans="2:21" ht="14.25" customHeight="1" x14ac:dyDescent="0.35">
      <c r="B34" s="5" t="s">
        <v>300</v>
      </c>
      <c r="C34" s="4">
        <f t="shared" ref="C34:U34" si="10">C31+C26+C23</f>
        <v>268980.46346</v>
      </c>
      <c r="D34" s="4">
        <f t="shared" si="10"/>
        <v>544816.12600000005</v>
      </c>
      <c r="E34" s="4">
        <f t="shared" si="10"/>
        <v>223745.95192502998</v>
      </c>
      <c r="F34" s="4">
        <f t="shared" si="10"/>
        <v>229423.93326955952</v>
      </c>
      <c r="G34" s="4">
        <f t="shared" si="10"/>
        <v>321459</v>
      </c>
      <c r="H34" s="4">
        <f t="shared" si="10"/>
        <v>389673.41590000025</v>
      </c>
      <c r="I34" s="4">
        <f t="shared" si="10"/>
        <v>1164262.5583152643</v>
      </c>
      <c r="J34" s="4">
        <f t="shared" si="10"/>
        <v>490943.19624999998</v>
      </c>
      <c r="K34" s="4">
        <f t="shared" si="10"/>
        <v>553098.26688999997</v>
      </c>
      <c r="L34" s="4">
        <f t="shared" si="10"/>
        <v>776613.60124000022</v>
      </c>
      <c r="M34" s="4">
        <f t="shared" si="10"/>
        <v>934147.87952999922</v>
      </c>
      <c r="N34" s="4">
        <f t="shared" si="10"/>
        <v>2754806.2171900002</v>
      </c>
      <c r="O34" s="4">
        <f t="shared" si="10"/>
        <v>1170627.74208</v>
      </c>
      <c r="P34" s="4">
        <f t="shared" si="10"/>
        <v>1373964.6591890401</v>
      </c>
      <c r="Q34" s="4">
        <f t="shared" si="10"/>
        <v>1824955</v>
      </c>
      <c r="R34" s="4">
        <f t="shared" si="10"/>
        <v>1555795</v>
      </c>
      <c r="S34" s="4">
        <f t="shared" si="10"/>
        <v>5925344</v>
      </c>
      <c r="T34" s="4">
        <f t="shared" si="10"/>
        <v>1464378.1717000001</v>
      </c>
      <c r="U34" s="4">
        <f t="shared" si="10"/>
        <v>1412401.61845</v>
      </c>
    </row>
    <row r="35" spans="2:21" ht="14.25" customHeight="1" thickBot="1" x14ac:dyDescent="0.4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 ht="14.25" customHeight="1" thickBot="1" x14ac:dyDescent="0.4">
      <c r="B36" s="9" t="s">
        <v>303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ht="14.25" customHeight="1" x14ac:dyDescent="0.35">
      <c r="B37" s="6" t="s">
        <v>304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6654.8993099999998</v>
      </c>
      <c r="I37" s="49">
        <v>6654.8993099999998</v>
      </c>
      <c r="J37" s="49">
        <f>70835.94593</f>
        <v>70835.945930000002</v>
      </c>
      <c r="K37" s="49">
        <f>49013.0907600001</f>
        <v>49013.090760000101</v>
      </c>
      <c r="L37" s="49">
        <v>0</v>
      </c>
      <c r="M37" s="49">
        <v>0</v>
      </c>
      <c r="N37" s="49">
        <f>SUM(J37:M37)</f>
        <v>119849.0366900001</v>
      </c>
      <c r="O37" s="49">
        <v>38257.985249999976</v>
      </c>
      <c r="P37" s="49">
        <v>49124.53231000001</v>
      </c>
      <c r="Q37" s="49">
        <v>78850</v>
      </c>
      <c r="R37" s="49">
        <v>119400</v>
      </c>
      <c r="S37" s="49">
        <v>285632</v>
      </c>
      <c r="T37" s="49">
        <v>254659</v>
      </c>
      <c r="U37" s="49">
        <v>283857</v>
      </c>
    </row>
    <row r="38" spans="2:21" ht="14.25" customHeight="1" x14ac:dyDescent="0.35">
      <c r="B38" s="6" t="s">
        <v>305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3962.828300000001</v>
      </c>
      <c r="U38" s="49">
        <v>9135.2281899999998</v>
      </c>
    </row>
    <row r="39" spans="2:21" ht="14.25" customHeight="1" x14ac:dyDescent="0.35">
      <c r="B39" s="5" t="s">
        <v>301</v>
      </c>
      <c r="C39" s="4">
        <f>SUM(C37:C38)</f>
        <v>0</v>
      </c>
      <c r="D39" s="4">
        <f t="shared" ref="D39:U39" si="11">SUM(D37:D38)</f>
        <v>0</v>
      </c>
      <c r="E39" s="4">
        <f t="shared" si="11"/>
        <v>0</v>
      </c>
      <c r="F39" s="4">
        <f t="shared" si="11"/>
        <v>0</v>
      </c>
      <c r="G39" s="4">
        <f t="shared" si="11"/>
        <v>0</v>
      </c>
      <c r="H39" s="4">
        <f t="shared" si="11"/>
        <v>6654.8993099999998</v>
      </c>
      <c r="I39" s="4">
        <f t="shared" si="11"/>
        <v>6654.8993099999998</v>
      </c>
      <c r="J39" s="4">
        <f t="shared" si="11"/>
        <v>70835.945930000002</v>
      </c>
      <c r="K39" s="4">
        <f t="shared" si="11"/>
        <v>49013.090760000101</v>
      </c>
      <c r="L39" s="4">
        <f t="shared" si="11"/>
        <v>0</v>
      </c>
      <c r="M39" s="4">
        <f t="shared" si="11"/>
        <v>0</v>
      </c>
      <c r="N39" s="4">
        <f t="shared" si="11"/>
        <v>119849.0366900001</v>
      </c>
      <c r="O39" s="4">
        <f t="shared" si="11"/>
        <v>38257.985249999976</v>
      </c>
      <c r="P39" s="4">
        <f t="shared" si="11"/>
        <v>49124.53231000001</v>
      </c>
      <c r="Q39" s="4">
        <f t="shared" si="11"/>
        <v>78850</v>
      </c>
      <c r="R39" s="4">
        <f t="shared" si="11"/>
        <v>119400</v>
      </c>
      <c r="S39" s="4">
        <f t="shared" si="11"/>
        <v>285632</v>
      </c>
      <c r="T39" s="4">
        <f t="shared" si="11"/>
        <v>258621.82829999999</v>
      </c>
      <c r="U39" s="4">
        <f t="shared" si="11"/>
        <v>292992.22818999999</v>
      </c>
    </row>
    <row r="40" spans="2:21" ht="14.25" customHeight="1" thickBot="1" x14ac:dyDescent="0.4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1" ht="14.25" customHeight="1" thickBot="1" x14ac:dyDescent="0.4">
      <c r="B41" s="9" t="s">
        <v>306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ht="14.25" customHeight="1" x14ac:dyDescent="0.35">
      <c r="B42" s="6" t="s">
        <v>307</v>
      </c>
      <c r="C42" s="49">
        <v>16659</v>
      </c>
      <c r="D42" s="49">
        <v>20469.394109999997</v>
      </c>
      <c r="E42" s="49">
        <v>10784.868492425001</v>
      </c>
      <c r="F42" s="49">
        <v>12603.560758275</v>
      </c>
      <c r="G42" s="49">
        <v>18453</v>
      </c>
      <c r="H42" s="49">
        <v>19061.157730000006</v>
      </c>
      <c r="I42" s="49">
        <v>60902.586980700005</v>
      </c>
      <c r="J42" s="49">
        <v>48391</v>
      </c>
      <c r="K42" s="49">
        <v>59644</v>
      </c>
      <c r="L42" s="49">
        <v>62701.003619999996</v>
      </c>
      <c r="M42" s="49">
        <v>62315.999630000006</v>
      </c>
      <c r="N42" s="49">
        <v>233051</v>
      </c>
      <c r="O42" s="49">
        <v>85723</v>
      </c>
      <c r="P42" s="49">
        <v>97223</v>
      </c>
      <c r="Q42" s="49">
        <v>111793</v>
      </c>
      <c r="R42" s="49">
        <v>129588</v>
      </c>
      <c r="S42" s="49">
        <v>424326</v>
      </c>
      <c r="T42" s="49">
        <v>103896</v>
      </c>
      <c r="U42" s="49">
        <v>145521.86297000002</v>
      </c>
    </row>
    <row r="43" spans="2:21" ht="14.25" customHeight="1" x14ac:dyDescent="0.35">
      <c r="B43" s="6" t="s">
        <v>308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59701</v>
      </c>
      <c r="U43" s="49">
        <v>55824.137029999969</v>
      </c>
    </row>
    <row r="44" spans="2:21" ht="14.25" customHeight="1" x14ac:dyDescent="0.35">
      <c r="B44" s="5" t="s">
        <v>309</v>
      </c>
      <c r="C44" s="4">
        <f>SUM(C42:C43,C34,C39)</f>
        <v>285639.46346</v>
      </c>
      <c r="D44" s="4">
        <f t="shared" ref="D44:U44" si="12">SUM(D42:D43,D34,D39)</f>
        <v>565285.52011000004</v>
      </c>
      <c r="E44" s="4">
        <f t="shared" si="12"/>
        <v>234530.82041745499</v>
      </c>
      <c r="F44" s="4">
        <f t="shared" si="12"/>
        <v>242027.49402783453</v>
      </c>
      <c r="G44" s="4">
        <f t="shared" si="12"/>
        <v>339912</v>
      </c>
      <c r="H44" s="4">
        <f t="shared" si="12"/>
        <v>415389.47294000024</v>
      </c>
      <c r="I44" s="4">
        <f t="shared" si="12"/>
        <v>1231820.0446059643</v>
      </c>
      <c r="J44" s="4">
        <f t="shared" si="12"/>
        <v>610170.14218000008</v>
      </c>
      <c r="K44" s="4">
        <f t="shared" si="12"/>
        <v>661755.35765000002</v>
      </c>
      <c r="L44" s="4">
        <f t="shared" si="12"/>
        <v>839314.6048600002</v>
      </c>
      <c r="M44" s="4">
        <f t="shared" si="12"/>
        <v>996463.8791599992</v>
      </c>
      <c r="N44" s="4">
        <f t="shared" si="12"/>
        <v>3107706.2538800002</v>
      </c>
      <c r="O44" s="4">
        <f t="shared" si="12"/>
        <v>1294608.7273299999</v>
      </c>
      <c r="P44" s="4">
        <f t="shared" si="12"/>
        <v>1520312.19149904</v>
      </c>
      <c r="Q44" s="4">
        <f t="shared" si="12"/>
        <v>2015598</v>
      </c>
      <c r="R44" s="4">
        <f t="shared" si="12"/>
        <v>1804783</v>
      </c>
      <c r="S44" s="4">
        <f t="shared" si="12"/>
        <v>6635302</v>
      </c>
      <c r="T44" s="4">
        <f t="shared" si="12"/>
        <v>1886597</v>
      </c>
      <c r="U44" s="4">
        <f t="shared" si="12"/>
        <v>1906739.8466399999</v>
      </c>
    </row>
    <row r="45" spans="2:21" ht="14.25" customHeight="1" thickBot="1" x14ac:dyDescent="0.4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</row>
    <row r="46" spans="2:21" ht="14.25" customHeight="1" thickBot="1" x14ac:dyDescent="0.4">
      <c r="B46" s="9" t="s">
        <v>314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ht="14.25" customHeight="1" x14ac:dyDescent="0.35">
      <c r="B47" s="24" t="s">
        <v>311</v>
      </c>
      <c r="C47" s="35">
        <f t="shared" ref="C47:U47" si="13">C26</f>
        <v>29347.841780000002</v>
      </c>
      <c r="D47" s="35">
        <f t="shared" si="13"/>
        <v>78352.003899999996</v>
      </c>
      <c r="E47" s="35">
        <f t="shared" si="13"/>
        <v>37657.985315029982</v>
      </c>
      <c r="F47" s="35">
        <f t="shared" si="13"/>
        <v>38304.104010234405</v>
      </c>
      <c r="G47" s="35">
        <f t="shared" si="13"/>
        <v>44344</v>
      </c>
      <c r="H47" s="35">
        <f t="shared" si="13"/>
        <v>50767.712459999981</v>
      </c>
      <c r="I47" s="35">
        <f t="shared" si="13"/>
        <v>171073.80178526434</v>
      </c>
      <c r="J47" s="35">
        <f t="shared" si="13"/>
        <v>105456</v>
      </c>
      <c r="K47" s="35">
        <f t="shared" si="13"/>
        <v>139870</v>
      </c>
      <c r="L47" s="35">
        <f t="shared" si="13"/>
        <v>168008.12561999998</v>
      </c>
      <c r="M47" s="35">
        <f t="shared" si="13"/>
        <v>184414.29784999997</v>
      </c>
      <c r="N47" s="35">
        <f t="shared" si="13"/>
        <v>597750</v>
      </c>
      <c r="O47" s="35">
        <f t="shared" si="13"/>
        <v>278736</v>
      </c>
      <c r="P47" s="35">
        <f t="shared" si="13"/>
        <v>305081</v>
      </c>
      <c r="Q47" s="35">
        <f t="shared" si="13"/>
        <v>295668</v>
      </c>
      <c r="R47" s="35">
        <f t="shared" si="13"/>
        <v>334087</v>
      </c>
      <c r="S47" s="35">
        <f t="shared" si="13"/>
        <v>1213571</v>
      </c>
      <c r="T47" s="35">
        <f t="shared" si="13"/>
        <v>338873</v>
      </c>
      <c r="U47" s="35">
        <f t="shared" si="13"/>
        <v>404629</v>
      </c>
    </row>
    <row r="48" spans="2:21" ht="14.25" customHeight="1" x14ac:dyDescent="0.35">
      <c r="B48" s="24" t="s">
        <v>233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2229.5793100000001</v>
      </c>
      <c r="I48" s="35">
        <v>2229.5793100000001</v>
      </c>
      <c r="J48" s="35">
        <v>16613.945930000002</v>
      </c>
      <c r="K48" s="35">
        <v>11187.26540490325</v>
      </c>
      <c r="L48" s="35">
        <v>0</v>
      </c>
      <c r="M48" s="35">
        <v>-1657.1779179984878</v>
      </c>
      <c r="N48" s="35">
        <v>26370.39240000007</v>
      </c>
      <c r="O48" s="35">
        <v>2658.9852499999761</v>
      </c>
      <c r="P48" s="35">
        <v>5381.5323100000096</v>
      </c>
      <c r="Q48" s="35">
        <v>10012</v>
      </c>
      <c r="R48" s="35">
        <v>28259</v>
      </c>
      <c r="S48" s="35">
        <v>46311</v>
      </c>
      <c r="T48" s="35">
        <v>9232</v>
      </c>
      <c r="U48" s="35">
        <v>17532</v>
      </c>
    </row>
    <row r="49" spans="2:23" s="12" customFormat="1" ht="14.25" customHeight="1" x14ac:dyDescent="0.35">
      <c r="B49" s="38" t="s">
        <v>313</v>
      </c>
      <c r="C49" s="65">
        <f t="shared" ref="C49:U49" si="14">C48+C47</f>
        <v>29347.841780000002</v>
      </c>
      <c r="D49" s="65">
        <f t="shared" si="14"/>
        <v>78352.003899999996</v>
      </c>
      <c r="E49" s="65">
        <f t="shared" si="14"/>
        <v>37657.985315029982</v>
      </c>
      <c r="F49" s="65">
        <f t="shared" si="14"/>
        <v>38304.104010234405</v>
      </c>
      <c r="G49" s="65">
        <f t="shared" si="14"/>
        <v>44344</v>
      </c>
      <c r="H49" s="65">
        <f t="shared" si="14"/>
        <v>52997.291769999982</v>
      </c>
      <c r="I49" s="65">
        <f t="shared" si="14"/>
        <v>173303.38109526434</v>
      </c>
      <c r="J49" s="65">
        <f t="shared" si="14"/>
        <v>122069.94593</v>
      </c>
      <c r="K49" s="65">
        <f t="shared" si="14"/>
        <v>151057.26540490324</v>
      </c>
      <c r="L49" s="65">
        <f t="shared" si="14"/>
        <v>168008.12561999998</v>
      </c>
      <c r="M49" s="65">
        <f t="shared" si="14"/>
        <v>182757.11993200149</v>
      </c>
      <c r="N49" s="65">
        <f t="shared" si="14"/>
        <v>624120.39240000001</v>
      </c>
      <c r="O49" s="65">
        <f t="shared" si="14"/>
        <v>281394.98524999997</v>
      </c>
      <c r="P49" s="65">
        <f t="shared" si="14"/>
        <v>310462.53231000004</v>
      </c>
      <c r="Q49" s="65">
        <f t="shared" si="14"/>
        <v>305680</v>
      </c>
      <c r="R49" s="65">
        <f t="shared" si="14"/>
        <v>362346</v>
      </c>
      <c r="S49" s="65">
        <f t="shared" si="14"/>
        <v>1259882</v>
      </c>
      <c r="T49" s="65">
        <f t="shared" si="14"/>
        <v>348105</v>
      </c>
      <c r="U49" s="65">
        <f t="shared" si="14"/>
        <v>422161</v>
      </c>
      <c r="V49" s="2"/>
      <c r="W49" s="2"/>
    </row>
    <row r="50" spans="2:23" s="12" customFormat="1" ht="14.25" customHeight="1" x14ac:dyDescent="0.35">
      <c r="B50" s="38" t="s">
        <v>234</v>
      </c>
      <c r="C50" s="5">
        <v>98216</v>
      </c>
      <c r="D50" s="5">
        <v>197509.17300000001</v>
      </c>
      <c r="E50" s="5">
        <v>98790.066000000006</v>
      </c>
      <c r="F50" s="5">
        <v>91409.876000000004</v>
      </c>
      <c r="G50" s="5">
        <v>133587</v>
      </c>
      <c r="H50" s="5">
        <v>150035.68</v>
      </c>
      <c r="I50" s="5">
        <v>473998.68</v>
      </c>
      <c r="J50" s="5">
        <v>237949</v>
      </c>
      <c r="K50" s="5">
        <v>235933.89273451449</v>
      </c>
      <c r="L50" s="5">
        <v>319921</v>
      </c>
      <c r="M50" s="5">
        <v>364599.03642306896</v>
      </c>
      <c r="N50" s="5">
        <v>1160816.036423069</v>
      </c>
      <c r="O50" s="5">
        <v>500055.41288067901</v>
      </c>
      <c r="P50" s="5">
        <v>605136</v>
      </c>
      <c r="Q50" s="5">
        <v>796938</v>
      </c>
      <c r="R50" s="5">
        <v>787040.54952695221</v>
      </c>
      <c r="S50" s="5">
        <v>2681902.5495269522</v>
      </c>
      <c r="T50" s="5">
        <v>667187</v>
      </c>
      <c r="U50" s="5">
        <v>782877</v>
      </c>
      <c r="V50" s="2"/>
      <c r="W50" s="2"/>
    </row>
    <row r="51" spans="2:23" s="12" customFormat="1" ht="14.25" customHeight="1" x14ac:dyDescent="0.35">
      <c r="B51" s="38" t="s">
        <v>312</v>
      </c>
      <c r="C51" s="66">
        <f>C47/C50</f>
        <v>0.29880917345442698</v>
      </c>
      <c r="D51" s="66">
        <f t="shared" ref="D51:N51" si="15">D47/D50</f>
        <v>0.39670058210410303</v>
      </c>
      <c r="E51" s="66">
        <f t="shared" si="15"/>
        <v>0.38119202506687239</v>
      </c>
      <c r="F51" s="66">
        <f t="shared" si="15"/>
        <v>0.41903682278525795</v>
      </c>
      <c r="G51" s="66">
        <f t="shared" si="15"/>
        <v>0.33194846803955474</v>
      </c>
      <c r="H51" s="66">
        <f t="shared" si="15"/>
        <v>0.33837092923496587</v>
      </c>
      <c r="I51" s="66">
        <f t="shared" si="15"/>
        <v>0.36091619872288322</v>
      </c>
      <c r="J51" s="66">
        <f t="shared" si="15"/>
        <v>0.44318740570458376</v>
      </c>
      <c r="K51" s="66">
        <f t="shared" si="15"/>
        <v>0.59283555397184606</v>
      </c>
      <c r="L51" s="66">
        <f t="shared" si="15"/>
        <v>0.52515504021305248</v>
      </c>
      <c r="M51" s="66">
        <f t="shared" si="15"/>
        <v>0.50580028861077841</v>
      </c>
      <c r="N51" s="66">
        <f t="shared" si="15"/>
        <v>0.51493947468360535</v>
      </c>
      <c r="O51" s="66">
        <f>-(O47+O48)/(-O50)</f>
        <v>0.56272760578465164</v>
      </c>
      <c r="P51" s="66">
        <f t="shared" ref="P51:U51" si="16">-(P47+P48)/(-P50)</f>
        <v>0.51304588110771798</v>
      </c>
      <c r="Q51" s="66">
        <f t="shared" si="16"/>
        <v>0.38356810692927179</v>
      </c>
      <c r="R51" s="66">
        <f t="shared" si="16"/>
        <v>0.46039051001601722</v>
      </c>
      <c r="S51" s="66">
        <f t="shared" si="16"/>
        <v>0.46977172985730764</v>
      </c>
      <c r="T51" s="66">
        <f t="shared" si="16"/>
        <v>0.52175027391121231</v>
      </c>
      <c r="U51" s="66">
        <f t="shared" si="16"/>
        <v>0.53924307394392734</v>
      </c>
      <c r="V51" s="2"/>
      <c r="W51" s="2"/>
    </row>
    <row r="52" spans="2:23" ht="14.25" customHeight="1" thickBot="1" x14ac:dyDescent="0.4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2:23" ht="14.25" customHeight="1" thickBot="1" x14ac:dyDescent="0.4">
      <c r="B53" s="9" t="s">
        <v>315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3" ht="14.25" customHeight="1" x14ac:dyDescent="0.35">
      <c r="B54" s="79" t="s">
        <v>316</v>
      </c>
      <c r="C54" s="71">
        <f>C23+C26+C31</f>
        <v>268980.46346</v>
      </c>
      <c r="D54" s="71">
        <v>544816</v>
      </c>
      <c r="E54" s="71">
        <v>223746</v>
      </c>
      <c r="F54" s="71">
        <v>229423.82925932511</v>
      </c>
      <c r="G54" s="71">
        <v>321459</v>
      </c>
      <c r="H54" s="71">
        <v>389673.41590000025</v>
      </c>
      <c r="I54" s="71">
        <v>1164262.7565299999</v>
      </c>
      <c r="J54" s="71">
        <v>490943.19624999998</v>
      </c>
      <c r="K54" s="71">
        <v>553098.26688999997</v>
      </c>
      <c r="L54" s="71">
        <v>776613.05564999999</v>
      </c>
      <c r="M54" s="71">
        <v>934148.21719</v>
      </c>
      <c r="N54" s="71">
        <v>2754806.2171900002</v>
      </c>
      <c r="O54" s="71">
        <v>1170627.74208</v>
      </c>
      <c r="P54" s="71">
        <v>1373964.6591890401</v>
      </c>
      <c r="Q54" s="71">
        <v>1824955</v>
      </c>
      <c r="R54" s="71">
        <v>1555795</v>
      </c>
      <c r="S54" s="71">
        <v>5925344</v>
      </c>
      <c r="T54" s="71">
        <v>1464378.1717000001</v>
      </c>
      <c r="U54" s="71">
        <v>1412401.61845</v>
      </c>
    </row>
    <row r="55" spans="2:23" ht="14.25" customHeight="1" x14ac:dyDescent="0.35">
      <c r="B55" s="79" t="s">
        <v>317</v>
      </c>
      <c r="C55" s="71">
        <v>-127940</v>
      </c>
      <c r="D55" s="71">
        <v>-252814.52299999999</v>
      </c>
      <c r="E55" s="71">
        <v>-124429.81100000002</v>
      </c>
      <c r="F55" s="71">
        <v>-111512.08700000001</v>
      </c>
      <c r="G55" s="71">
        <v>-162548</v>
      </c>
      <c r="H55" s="71">
        <v>-185027.68</v>
      </c>
      <c r="I55" s="71">
        <v>-583835.67999999993</v>
      </c>
      <c r="J55" s="71">
        <v>-297936</v>
      </c>
      <c r="K55" s="71">
        <v>-284577.58563384152</v>
      </c>
      <c r="L55" s="71">
        <v>-387429</v>
      </c>
      <c r="M55" s="71">
        <v>-440147.056924048</v>
      </c>
      <c r="N55" s="71">
        <v>-1411278.0569240481</v>
      </c>
      <c r="O55" s="71">
        <v>-573840.27616353252</v>
      </c>
      <c r="P55" s="71">
        <v>-690698</v>
      </c>
      <c r="Q55" s="71">
        <v>-907056</v>
      </c>
      <c r="R55" s="71">
        <v>-890031.71287375584</v>
      </c>
      <c r="S55" s="71">
        <v>-3061627.712873756</v>
      </c>
      <c r="T55" s="71">
        <v>-758300</v>
      </c>
      <c r="U55" s="71">
        <v>-875981</v>
      </c>
    </row>
    <row r="56" spans="2:23" ht="14.25" customHeight="1" x14ac:dyDescent="0.35">
      <c r="B56" s="39" t="s">
        <v>318</v>
      </c>
      <c r="C56" s="74">
        <v>-98216</v>
      </c>
      <c r="D56" s="74">
        <v>-197509.17300000001</v>
      </c>
      <c r="E56" s="74">
        <v>-98790.066000000006</v>
      </c>
      <c r="F56" s="74">
        <v>-91409.876000000004</v>
      </c>
      <c r="G56" s="74">
        <v>-133587</v>
      </c>
      <c r="H56" s="74">
        <v>-150035.68</v>
      </c>
      <c r="I56" s="74">
        <v>-473998.68</v>
      </c>
      <c r="J56" s="74">
        <v>-237949</v>
      </c>
      <c r="K56" s="74">
        <v>-235933.89273451449</v>
      </c>
      <c r="L56" s="74">
        <v>-319921</v>
      </c>
      <c r="M56" s="74">
        <v>-364599.03642306896</v>
      </c>
      <c r="N56" s="74">
        <v>-1160816.036423069</v>
      </c>
      <c r="O56" s="74">
        <v>-500055.41288067901</v>
      </c>
      <c r="P56" s="74">
        <v>-605136</v>
      </c>
      <c r="Q56" s="74">
        <v>-796938</v>
      </c>
      <c r="R56" s="74">
        <v>-787040.54952695221</v>
      </c>
      <c r="S56" s="74">
        <v>-2681902.5495269522</v>
      </c>
      <c r="T56" s="74">
        <v>-667187</v>
      </c>
      <c r="U56" s="74">
        <v>-782877</v>
      </c>
    </row>
    <row r="57" spans="2:23" ht="14.25" customHeight="1" x14ac:dyDescent="0.35">
      <c r="B57" s="39" t="s">
        <v>319</v>
      </c>
      <c r="C57" s="74">
        <v>-17654</v>
      </c>
      <c r="D57" s="74">
        <v>-29106.346000000001</v>
      </c>
      <c r="E57" s="74">
        <v>-16192.694</v>
      </c>
      <c r="F57" s="74">
        <v>-11412.119000000001</v>
      </c>
      <c r="G57" s="74">
        <v>-17110</v>
      </c>
      <c r="H57" s="74">
        <v>-21429</v>
      </c>
      <c r="I57" s="74">
        <v>-66285</v>
      </c>
      <c r="J57" s="74">
        <v>-36722</v>
      </c>
      <c r="K57" s="74">
        <v>-28444.892459826948</v>
      </c>
      <c r="L57" s="74">
        <v>-43052</v>
      </c>
      <c r="M57" s="74">
        <v>-47782.157267351984</v>
      </c>
      <c r="N57" s="74">
        <v>-155416.15726735198</v>
      </c>
      <c r="O57" s="74">
        <v>-42381.391146613416</v>
      </c>
      <c r="P57" s="74">
        <v>-49468</v>
      </c>
      <c r="Q57" s="74">
        <v>-62132</v>
      </c>
      <c r="R57" s="74">
        <v>-63300.158585972473</v>
      </c>
      <c r="S57" s="74">
        <v>-224550.15858597247</v>
      </c>
      <c r="T57" s="74">
        <v>-56262</v>
      </c>
      <c r="U57" s="74">
        <v>-60627</v>
      </c>
    </row>
    <row r="58" spans="2:23" ht="14.25" customHeight="1" x14ac:dyDescent="0.35">
      <c r="B58" s="39" t="s">
        <v>320</v>
      </c>
      <c r="C58" s="74">
        <v>-12070</v>
      </c>
      <c r="D58" s="74">
        <v>-26199.004000000001</v>
      </c>
      <c r="E58" s="74">
        <v>-9447.0509999999995</v>
      </c>
      <c r="F58" s="74">
        <v>-8690.0920000000006</v>
      </c>
      <c r="G58" s="74">
        <v>-11851</v>
      </c>
      <c r="H58" s="74">
        <v>-13563</v>
      </c>
      <c r="I58" s="74">
        <v>-43552</v>
      </c>
      <c r="J58" s="74">
        <v>-23265</v>
      </c>
      <c r="K58" s="74">
        <v>-20198.800439500068</v>
      </c>
      <c r="L58" s="74">
        <v>-24456</v>
      </c>
      <c r="M58" s="74">
        <v>-27765.863233627053</v>
      </c>
      <c r="N58" s="74">
        <v>-95045.863233627053</v>
      </c>
      <c r="O58" s="74">
        <v>-31403.472136240081</v>
      </c>
      <c r="P58" s="74">
        <v>-36094</v>
      </c>
      <c r="Q58" s="74">
        <v>-47986</v>
      </c>
      <c r="R58" s="74">
        <v>-39691.0047608311</v>
      </c>
      <c r="S58" s="74">
        <v>-155175.0047608311</v>
      </c>
      <c r="T58" s="74">
        <v>-34851</v>
      </c>
      <c r="U58" s="74">
        <v>-32477</v>
      </c>
    </row>
    <row r="59" spans="2:23" ht="14.25" customHeight="1" x14ac:dyDescent="0.35">
      <c r="B59" s="79" t="s">
        <v>321</v>
      </c>
      <c r="C59" s="71">
        <v>-39449</v>
      </c>
      <c r="D59" s="71">
        <v>-58843.072999999997</v>
      </c>
      <c r="E59" s="71">
        <v>-12832.231999999996</v>
      </c>
      <c r="F59" s="71">
        <v>-21409.728999999999</v>
      </c>
      <c r="G59" s="71">
        <v>-23004.510000000002</v>
      </c>
      <c r="H59" s="71">
        <v>-21401</v>
      </c>
      <c r="I59" s="71">
        <v>-78470</v>
      </c>
      <c r="J59" s="71">
        <v>-46876</v>
      </c>
      <c r="K59" s="71">
        <v>-40454.565306963326</v>
      </c>
      <c r="L59" s="71">
        <v>-56989</v>
      </c>
      <c r="M59" s="71">
        <v>-64598.943075951975</v>
      </c>
      <c r="N59" s="71">
        <v>-208789.94307595197</v>
      </c>
      <c r="O59" s="71">
        <v>-71203.723836467514</v>
      </c>
      <c r="P59" s="71">
        <v>-64912</v>
      </c>
      <c r="Q59" s="71">
        <v>-79275</v>
      </c>
      <c r="R59" s="71">
        <v>-75472.563289776881</v>
      </c>
      <c r="S59" s="71">
        <v>-290863.2871262444</v>
      </c>
      <c r="T59" s="71">
        <v>-78026</v>
      </c>
      <c r="U59" s="71">
        <v>-88314</v>
      </c>
    </row>
    <row r="60" spans="2:23" ht="14.25" customHeight="1" x14ac:dyDescent="0.35">
      <c r="B60" s="39" t="s">
        <v>322</v>
      </c>
      <c r="C60" s="74">
        <v>-6042</v>
      </c>
      <c r="D60" s="74">
        <v>-13536</v>
      </c>
      <c r="E60" s="74">
        <v>-4290.9960000000001</v>
      </c>
      <c r="F60" s="74">
        <v>-4369.9170000000004</v>
      </c>
      <c r="G60" s="74">
        <v>-5440</v>
      </c>
      <c r="H60" s="74">
        <v>-4792</v>
      </c>
      <c r="I60" s="74">
        <v>-18893</v>
      </c>
      <c r="J60" s="74">
        <v>-6354</v>
      </c>
      <c r="K60" s="74">
        <v>-5171.9772009339376</v>
      </c>
      <c r="L60" s="74">
        <v>-8625</v>
      </c>
      <c r="M60" s="74">
        <v>-12223.952671072293</v>
      </c>
      <c r="N60" s="74">
        <v>-32179.952671072293</v>
      </c>
      <c r="O60" s="74">
        <v>-10256.123270649581</v>
      </c>
      <c r="P60" s="74">
        <v>-10515</v>
      </c>
      <c r="Q60" s="74">
        <v>-12052</v>
      </c>
      <c r="R60" s="74">
        <v>-10132.777309061819</v>
      </c>
      <c r="S60" s="74">
        <v>-42955.9005797114</v>
      </c>
      <c r="T60" s="74">
        <v>-13993</v>
      </c>
      <c r="U60" s="74">
        <v>-13612</v>
      </c>
    </row>
    <row r="61" spans="2:23" ht="14.25" customHeight="1" x14ac:dyDescent="0.35">
      <c r="B61" s="39" t="s">
        <v>323</v>
      </c>
      <c r="C61" s="74">
        <v>-13257</v>
      </c>
      <c r="D61" s="74">
        <v>-20365.109</v>
      </c>
      <c r="E61" s="74">
        <v>-5440.5169999999998</v>
      </c>
      <c r="F61" s="74">
        <v>-5815.0110000000004</v>
      </c>
      <c r="G61" s="74">
        <v>-7131</v>
      </c>
      <c r="H61" s="74">
        <v>-7028</v>
      </c>
      <c r="I61" s="74">
        <v>-25414</v>
      </c>
      <c r="J61" s="74">
        <v>-12393</v>
      </c>
      <c r="K61" s="74">
        <v>-12074.494437577256</v>
      </c>
      <c r="L61" s="74">
        <v>-12442</v>
      </c>
      <c r="M61" s="74">
        <v>-15673.204844901324</v>
      </c>
      <c r="N61" s="74">
        <v>-52237.204844901324</v>
      </c>
      <c r="O61" s="74">
        <v>-13851.464802795806</v>
      </c>
      <c r="P61" s="74">
        <v>-14070</v>
      </c>
      <c r="Q61" s="74">
        <v>-17676</v>
      </c>
      <c r="R61" s="74">
        <v>-16489.929368438021</v>
      </c>
      <c r="S61" s="74">
        <v>-62087.394171233827</v>
      </c>
      <c r="T61" s="74">
        <v>-17402</v>
      </c>
      <c r="U61" s="74">
        <v>-23476</v>
      </c>
    </row>
    <row r="62" spans="2:23" ht="14.25" customHeight="1" x14ac:dyDescent="0.35">
      <c r="B62" s="39" t="s">
        <v>324</v>
      </c>
      <c r="C62" s="74">
        <v>-10189</v>
      </c>
      <c r="D62" s="74">
        <v>-15776.758</v>
      </c>
      <c r="E62" s="74">
        <v>-8068.4030000000002</v>
      </c>
      <c r="F62" s="74">
        <v>-8456.17</v>
      </c>
      <c r="G62" s="74">
        <v>-11086</v>
      </c>
      <c r="H62" s="74">
        <v>-10835</v>
      </c>
      <c r="I62" s="74">
        <v>-38446</v>
      </c>
      <c r="J62" s="74">
        <v>-23442</v>
      </c>
      <c r="K62" s="74">
        <v>-16172.986814997939</v>
      </c>
      <c r="L62" s="74">
        <v>-16930</v>
      </c>
      <c r="M62" s="74">
        <v>-18463</v>
      </c>
      <c r="N62" s="74">
        <v>-75744</v>
      </c>
      <c r="O62" s="74">
        <v>-30451</v>
      </c>
      <c r="P62" s="74">
        <v>-28234</v>
      </c>
      <c r="Q62" s="74">
        <v>-33977</v>
      </c>
      <c r="R62" s="74">
        <v>-32416</v>
      </c>
      <c r="S62" s="74">
        <v>-125078</v>
      </c>
      <c r="T62" s="74">
        <v>-30446</v>
      </c>
      <c r="U62" s="74">
        <v>-32086</v>
      </c>
    </row>
    <row r="63" spans="2:23" ht="14.25" customHeight="1" x14ac:dyDescent="0.35">
      <c r="B63" s="39" t="s">
        <v>325</v>
      </c>
      <c r="C63" s="74">
        <v>-9961</v>
      </c>
      <c r="D63" s="74">
        <v>-9165.2060000000001</v>
      </c>
      <c r="E63" s="74">
        <v>4967.6840000000002</v>
      </c>
      <c r="F63" s="74">
        <v>-2768.6309999999999</v>
      </c>
      <c r="G63" s="74">
        <v>652.48999999999978</v>
      </c>
      <c r="H63" s="74">
        <v>1254</v>
      </c>
      <c r="I63" s="74">
        <v>4283</v>
      </c>
      <c r="J63" s="74">
        <v>-4687</v>
      </c>
      <c r="K63" s="74">
        <v>-7035.1068534541955</v>
      </c>
      <c r="L63" s="74">
        <v>-18992</v>
      </c>
      <c r="M63" s="74">
        <v>-18238.785559978358</v>
      </c>
      <c r="N63" s="74">
        <v>-48628.785559978358</v>
      </c>
      <c r="O63" s="74">
        <v>-16645.135763022132</v>
      </c>
      <c r="P63" s="74">
        <v>-12093</v>
      </c>
      <c r="Q63" s="74">
        <v>-15570</v>
      </c>
      <c r="R63" s="74">
        <v>-16433.856612277043</v>
      </c>
      <c r="S63" s="74">
        <v>-60741.992375299174</v>
      </c>
      <c r="T63" s="74">
        <v>-16185</v>
      </c>
      <c r="U63" s="74">
        <v>-19140</v>
      </c>
    </row>
    <row r="64" spans="2:23" ht="14.25" customHeight="1" x14ac:dyDescent="0.35">
      <c r="B64" s="79" t="s">
        <v>326</v>
      </c>
      <c r="C64" s="71">
        <f>C55+C59</f>
        <v>-167389</v>
      </c>
      <c r="D64" s="71">
        <v>-311657.59599999996</v>
      </c>
      <c r="E64" s="71">
        <v>-137262.04300000001</v>
      </c>
      <c r="F64" s="71">
        <v>-132921.81600000002</v>
      </c>
      <c r="G64" s="71">
        <v>-185552.51</v>
      </c>
      <c r="H64" s="71">
        <v>-206428.68</v>
      </c>
      <c r="I64" s="71">
        <v>-662305.67999999993</v>
      </c>
      <c r="J64" s="71">
        <v>-344812</v>
      </c>
      <c r="K64" s="71">
        <v>-325032.15094080486</v>
      </c>
      <c r="L64" s="71">
        <v>-444418</v>
      </c>
      <c r="M64" s="71">
        <v>-504746</v>
      </c>
      <c r="N64" s="71">
        <v>-1620068</v>
      </c>
      <c r="O64" s="71">
        <v>-645044</v>
      </c>
      <c r="P64" s="71">
        <v>-755610</v>
      </c>
      <c r="Q64" s="71">
        <v>-986331</v>
      </c>
      <c r="R64" s="71">
        <v>-965504.27616353275</v>
      </c>
      <c r="S64" s="71">
        <v>-3352491.0000000005</v>
      </c>
      <c r="T64" s="71">
        <v>-836326</v>
      </c>
      <c r="U64" s="71">
        <v>-964295</v>
      </c>
    </row>
    <row r="65" spans="2:21" ht="14.25" customHeight="1" x14ac:dyDescent="0.35">
      <c r="B65" s="79" t="s">
        <v>327</v>
      </c>
      <c r="C65" s="71">
        <f>C54+C64</f>
        <v>101591.46346</v>
      </c>
      <c r="D65" s="71">
        <v>233158.40400000004</v>
      </c>
      <c r="E65" s="71">
        <v>86483.956999999995</v>
      </c>
      <c r="F65" s="71">
        <v>96502.013259325089</v>
      </c>
      <c r="G65" s="71">
        <v>135906.49</v>
      </c>
      <c r="H65" s="71">
        <v>183244.73590000026</v>
      </c>
      <c r="I65" s="71">
        <v>501957.07652999996</v>
      </c>
      <c r="J65" s="71">
        <v>146131.19624999998</v>
      </c>
      <c r="K65" s="71">
        <v>228066.11594919511</v>
      </c>
      <c r="L65" s="71">
        <v>332195.05564999999</v>
      </c>
      <c r="M65" s="71">
        <v>429402.21719</v>
      </c>
      <c r="N65" s="71">
        <v>1134738.2171900002</v>
      </c>
      <c r="O65" s="71">
        <v>525583.74208</v>
      </c>
      <c r="P65" s="71">
        <v>618354.65918904007</v>
      </c>
      <c r="Q65" s="71">
        <v>838624</v>
      </c>
      <c r="R65" s="71">
        <v>590290.72383646725</v>
      </c>
      <c r="S65" s="71">
        <v>2572852.9999999995</v>
      </c>
      <c r="T65" s="71">
        <v>628052.17170000006</v>
      </c>
      <c r="U65" s="71">
        <v>448106.61844999995</v>
      </c>
    </row>
    <row r="66" spans="2:21" ht="14.25" customHeight="1" x14ac:dyDescent="0.35">
      <c r="B66" s="80" t="s">
        <v>328</v>
      </c>
      <c r="C66" s="81">
        <f>C65/C54</f>
        <v>0.37769086331843438</v>
      </c>
      <c r="D66" s="81">
        <v>0.42795807024756988</v>
      </c>
      <c r="E66" s="81">
        <v>0.38652738819911864</v>
      </c>
      <c r="F66" s="81">
        <v>0.42062768096441183</v>
      </c>
      <c r="G66" s="81">
        <v>0.42278016792188117</v>
      </c>
      <c r="H66" s="81">
        <v>0.47025208398364376</v>
      </c>
      <c r="I66" s="81">
        <v>0.431137278689603</v>
      </c>
      <c r="J66" s="81">
        <v>0.29765397986203374</v>
      </c>
      <c r="K66" s="81">
        <v>0.41234285045147834</v>
      </c>
      <c r="L66" s="81">
        <v>0.42774848199270032</v>
      </c>
      <c r="M66" s="81">
        <v>0.45967246876697965</v>
      </c>
      <c r="N66" s="81">
        <v>0.41191217375263273</v>
      </c>
      <c r="O66" s="81">
        <v>0.44897598372829434</v>
      </c>
      <c r="P66" s="81">
        <v>0.45005135689153292</v>
      </c>
      <c r="Q66" s="81">
        <v>0.4595313309095293</v>
      </c>
      <c r="R66" s="81">
        <v>0.37941420549395471</v>
      </c>
      <c r="S66" s="81">
        <v>0.43421158332748266</v>
      </c>
      <c r="T66" s="81">
        <v>0.4288865976272323</v>
      </c>
      <c r="U66" s="81">
        <v>0.31726572144668158</v>
      </c>
    </row>
    <row r="67" spans="2:21" ht="14.25" customHeight="1" x14ac:dyDescent="0.35">
      <c r="B67" s="79" t="s">
        <v>329</v>
      </c>
      <c r="C67" s="82">
        <v>17.7</v>
      </c>
      <c r="D67" s="82">
        <v>18.25</v>
      </c>
      <c r="E67" s="83">
        <v>21.49</v>
      </c>
      <c r="F67" s="82">
        <v>21.34</v>
      </c>
      <c r="G67" s="82">
        <v>22.75</v>
      </c>
      <c r="H67" s="84">
        <v>24.252280173674752</v>
      </c>
      <c r="I67" s="82">
        <v>22.53</v>
      </c>
      <c r="J67" s="83">
        <v>24.01</v>
      </c>
      <c r="K67" s="82">
        <v>24.21</v>
      </c>
      <c r="L67" s="82">
        <v>28.79</v>
      </c>
      <c r="M67" s="84">
        <v>31.553207990189691</v>
      </c>
      <c r="N67" s="84">
        <v>27.244265210836751</v>
      </c>
      <c r="O67" s="84">
        <v>40.65241110080251</v>
      </c>
      <c r="P67" s="84">
        <v>47.357998443166153</v>
      </c>
      <c r="Q67" s="84">
        <v>51.379665470624069</v>
      </c>
      <c r="R67" s="84">
        <v>56.049556746606868</v>
      </c>
      <c r="S67" s="85">
        <v>48.978428711167808</v>
      </c>
      <c r="T67" s="85">
        <v>55.948488964735333</v>
      </c>
      <c r="U67" s="85">
        <v>56.336507380630664</v>
      </c>
    </row>
    <row r="68" spans="2:21" ht="14.25" customHeight="1" x14ac:dyDescent="0.35">
      <c r="B68" s="79" t="s">
        <v>330</v>
      </c>
      <c r="C68" s="82">
        <v>40.4</v>
      </c>
      <c r="D68" s="82">
        <v>43.29</v>
      </c>
      <c r="E68" s="83">
        <v>43.38</v>
      </c>
      <c r="F68" s="82">
        <v>44.58</v>
      </c>
      <c r="G68" s="82">
        <v>53.71</v>
      </c>
      <c r="H68" s="86">
        <v>51.852513644613161</v>
      </c>
      <c r="I68" s="82">
        <v>48.83</v>
      </c>
      <c r="J68" s="83">
        <v>56.34</v>
      </c>
      <c r="K68" s="82">
        <v>56.66</v>
      </c>
      <c r="L68" s="82">
        <v>60.92</v>
      </c>
      <c r="M68" s="86">
        <v>65.153858324096632</v>
      </c>
      <c r="N68" s="86">
        <v>59.905702754116454</v>
      </c>
      <c r="O68" s="86">
        <v>69.547798746469212</v>
      </c>
      <c r="P68" s="86">
        <v>68.935779856460854</v>
      </c>
      <c r="Q68" s="86">
        <v>70.038893988766574</v>
      </c>
      <c r="R68" s="86">
        <v>79.744424698156024</v>
      </c>
      <c r="S68" s="87">
        <v>72.204645178648022</v>
      </c>
      <c r="T68" s="87">
        <v>89.853546289331732</v>
      </c>
      <c r="U68" s="87">
        <v>87.411268977595768</v>
      </c>
    </row>
    <row r="69" spans="2:21" ht="14.25" customHeight="1" thickBot="1" x14ac:dyDescent="0.4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2:21" ht="14.25" customHeight="1" thickBot="1" x14ac:dyDescent="0.4">
      <c r="B70" s="9" t="s">
        <v>331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ht="14.25" customHeight="1" x14ac:dyDescent="0.35">
      <c r="B71" s="79" t="s">
        <v>332</v>
      </c>
      <c r="C71" s="71">
        <v>0</v>
      </c>
      <c r="D71" s="71">
        <v>0</v>
      </c>
      <c r="E71" s="71">
        <v>0</v>
      </c>
      <c r="F71" s="71">
        <v>0</v>
      </c>
      <c r="G71" s="71">
        <v>0</v>
      </c>
      <c r="H71" s="71">
        <v>6654.8993099999998</v>
      </c>
      <c r="I71" s="71">
        <v>6654.8993099999998</v>
      </c>
      <c r="J71" s="71">
        <v>70835.945930000002</v>
      </c>
      <c r="K71" s="71">
        <v>49013.090760000101</v>
      </c>
      <c r="L71" s="71">
        <v>0</v>
      </c>
      <c r="M71" s="71">
        <v>0</v>
      </c>
      <c r="N71" s="71">
        <v>119849.0366900001</v>
      </c>
      <c r="O71" s="71">
        <v>38257.985249999976</v>
      </c>
      <c r="P71" s="71">
        <v>49124.53231000001</v>
      </c>
      <c r="Q71" s="71">
        <v>78850</v>
      </c>
      <c r="R71" s="71">
        <v>119400</v>
      </c>
      <c r="S71" s="71">
        <v>285632</v>
      </c>
      <c r="T71" s="71">
        <v>258621.82829999999</v>
      </c>
      <c r="U71" s="71">
        <v>292992.22818999999</v>
      </c>
    </row>
    <row r="72" spans="2:21" ht="14.25" customHeight="1" x14ac:dyDescent="0.35">
      <c r="B72" s="79" t="s">
        <v>333</v>
      </c>
      <c r="C72" s="71">
        <v>0</v>
      </c>
      <c r="D72" s="71">
        <v>0</v>
      </c>
      <c r="E72" s="71">
        <v>-2038.3420000000001</v>
      </c>
      <c r="F72" s="71">
        <v>-2345.174</v>
      </c>
      <c r="G72" s="71">
        <v>-1739</v>
      </c>
      <c r="H72" s="71">
        <v>-5606.32</v>
      </c>
      <c r="I72" s="71">
        <v>-11587.32</v>
      </c>
      <c r="J72" s="71">
        <v>-54685</v>
      </c>
      <c r="K72" s="71">
        <v>-39668.772795611891</v>
      </c>
      <c r="L72" s="71">
        <v>-3780</v>
      </c>
      <c r="M72" s="71">
        <v>-7377</v>
      </c>
      <c r="N72" s="71">
        <v>-104448</v>
      </c>
      <c r="O72" s="71">
        <v>-40932</v>
      </c>
      <c r="P72" s="71">
        <v>-51048</v>
      </c>
      <c r="Q72" s="71">
        <v>-76443</v>
      </c>
      <c r="R72" s="71">
        <v>-116728</v>
      </c>
      <c r="S72" s="71">
        <v>-285150</v>
      </c>
      <c r="T72" s="71">
        <v>-244235</v>
      </c>
      <c r="U72" s="71">
        <v>-270019</v>
      </c>
    </row>
    <row r="73" spans="2:21" ht="14.25" customHeight="1" x14ac:dyDescent="0.35">
      <c r="B73" s="39" t="s">
        <v>334</v>
      </c>
      <c r="C73" s="74">
        <v>0</v>
      </c>
      <c r="D73" s="74">
        <v>0</v>
      </c>
      <c r="E73" s="74">
        <v>0</v>
      </c>
      <c r="F73" s="74">
        <v>0</v>
      </c>
      <c r="G73" s="74">
        <v>0</v>
      </c>
      <c r="H73" s="74">
        <v>-4425.32</v>
      </c>
      <c r="I73" s="74">
        <v>-4425.32</v>
      </c>
      <c r="J73" s="74">
        <v>-54222</v>
      </c>
      <c r="K73" s="74">
        <v>-37825.825355096851</v>
      </c>
      <c r="L73" s="74">
        <v>0</v>
      </c>
      <c r="M73" s="74">
        <v>-1657.1779179984878</v>
      </c>
      <c r="N73" s="74">
        <v>-93478.644290000026</v>
      </c>
      <c r="O73" s="74">
        <v>-35599</v>
      </c>
      <c r="P73" s="74">
        <v>-43743</v>
      </c>
      <c r="Q73" s="74">
        <v>-72741</v>
      </c>
      <c r="R73" s="74">
        <v>-112039</v>
      </c>
      <c r="S73" s="74">
        <v>-264122</v>
      </c>
      <c r="T73" s="74">
        <v>-241913</v>
      </c>
      <c r="U73" s="74">
        <v>-265106</v>
      </c>
    </row>
    <row r="74" spans="2:21" ht="14.25" customHeight="1" x14ac:dyDescent="0.35">
      <c r="B74" s="39" t="s">
        <v>335</v>
      </c>
      <c r="C74" s="74">
        <v>0</v>
      </c>
      <c r="D74" s="74">
        <v>0</v>
      </c>
      <c r="E74" s="74">
        <v>-2038.3420000000001</v>
      </c>
      <c r="F74" s="74">
        <v>-2345.174</v>
      </c>
      <c r="G74" s="74">
        <v>-1739</v>
      </c>
      <c r="H74" s="74">
        <v>-1181</v>
      </c>
      <c r="I74" s="74">
        <v>-7162</v>
      </c>
      <c r="J74" s="74">
        <v>-463</v>
      </c>
      <c r="K74" s="74">
        <v>-1842.947440515039</v>
      </c>
      <c r="L74" s="74">
        <v>-3780</v>
      </c>
      <c r="M74" s="74">
        <v>-5719.8220820015122</v>
      </c>
      <c r="N74" s="74">
        <v>-10969.355709999974</v>
      </c>
      <c r="O74" s="74">
        <v>-5333</v>
      </c>
      <c r="P74" s="74">
        <v>-7305</v>
      </c>
      <c r="Q74" s="74">
        <v>-3702</v>
      </c>
      <c r="R74" s="74">
        <v>-4689</v>
      </c>
      <c r="S74" s="74">
        <v>-21028</v>
      </c>
      <c r="T74" s="74">
        <v>-2322</v>
      </c>
      <c r="U74" s="74">
        <v>-4913</v>
      </c>
    </row>
    <row r="75" spans="2:21" ht="14.25" customHeight="1" x14ac:dyDescent="0.35">
      <c r="B75" s="79" t="s">
        <v>336</v>
      </c>
      <c r="C75" s="71">
        <f>C71+C72</f>
        <v>0</v>
      </c>
      <c r="D75" s="71">
        <v>0</v>
      </c>
      <c r="E75" s="71">
        <v>-2038.3420000000001</v>
      </c>
      <c r="F75" s="71">
        <v>-2345.174</v>
      </c>
      <c r="G75" s="71">
        <v>-1739</v>
      </c>
      <c r="H75" s="71">
        <v>1048.5793100000001</v>
      </c>
      <c r="I75" s="71">
        <v>-4932.4206899999999</v>
      </c>
      <c r="J75" s="71">
        <v>16150.945930000002</v>
      </c>
      <c r="K75" s="71">
        <v>9344.3179643882104</v>
      </c>
      <c r="L75" s="71">
        <v>-3780</v>
      </c>
      <c r="M75" s="71">
        <v>-7377</v>
      </c>
      <c r="N75" s="71">
        <v>15401.036690000095</v>
      </c>
      <c r="O75" s="71">
        <v>-2674.0147500000239</v>
      </c>
      <c r="P75" s="71">
        <v>-1923.4676899999904</v>
      </c>
      <c r="Q75" s="71">
        <v>2407</v>
      </c>
      <c r="R75" s="71">
        <v>2672</v>
      </c>
      <c r="S75" s="71">
        <v>482</v>
      </c>
      <c r="T75" s="71">
        <v>14386.828299999994</v>
      </c>
      <c r="U75" s="71">
        <v>22973.228189999994</v>
      </c>
    </row>
    <row r="76" spans="2:21" ht="14.25" customHeight="1" x14ac:dyDescent="0.35">
      <c r="B76" s="80" t="s">
        <v>337</v>
      </c>
      <c r="C76" s="81">
        <v>0</v>
      </c>
      <c r="D76" s="81">
        <v>0</v>
      </c>
      <c r="E76" s="81">
        <v>0</v>
      </c>
      <c r="F76" s="81">
        <v>0</v>
      </c>
      <c r="G76" s="81">
        <v>0</v>
      </c>
      <c r="H76" s="81">
        <v>0.15756501505955919</v>
      </c>
      <c r="I76" s="81">
        <v>-0.74117134763981873</v>
      </c>
      <c r="J76" s="81">
        <v>0.22800494463588228</v>
      </c>
      <c r="K76" s="81">
        <v>0.19064943302890355</v>
      </c>
      <c r="L76" s="81">
        <v>0</v>
      </c>
      <c r="M76" s="81">
        <v>0</v>
      </c>
      <c r="N76" s="81">
        <v>0.12850363353220945</v>
      </c>
      <c r="O76" s="81">
        <v>-6.9894290891860944E-2</v>
      </c>
      <c r="P76" s="81">
        <v>-3.9154931345950765E-2</v>
      </c>
      <c r="Q76" s="81">
        <v>3.0526315789473683E-2</v>
      </c>
      <c r="R76" s="81">
        <v>2.2378559463986598E-2</v>
      </c>
      <c r="S76" s="81">
        <v>1.6874859959668384E-3</v>
      </c>
      <c r="T76" s="81">
        <v>5.5628824506303264E-2</v>
      </c>
      <c r="U76" s="81">
        <v>7.840900194493311E-2</v>
      </c>
    </row>
    <row r="77" spans="2:21" ht="14.25" customHeight="1" x14ac:dyDescent="0.35">
      <c r="B77" s="70" t="s">
        <v>338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3903</v>
      </c>
      <c r="R77" s="74">
        <v>20898</v>
      </c>
      <c r="S77" s="74">
        <v>24801</v>
      </c>
      <c r="T77" s="74">
        <v>-3514</v>
      </c>
      <c r="U77" s="74">
        <v>-1219</v>
      </c>
    </row>
    <row r="78" spans="2:21" ht="14.25" customHeight="1" x14ac:dyDescent="0.35">
      <c r="B78" s="79" t="s">
        <v>339</v>
      </c>
      <c r="C78" s="71">
        <v>0</v>
      </c>
      <c r="D78" s="71">
        <v>0</v>
      </c>
      <c r="E78" s="71">
        <v>-2038.3420000000001</v>
      </c>
      <c r="F78" s="71">
        <v>-2345.174</v>
      </c>
      <c r="G78" s="71">
        <v>-1739</v>
      </c>
      <c r="H78" s="71">
        <v>1048.5793100000001</v>
      </c>
      <c r="I78" s="71">
        <v>-4932.4206899999999</v>
      </c>
      <c r="J78" s="71">
        <v>16150.945930000002</v>
      </c>
      <c r="K78" s="71">
        <v>9344.3179643882104</v>
      </c>
      <c r="L78" s="71">
        <v>-3780</v>
      </c>
      <c r="M78" s="71">
        <v>-7377</v>
      </c>
      <c r="N78" s="71">
        <v>15401.036690000095</v>
      </c>
      <c r="O78" s="71">
        <v>-2674.0147500000239</v>
      </c>
      <c r="P78" s="71">
        <v>-1923.4676899999904</v>
      </c>
      <c r="Q78" s="71">
        <v>6310</v>
      </c>
      <c r="R78" s="71">
        <v>23570</v>
      </c>
      <c r="S78" s="71">
        <v>25283</v>
      </c>
      <c r="T78" s="71">
        <v>10872.828299999994</v>
      </c>
      <c r="U78" s="71">
        <v>21754.228189999994</v>
      </c>
    </row>
    <row r="79" spans="2:21" ht="14.25" customHeight="1" thickBot="1" x14ac:dyDescent="0.4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2:21" ht="14.25" customHeight="1" thickBot="1" x14ac:dyDescent="0.4">
      <c r="B80" s="9" t="s">
        <v>347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ht="14.25" customHeight="1" x14ac:dyDescent="0.35">
      <c r="B81" s="70" t="s">
        <v>316</v>
      </c>
      <c r="C81" s="74">
        <v>268980.46346</v>
      </c>
      <c r="D81" s="74">
        <v>544816</v>
      </c>
      <c r="E81" s="74">
        <v>223746</v>
      </c>
      <c r="F81" s="74">
        <v>229423.82925932511</v>
      </c>
      <c r="G81" s="74">
        <v>321459</v>
      </c>
      <c r="H81" s="74">
        <v>389673.41590000025</v>
      </c>
      <c r="I81" s="74">
        <v>1164262.7565299999</v>
      </c>
      <c r="J81" s="74">
        <v>490943.19624999998</v>
      </c>
      <c r="K81" s="74">
        <v>553098.26688999997</v>
      </c>
      <c r="L81" s="74">
        <v>776613.05564999999</v>
      </c>
      <c r="M81" s="74">
        <v>934148.21719</v>
      </c>
      <c r="N81" s="74">
        <v>2754806.2171900002</v>
      </c>
      <c r="O81" s="74">
        <v>1170627.74208</v>
      </c>
      <c r="P81" s="74">
        <v>1373964.6591890401</v>
      </c>
      <c r="Q81" s="74">
        <v>1824955</v>
      </c>
      <c r="R81" s="74">
        <v>1555795</v>
      </c>
      <c r="S81" s="74">
        <v>5925344</v>
      </c>
      <c r="T81" s="74">
        <v>1464378.1717000001</v>
      </c>
      <c r="U81" s="74">
        <v>1412401.61845</v>
      </c>
    </row>
    <row r="82" spans="2:21" ht="14.25" customHeight="1" x14ac:dyDescent="0.35">
      <c r="B82" s="70" t="s">
        <v>332</v>
      </c>
      <c r="C82" s="74">
        <v>0</v>
      </c>
      <c r="D82" s="74">
        <v>0</v>
      </c>
      <c r="E82" s="74">
        <v>0</v>
      </c>
      <c r="F82" s="74">
        <v>0</v>
      </c>
      <c r="G82" s="74">
        <v>0</v>
      </c>
      <c r="H82" s="74">
        <v>6654.8993099999998</v>
      </c>
      <c r="I82" s="74">
        <v>6654.8993099999998</v>
      </c>
      <c r="J82" s="74">
        <v>70835.945930000002</v>
      </c>
      <c r="K82" s="74">
        <v>49013.090760000101</v>
      </c>
      <c r="L82" s="74">
        <v>0</v>
      </c>
      <c r="M82" s="74">
        <v>0</v>
      </c>
      <c r="N82" s="74">
        <v>119849.0366900001</v>
      </c>
      <c r="O82" s="74">
        <v>38257.985249999976</v>
      </c>
      <c r="P82" s="74">
        <v>49124.53231000001</v>
      </c>
      <c r="Q82" s="74">
        <v>78850</v>
      </c>
      <c r="R82" s="74">
        <v>119400</v>
      </c>
      <c r="S82" s="74">
        <v>285632</v>
      </c>
      <c r="T82" s="74">
        <v>258621.82829999999</v>
      </c>
      <c r="U82" s="74">
        <v>292992.22818999999</v>
      </c>
    </row>
    <row r="83" spans="2:21" ht="14.25" customHeight="1" x14ac:dyDescent="0.35">
      <c r="B83" s="70" t="s">
        <v>340</v>
      </c>
      <c r="C83" s="68">
        <v>21.827227000000001</v>
      </c>
      <c r="D83" s="74">
        <v>20469</v>
      </c>
      <c r="E83" s="74">
        <v>10785</v>
      </c>
      <c r="F83" s="74">
        <v>12603.560758275</v>
      </c>
      <c r="G83" s="74">
        <v>18453</v>
      </c>
      <c r="H83" s="74">
        <v>19061.157730000006</v>
      </c>
      <c r="I83" s="74">
        <v>60903</v>
      </c>
      <c r="J83" s="74">
        <v>48391</v>
      </c>
      <c r="K83" s="74">
        <v>59644</v>
      </c>
      <c r="L83" s="74">
        <v>62701</v>
      </c>
      <c r="M83" s="74">
        <v>62316</v>
      </c>
      <c r="N83" s="74">
        <v>233051</v>
      </c>
      <c r="O83" s="74">
        <v>85723</v>
      </c>
      <c r="P83" s="74">
        <v>97223</v>
      </c>
      <c r="Q83" s="74">
        <v>111793</v>
      </c>
      <c r="R83" s="74">
        <v>129588</v>
      </c>
      <c r="S83" s="74">
        <v>424326</v>
      </c>
      <c r="T83" s="74">
        <v>163597</v>
      </c>
      <c r="U83" s="74">
        <v>201346</v>
      </c>
    </row>
    <row r="84" spans="2:21" ht="14.25" customHeight="1" x14ac:dyDescent="0.35">
      <c r="B84" s="79" t="s">
        <v>341</v>
      </c>
      <c r="C84" s="71">
        <f>SUM(C81:C83)</f>
        <v>269002.29068699997</v>
      </c>
      <c r="D84" s="71">
        <v>565285</v>
      </c>
      <c r="E84" s="71">
        <v>234531</v>
      </c>
      <c r="F84" s="71">
        <v>242027.39001760012</v>
      </c>
      <c r="G84" s="71">
        <v>339912</v>
      </c>
      <c r="H84" s="71">
        <v>415389.47294000024</v>
      </c>
      <c r="I84" s="71">
        <v>1231820.6558399999</v>
      </c>
      <c r="J84" s="71">
        <v>610170.14217999997</v>
      </c>
      <c r="K84" s="71">
        <v>661755.35765000002</v>
      </c>
      <c r="L84" s="71">
        <v>839314.05564999999</v>
      </c>
      <c r="M84" s="71">
        <v>996464.21719</v>
      </c>
      <c r="N84" s="71">
        <v>3107706.2538800002</v>
      </c>
      <c r="O84" s="71">
        <v>1294608.7273299999</v>
      </c>
      <c r="P84" s="71">
        <v>1520312.19149904</v>
      </c>
      <c r="Q84" s="71">
        <v>2015598</v>
      </c>
      <c r="R84" s="71">
        <v>1804783</v>
      </c>
      <c r="S84" s="71">
        <v>6635302</v>
      </c>
      <c r="T84" s="71">
        <v>1886597</v>
      </c>
      <c r="U84" s="71">
        <v>1906739.8466399999</v>
      </c>
    </row>
    <row r="85" spans="2:21" ht="14.25" customHeight="1" x14ac:dyDescent="0.35">
      <c r="B85" s="70" t="s">
        <v>342</v>
      </c>
      <c r="C85" s="74">
        <v>-167389</v>
      </c>
      <c r="D85" s="74">
        <v>-311657.59599999996</v>
      </c>
      <c r="E85" s="74">
        <v>-137262.04300000001</v>
      </c>
      <c r="F85" s="74">
        <v>-132921.81600000002</v>
      </c>
      <c r="G85" s="74">
        <v>-185552.51</v>
      </c>
      <c r="H85" s="74">
        <v>-206428.68</v>
      </c>
      <c r="I85" s="74">
        <v>-662305.67999999993</v>
      </c>
      <c r="J85" s="74">
        <v>-344812</v>
      </c>
      <c r="K85" s="74">
        <v>-325032.15094080486</v>
      </c>
      <c r="L85" s="74">
        <v>-444418</v>
      </c>
      <c r="M85" s="74">
        <v>-504746</v>
      </c>
      <c r="N85" s="74">
        <v>-1620068</v>
      </c>
      <c r="O85" s="74">
        <v>-645044</v>
      </c>
      <c r="P85" s="74">
        <v>-755610</v>
      </c>
      <c r="Q85" s="74">
        <v>-986331</v>
      </c>
      <c r="R85" s="74">
        <v>-965504.27616353275</v>
      </c>
      <c r="S85" s="74">
        <v>-3352491.0000000005</v>
      </c>
      <c r="T85" s="74">
        <v>-836326</v>
      </c>
      <c r="U85" s="74">
        <v>-964295</v>
      </c>
    </row>
    <row r="86" spans="2:21" ht="14.25" customHeight="1" x14ac:dyDescent="0.35">
      <c r="B86" s="70" t="s">
        <v>333</v>
      </c>
      <c r="C86" s="74">
        <v>0</v>
      </c>
      <c r="D86" s="74">
        <v>0</v>
      </c>
      <c r="E86" s="74">
        <v>-2038.3420000000001</v>
      </c>
      <c r="F86" s="74">
        <v>-2345.174</v>
      </c>
      <c r="G86" s="74">
        <v>-1739</v>
      </c>
      <c r="H86" s="74">
        <v>-5606.32</v>
      </c>
      <c r="I86" s="74">
        <v>-11587.32</v>
      </c>
      <c r="J86" s="74">
        <v>-54685</v>
      </c>
      <c r="K86" s="74">
        <v>-39668.772795611891</v>
      </c>
      <c r="L86" s="74">
        <v>-3780</v>
      </c>
      <c r="M86" s="74">
        <v>-7377</v>
      </c>
      <c r="N86" s="74">
        <v>-104448</v>
      </c>
      <c r="O86" s="74">
        <v>-40932</v>
      </c>
      <c r="P86" s="74">
        <v>-51048</v>
      </c>
      <c r="Q86" s="74">
        <v>-76443</v>
      </c>
      <c r="R86" s="74">
        <v>-116728</v>
      </c>
      <c r="S86" s="74">
        <v>-285150</v>
      </c>
      <c r="T86" s="74">
        <v>-244235</v>
      </c>
      <c r="U86" s="74">
        <v>-270019</v>
      </c>
    </row>
    <row r="87" spans="2:21" ht="14.25" customHeight="1" x14ac:dyDescent="0.35">
      <c r="B87" s="70" t="s">
        <v>343</v>
      </c>
      <c r="C87" s="74">
        <v>0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4">
        <v>0</v>
      </c>
      <c r="J87" s="74">
        <v>0</v>
      </c>
      <c r="K87" s="74">
        <v>0</v>
      </c>
      <c r="L87" s="74">
        <v>0</v>
      </c>
      <c r="M87" s="74">
        <v>0</v>
      </c>
      <c r="N87" s="74">
        <v>0</v>
      </c>
      <c r="O87" s="74">
        <v>0</v>
      </c>
      <c r="P87" s="74">
        <v>0</v>
      </c>
      <c r="Q87" s="74">
        <v>3903</v>
      </c>
      <c r="R87" s="74">
        <v>20898</v>
      </c>
      <c r="S87" s="74">
        <v>24801</v>
      </c>
      <c r="T87" s="74">
        <v>-3514</v>
      </c>
      <c r="U87" s="74">
        <v>-1219</v>
      </c>
    </row>
    <row r="88" spans="2:21" ht="14.25" customHeight="1" x14ac:dyDescent="0.35">
      <c r="B88" s="79" t="s">
        <v>344</v>
      </c>
      <c r="C88" s="71">
        <f>SUM(C85:C86)</f>
        <v>-167389</v>
      </c>
      <c r="D88" s="71">
        <v>-311657.59599999996</v>
      </c>
      <c r="E88" s="71">
        <v>-139300.38500000001</v>
      </c>
      <c r="F88" s="71">
        <v>-135266.99000000002</v>
      </c>
      <c r="G88" s="71">
        <v>-187291.51</v>
      </c>
      <c r="H88" s="71">
        <v>-212035</v>
      </c>
      <c r="I88" s="71">
        <v>-673892.99999999988</v>
      </c>
      <c r="J88" s="71">
        <v>-399497</v>
      </c>
      <c r="K88" s="71">
        <v>-364700.92373641673</v>
      </c>
      <c r="L88" s="71">
        <v>-448198</v>
      </c>
      <c r="M88" s="71">
        <v>-512123</v>
      </c>
      <c r="N88" s="71">
        <v>-1724516</v>
      </c>
      <c r="O88" s="71">
        <v>-685976</v>
      </c>
      <c r="P88" s="71">
        <v>-806658</v>
      </c>
      <c r="Q88" s="71">
        <v>-1058871</v>
      </c>
      <c r="R88" s="71">
        <v>-1061334.2761635329</v>
      </c>
      <c r="S88" s="71">
        <v>-3612840.0000000005</v>
      </c>
      <c r="T88" s="71">
        <v>-1084075</v>
      </c>
      <c r="U88" s="71">
        <v>-1235533</v>
      </c>
    </row>
    <row r="89" spans="2:21" ht="14.25" customHeight="1" x14ac:dyDescent="0.35">
      <c r="B89" s="79" t="s">
        <v>345</v>
      </c>
      <c r="C89" s="71">
        <f>C84+C88</f>
        <v>101613.29068699997</v>
      </c>
      <c r="D89" s="71">
        <v>253627.40400000004</v>
      </c>
      <c r="E89" s="71">
        <v>95230.614999999991</v>
      </c>
      <c r="F89" s="71">
        <v>106760.4000176001</v>
      </c>
      <c r="G89" s="71">
        <v>152620.49</v>
      </c>
      <c r="H89" s="71">
        <v>203354.47294000024</v>
      </c>
      <c r="I89" s="71">
        <v>557927.65584000002</v>
      </c>
      <c r="J89" s="71">
        <v>210673.14217999997</v>
      </c>
      <c r="K89" s="71">
        <v>297054.43391358329</v>
      </c>
      <c r="L89" s="71">
        <v>391116.05564999999</v>
      </c>
      <c r="M89" s="71">
        <v>484341.21719</v>
      </c>
      <c r="N89" s="71">
        <v>1383190.2538800002</v>
      </c>
      <c r="O89" s="71">
        <v>608632.72732999991</v>
      </c>
      <c r="P89" s="71">
        <v>713654.19149904</v>
      </c>
      <c r="Q89" s="71">
        <v>956727</v>
      </c>
      <c r="R89" s="71">
        <v>743448.72383646714</v>
      </c>
      <c r="S89" s="71">
        <v>3022461.9999999995</v>
      </c>
      <c r="T89" s="71">
        <v>802522</v>
      </c>
      <c r="U89" s="71">
        <v>671206.84663999989</v>
      </c>
    </row>
    <row r="90" spans="2:21" ht="14.25" customHeight="1" x14ac:dyDescent="0.35">
      <c r="B90" s="80" t="s">
        <v>346</v>
      </c>
      <c r="C90" s="81">
        <f>C89/C84</f>
        <v>0.3777413583634982</v>
      </c>
      <c r="D90" s="81">
        <v>0.44867173903429253</v>
      </c>
      <c r="E90" s="81">
        <v>0.40604702576631657</v>
      </c>
      <c r="F90" s="81">
        <v>0.44110875223600327</v>
      </c>
      <c r="G90" s="81">
        <v>0.44900000588387579</v>
      </c>
      <c r="H90" s="81">
        <v>0.48955133961561226</v>
      </c>
      <c r="I90" s="81">
        <v>0.45292929063568871</v>
      </c>
      <c r="J90" s="81">
        <v>0.34526950372778398</v>
      </c>
      <c r="K90" s="81">
        <v>0.44888859678971316</v>
      </c>
      <c r="L90" s="81">
        <v>0.46599488358038199</v>
      </c>
      <c r="M90" s="81">
        <v>0.4860598191431581</v>
      </c>
      <c r="N90" s="81">
        <v>0.4450839754088966</v>
      </c>
      <c r="O90" s="81">
        <v>0.47012870721584243</v>
      </c>
      <c r="P90" s="81">
        <v>0.46941292419379421</v>
      </c>
      <c r="Q90" s="81">
        <v>0.47466161407185359</v>
      </c>
      <c r="R90" s="81">
        <v>0.41193247267758348</v>
      </c>
      <c r="S90" s="81">
        <v>0.45551234894809606</v>
      </c>
      <c r="T90" s="81">
        <v>0.42538072518932235</v>
      </c>
      <c r="U90" s="81">
        <v>0.352018052081295</v>
      </c>
    </row>
    <row r="91" spans="2:21" ht="14.25" customHeight="1" thickBot="1" x14ac:dyDescent="0.4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4.25" customHeight="1" thickBot="1" x14ac:dyDescent="0.4">
      <c r="B92" s="9" t="s">
        <v>146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2:21" ht="14.25" customHeight="1" x14ac:dyDescent="0.35">
      <c r="B93" s="5" t="s">
        <v>147</v>
      </c>
      <c r="C93" s="4">
        <f t="shared" ref="C93:K93" si="17">C94+C95</f>
        <v>137858.86827349989</v>
      </c>
      <c r="D93" s="4">
        <f t="shared" si="17"/>
        <v>257899</v>
      </c>
      <c r="E93" s="4">
        <f t="shared" si="17"/>
        <v>103487.95233252522</v>
      </c>
      <c r="F93" s="4">
        <f t="shared" si="17"/>
        <v>106124.18988938343</v>
      </c>
      <c r="G93" s="4">
        <f t="shared" si="17"/>
        <v>147060.20398693418</v>
      </c>
      <c r="H93" s="4">
        <f t="shared" si="17"/>
        <v>159885.49384815851</v>
      </c>
      <c r="I93" s="4">
        <f t="shared" si="17"/>
        <v>516557.84005700133</v>
      </c>
      <c r="J93" s="4">
        <f t="shared" si="17"/>
        <v>263237.83400000003</v>
      </c>
      <c r="K93" s="4">
        <f t="shared" si="17"/>
        <v>246105.22199999998</v>
      </c>
      <c r="L93" s="4">
        <v>291566.04599999986</v>
      </c>
      <c r="M93" s="4">
        <f t="shared" ref="M93:U93" si="18">M94+M95</f>
        <v>307537.57000000024</v>
      </c>
      <c r="N93" s="4">
        <f t="shared" si="18"/>
        <v>1108446.672</v>
      </c>
      <c r="O93" s="4">
        <f t="shared" si="18"/>
        <v>317549.14499999897</v>
      </c>
      <c r="P93" s="4">
        <f t="shared" si="18"/>
        <v>324991.05299999827</v>
      </c>
      <c r="Q93" s="4">
        <f t="shared" si="18"/>
        <v>405927.4</v>
      </c>
      <c r="R93" s="4">
        <f t="shared" si="18"/>
        <v>367334.864</v>
      </c>
      <c r="S93" s="4">
        <f t="shared" si="18"/>
        <v>1415802.461999997</v>
      </c>
      <c r="T93" s="4">
        <f>T94+T95</f>
        <v>306791.70776000002</v>
      </c>
      <c r="U93" s="4">
        <f t="shared" si="18"/>
        <v>352837.59539999999</v>
      </c>
    </row>
    <row r="94" spans="2:21" ht="14.25" customHeight="1" x14ac:dyDescent="0.35">
      <c r="B94" s="7" t="s">
        <v>148</v>
      </c>
      <c r="C94" s="6">
        <f>46.9952789248*1000</f>
        <v>46995.278924799997</v>
      </c>
      <c r="D94" s="6">
        <v>183007</v>
      </c>
      <c r="E94" s="6">
        <v>61879.236332525223</v>
      </c>
      <c r="F94" s="6">
        <v>80716.267889383424</v>
      </c>
      <c r="G94" s="6">
        <v>93052.212986934173</v>
      </c>
      <c r="H94" s="6">
        <v>79988.170608158573</v>
      </c>
      <c r="I94" s="6">
        <v>315635.88781700138</v>
      </c>
      <c r="J94" s="6">
        <v>93339.274999999994</v>
      </c>
      <c r="K94" s="6">
        <v>101602.67600000001</v>
      </c>
      <c r="L94" s="6">
        <v>100281.73499999999</v>
      </c>
      <c r="M94" s="6">
        <v>105761.14000000019</v>
      </c>
      <c r="N94" s="6">
        <v>400984.82600000018</v>
      </c>
      <c r="O94" s="6">
        <v>127665.08099999896</v>
      </c>
      <c r="P94" s="6">
        <v>164301.82899999822</v>
      </c>
      <c r="Q94" s="6">
        <v>200345.68799999999</v>
      </c>
      <c r="R94" s="6">
        <v>148761.51199999999</v>
      </c>
      <c r="S94" s="6">
        <f>SUM(O94:R94)</f>
        <v>641074.10999999719</v>
      </c>
      <c r="T94" s="6">
        <v>149637.40895900002</v>
      </c>
      <c r="U94" s="6">
        <v>211801.93239999999</v>
      </c>
    </row>
    <row r="95" spans="2:21" ht="14.25" customHeight="1" x14ac:dyDescent="0.35">
      <c r="B95" s="7" t="s">
        <v>149</v>
      </c>
      <c r="C95" s="6">
        <f>90.8635893486999*1000</f>
        <v>90863.589348699898</v>
      </c>
      <c r="D95" s="6">
        <v>74892</v>
      </c>
      <c r="E95" s="6">
        <v>41608.716</v>
      </c>
      <c r="F95" s="6">
        <v>25407.922000000006</v>
      </c>
      <c r="G95" s="6">
        <v>54007.991000000002</v>
      </c>
      <c r="H95" s="6">
        <v>79897.323239999954</v>
      </c>
      <c r="I95" s="6">
        <v>200921.95223999996</v>
      </c>
      <c r="J95" s="6">
        <v>169898.55900000001</v>
      </c>
      <c r="K95" s="6">
        <v>144502.54599999997</v>
      </c>
      <c r="L95" s="6">
        <v>191284.3109999999</v>
      </c>
      <c r="M95" s="6">
        <v>201776.43000000005</v>
      </c>
      <c r="N95" s="6">
        <v>707461.8459999999</v>
      </c>
      <c r="O95" s="6">
        <v>189884.06400000004</v>
      </c>
      <c r="P95" s="6">
        <v>160689.22400000005</v>
      </c>
      <c r="Q95" s="6">
        <v>205581.712</v>
      </c>
      <c r="R95" s="6">
        <v>218573.35200000001</v>
      </c>
      <c r="S95" s="6">
        <f>SUM(O95:R95)</f>
        <v>774728.35199999996</v>
      </c>
      <c r="T95" s="6">
        <v>157154.298801</v>
      </c>
      <c r="U95" s="6">
        <v>141035.663</v>
      </c>
    </row>
    <row r="96" spans="2:21" s="3" customFormat="1" ht="14.25" customHeight="1" x14ac:dyDescent="0.25">
      <c r="B96" s="18" t="s">
        <v>150</v>
      </c>
      <c r="C96" s="52">
        <f>C94/C93</f>
        <v>0.34089412972378019</v>
      </c>
      <c r="D96" s="52">
        <f t="shared" ref="D96:U96" si="19">D94/D93</f>
        <v>0.70960724934955155</v>
      </c>
      <c r="E96" s="52">
        <f t="shared" si="19"/>
        <v>0.5979366190732639</v>
      </c>
      <c r="F96" s="52">
        <f t="shared" si="19"/>
        <v>0.76058312410692153</v>
      </c>
      <c r="G96" s="52">
        <f t="shared" si="19"/>
        <v>0.63274910862493816</v>
      </c>
      <c r="H96" s="52">
        <f t="shared" si="19"/>
        <v>0.50028410134644519</v>
      </c>
      <c r="I96" s="52">
        <f t="shared" si="19"/>
        <v>0.61103687397750361</v>
      </c>
      <c r="J96" s="52">
        <f t="shared" si="19"/>
        <v>0.35458153405106646</v>
      </c>
      <c r="K96" s="52">
        <f t="shared" si="19"/>
        <v>0.41284242233592272</v>
      </c>
      <c r="L96" s="52">
        <f t="shared" si="19"/>
        <v>0.34394174622102613</v>
      </c>
      <c r="M96" s="52">
        <f t="shared" si="19"/>
        <v>0.34389664976542578</v>
      </c>
      <c r="N96" s="52">
        <f t="shared" si="19"/>
        <v>0.36175382734154682</v>
      </c>
      <c r="O96" s="52">
        <f t="shared" si="19"/>
        <v>0.40203251373893439</v>
      </c>
      <c r="P96" s="52">
        <f t="shared" si="19"/>
        <v>0.50555800685380436</v>
      </c>
      <c r="Q96" s="52">
        <f t="shared" si="19"/>
        <v>0.49355054130369119</v>
      </c>
      <c r="R96" s="52">
        <f t="shared" si="19"/>
        <v>0.40497520540277382</v>
      </c>
      <c r="S96" s="52">
        <f t="shared" si="19"/>
        <v>0.45279912078581946</v>
      </c>
      <c r="T96" s="78">
        <f t="shared" si="19"/>
        <v>0.48774919652019999</v>
      </c>
      <c r="U96" s="78">
        <f t="shared" si="19"/>
        <v>0.6002816456106026</v>
      </c>
    </row>
    <row r="97" spans="2:21" ht="14.25" customHeight="1" x14ac:dyDescent="0.35">
      <c r="B97" s="5" t="s">
        <v>151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2:21" ht="14.25" customHeight="1" x14ac:dyDescent="0.35">
      <c r="B98" s="7" t="s">
        <v>152</v>
      </c>
      <c r="C98" s="6">
        <f>30.700311*1000</f>
        <v>30700.310999999998</v>
      </c>
      <c r="D98" s="6">
        <v>61823</v>
      </c>
      <c r="E98" s="6">
        <v>29200</v>
      </c>
      <c r="F98" s="6">
        <v>26142.225514689337</v>
      </c>
      <c r="G98" s="6">
        <v>33617.758290663674</v>
      </c>
      <c r="H98" s="6">
        <v>34422.359276378455</v>
      </c>
      <c r="I98" s="6">
        <v>123382.34308173147</v>
      </c>
      <c r="J98" s="6">
        <v>61829.859999999971</v>
      </c>
      <c r="K98" s="6">
        <v>78217.931000000026</v>
      </c>
      <c r="L98" s="6">
        <v>73376.252000000008</v>
      </c>
      <c r="M98" s="6">
        <v>64198.5</v>
      </c>
      <c r="N98" s="6">
        <v>277622.54300000001</v>
      </c>
      <c r="O98" s="6">
        <v>99348.160999999993</v>
      </c>
      <c r="P98" s="6">
        <v>95001.8</v>
      </c>
      <c r="Q98" s="6">
        <v>83208.904999999999</v>
      </c>
      <c r="R98" s="6">
        <v>100064.967</v>
      </c>
      <c r="S98" s="6">
        <v>377623.83299999998</v>
      </c>
      <c r="T98" s="6">
        <v>82561.59</v>
      </c>
      <c r="U98" s="6">
        <v>97499.14</v>
      </c>
    </row>
    <row r="99" spans="2:21" ht="14.25" customHeight="1" x14ac:dyDescent="0.35">
      <c r="B99" s="7" t="s">
        <v>134</v>
      </c>
      <c r="C99" s="6">
        <f>37.539421*1000</f>
        <v>37539.420999999995</v>
      </c>
      <c r="D99" s="6">
        <v>68083</v>
      </c>
      <c r="E99" s="6">
        <v>35101.629999999997</v>
      </c>
      <c r="F99" s="6">
        <v>32947.473572799296</v>
      </c>
      <c r="G99" s="6">
        <v>34541.310916644194</v>
      </c>
      <c r="H99" s="6">
        <v>38363.764517742973</v>
      </c>
      <c r="I99" s="6">
        <v>140954.17900718647</v>
      </c>
      <c r="J99" s="6">
        <v>66681.97000000003</v>
      </c>
      <c r="K99" s="6">
        <v>73364.320000000022</v>
      </c>
      <c r="L99" s="6">
        <v>71655.740000000005</v>
      </c>
      <c r="M99" s="6">
        <v>74175.440999999933</v>
      </c>
      <c r="N99" s="6">
        <v>285877.47099999996</v>
      </c>
      <c r="O99" s="6">
        <v>76614.51999999999</v>
      </c>
      <c r="P99" s="6">
        <v>79718.13</v>
      </c>
      <c r="Q99" s="6">
        <v>69671.33</v>
      </c>
      <c r="R99" s="6">
        <v>68292.793000000005</v>
      </c>
      <c r="S99" s="6">
        <v>294296.77299999999</v>
      </c>
      <c r="T99" s="6">
        <v>76294.76999999999</v>
      </c>
      <c r="U99" s="6">
        <v>85926.87</v>
      </c>
    </row>
    <row r="100" spans="2:21" ht="14.25" customHeight="1" x14ac:dyDescent="0.35">
      <c r="B100" s="7" t="s">
        <v>135</v>
      </c>
      <c r="C100" s="6">
        <f>50.59576*1000</f>
        <v>50595.76</v>
      </c>
      <c r="D100" s="6">
        <v>107708</v>
      </c>
      <c r="E100" s="6">
        <v>49511.58</v>
      </c>
      <c r="F100" s="6">
        <v>44708.642531677564</v>
      </c>
      <c r="G100" s="6">
        <v>53705.074885820402</v>
      </c>
      <c r="H100" s="6">
        <v>55229.672687169586</v>
      </c>
      <c r="I100" s="6">
        <v>203154.97010466753</v>
      </c>
      <c r="J100" s="6">
        <v>95754.769999999931</v>
      </c>
      <c r="K100" s="6">
        <v>82231.320000000022</v>
      </c>
      <c r="L100" s="6">
        <v>87459.609999999957</v>
      </c>
      <c r="M100" s="6">
        <v>90434.030000000028</v>
      </c>
      <c r="N100" s="6">
        <v>355879.73</v>
      </c>
      <c r="O100" s="6">
        <v>130633.70700000004</v>
      </c>
      <c r="P100" s="6">
        <v>141663.34000000008</v>
      </c>
      <c r="Q100" s="6">
        <v>133311.96300000002</v>
      </c>
      <c r="R100" s="6">
        <v>120852.63</v>
      </c>
      <c r="S100" s="6">
        <v>526461.64000000013</v>
      </c>
      <c r="T100" s="6">
        <v>128918.5</v>
      </c>
      <c r="U100" s="6">
        <v>162230.29999999999</v>
      </c>
    </row>
    <row r="101" spans="2:21" ht="14.25" customHeight="1" x14ac:dyDescent="0.35">
      <c r="B101" s="55" t="s">
        <v>7</v>
      </c>
      <c r="C101" s="6">
        <f>C100+C99+C98</f>
        <v>118835.492</v>
      </c>
      <c r="D101" s="6">
        <v>237614</v>
      </c>
      <c r="E101" s="6">
        <v>113813.20999999999</v>
      </c>
      <c r="F101" s="6">
        <v>103798.3416191662</v>
      </c>
      <c r="G101" s="6">
        <v>121864.14409312827</v>
      </c>
      <c r="H101" s="6">
        <v>128015.79648129102</v>
      </c>
      <c r="I101" s="6">
        <v>467491.49219358549</v>
      </c>
      <c r="J101" s="6">
        <v>224266.59999999992</v>
      </c>
      <c r="K101" s="6">
        <v>233813.57100000005</v>
      </c>
      <c r="L101" s="6">
        <v>232491.60199999998</v>
      </c>
      <c r="M101" s="6">
        <v>228807.97099999996</v>
      </c>
      <c r="N101" s="6">
        <v>919379.74399999995</v>
      </c>
      <c r="O101" s="6">
        <v>306596.38800000004</v>
      </c>
      <c r="P101" s="6">
        <v>316383.27000000008</v>
      </c>
      <c r="Q101" s="6">
        <v>286192.19799999997</v>
      </c>
      <c r="R101" s="6">
        <v>289210.39</v>
      </c>
      <c r="S101" s="6">
        <v>1198382.2460000003</v>
      </c>
      <c r="T101" s="6">
        <v>287774.86</v>
      </c>
      <c r="U101" s="6">
        <v>345656.31</v>
      </c>
    </row>
    <row r="102" spans="2:21" ht="14.25" customHeight="1" x14ac:dyDescent="0.35">
      <c r="B102" s="55" t="s">
        <v>153</v>
      </c>
      <c r="C102" s="6">
        <f>2.6636*1000</f>
        <v>2663.6000000000004</v>
      </c>
      <c r="D102" s="6">
        <v>7304</v>
      </c>
      <c r="E102" s="6">
        <v>3900.4399999999987</v>
      </c>
      <c r="F102" s="6">
        <v>3277.56</v>
      </c>
      <c r="G102" s="6">
        <v>4058.8</v>
      </c>
      <c r="H102" s="6">
        <v>3802.26</v>
      </c>
      <c r="I102" s="6">
        <v>15039.06</v>
      </c>
      <c r="J102" s="6">
        <v>7616.8909999999978</v>
      </c>
      <c r="K102" s="6">
        <v>8467.2559999999994</v>
      </c>
      <c r="L102" s="6">
        <v>8902.67</v>
      </c>
      <c r="M102" s="6">
        <v>8502.8500000000058</v>
      </c>
      <c r="N102" s="6">
        <v>33489.667000000001</v>
      </c>
      <c r="O102" s="6">
        <v>10410.81</v>
      </c>
      <c r="P102" s="6">
        <v>11616.005999999999</v>
      </c>
      <c r="Q102" s="6">
        <v>11696.619999999999</v>
      </c>
      <c r="R102" s="6">
        <v>10886.191999999999</v>
      </c>
      <c r="S102" s="6">
        <v>44609.627999999997</v>
      </c>
      <c r="T102" s="6">
        <v>9514.98</v>
      </c>
      <c r="U102" s="6">
        <v>13332.22</v>
      </c>
    </row>
    <row r="103" spans="2:21" ht="14.25" customHeight="1" x14ac:dyDescent="0.35">
      <c r="B103" s="5" t="s">
        <v>154</v>
      </c>
      <c r="C103" s="4">
        <v>28826</v>
      </c>
      <c r="D103" s="4">
        <v>40863.42</v>
      </c>
      <c r="E103" s="4">
        <v>17592.438000000002</v>
      </c>
      <c r="F103" s="4">
        <v>13037.248</v>
      </c>
      <c r="G103" s="4">
        <v>17637.835999999999</v>
      </c>
      <c r="H103" s="4">
        <v>23932.477999999996</v>
      </c>
      <c r="I103" s="4">
        <v>72200</v>
      </c>
      <c r="J103" s="4">
        <v>28018.007999999998</v>
      </c>
      <c r="K103" s="4">
        <v>29472</v>
      </c>
      <c r="L103" s="4">
        <v>45687</v>
      </c>
      <c r="M103" s="4">
        <v>47629.079999999987</v>
      </c>
      <c r="N103" s="4">
        <v>150806.08799999999</v>
      </c>
      <c r="O103" s="4">
        <v>40200</v>
      </c>
      <c r="P103" s="4">
        <v>39818.400000000001</v>
      </c>
      <c r="Q103" s="4">
        <v>46296</v>
      </c>
      <c r="R103" s="4">
        <v>56117.760000000002</v>
      </c>
      <c r="S103" s="4">
        <v>182432.16</v>
      </c>
      <c r="T103" s="4">
        <v>49338.712</v>
      </c>
      <c r="U103" s="4">
        <v>52967.999000000003</v>
      </c>
    </row>
    <row r="104" spans="2:21" ht="14.25" customHeight="1" x14ac:dyDescent="0.35">
      <c r="B104" s="5" t="s">
        <v>155</v>
      </c>
      <c r="C104" s="4">
        <v>0</v>
      </c>
      <c r="D104" s="4">
        <v>0</v>
      </c>
      <c r="E104" s="4">
        <v>6557.57</v>
      </c>
      <c r="F104" s="4">
        <v>13091.92</v>
      </c>
      <c r="G104" s="4">
        <v>14458.51</v>
      </c>
      <c r="H104" s="4">
        <v>16029.839991369747</v>
      </c>
      <c r="I104" s="4">
        <v>50137.83999136975</v>
      </c>
      <c r="J104" s="4">
        <v>11018.15</v>
      </c>
      <c r="K104" s="4">
        <v>14071.22</v>
      </c>
      <c r="L104" s="4">
        <v>18415.07</v>
      </c>
      <c r="M104" s="4">
        <v>11710.85</v>
      </c>
      <c r="N104" s="4">
        <v>55215.29</v>
      </c>
      <c r="O104" s="4">
        <v>7807.84</v>
      </c>
      <c r="P104" s="4">
        <v>7949.1799999999994</v>
      </c>
      <c r="Q104" s="4">
        <v>11069.91</v>
      </c>
      <c r="R104" s="4">
        <v>6326.3600000000006</v>
      </c>
      <c r="S104" s="4">
        <f>SUM(O104:R104)</f>
        <v>33153.29</v>
      </c>
      <c r="T104" s="4">
        <v>9513.48</v>
      </c>
      <c r="U104" s="4">
        <v>10957.470000000001</v>
      </c>
    </row>
    <row r="105" spans="2:21" ht="14.25" customHeight="1" x14ac:dyDescent="0.35">
      <c r="B105" s="5" t="s">
        <v>156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10137.620000000001</v>
      </c>
      <c r="I105" s="4">
        <v>10137.620000000001</v>
      </c>
      <c r="J105" s="4">
        <v>127490.63699999999</v>
      </c>
      <c r="K105" s="4">
        <v>95097.163509999838</v>
      </c>
      <c r="L105" s="4">
        <v>0</v>
      </c>
      <c r="M105" s="4">
        <v>0</v>
      </c>
      <c r="N105" s="4">
        <v>222587.80050999983</v>
      </c>
      <c r="O105" s="4">
        <v>28633.120999999999</v>
      </c>
      <c r="P105" s="4">
        <v>36664.741999999998</v>
      </c>
      <c r="Q105" s="4">
        <v>62526.642999999996</v>
      </c>
      <c r="R105" s="4">
        <v>94810.418000000005</v>
      </c>
      <c r="S105" s="4">
        <f>SUM(O105:R105)</f>
        <v>222634.924</v>
      </c>
      <c r="T105" s="4">
        <v>197502.85100000002</v>
      </c>
      <c r="U105" s="4">
        <v>252464.86</v>
      </c>
    </row>
    <row r="106" spans="2:21" ht="14.25" customHeight="1" thickBot="1" x14ac:dyDescent="0.4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</row>
    <row r="107" spans="2:21" ht="14.25" customHeight="1" thickBot="1" x14ac:dyDescent="0.4">
      <c r="B107" s="9" t="s">
        <v>157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2:21" ht="14.25" customHeight="1" x14ac:dyDescent="0.35">
      <c r="B108" s="5" t="s">
        <v>158</v>
      </c>
      <c r="C108" s="26">
        <v>1.5721461538461534</v>
      </c>
      <c r="D108" s="26">
        <v>1.6243557692307695</v>
      </c>
      <c r="E108" s="26">
        <v>1.6992384615384615</v>
      </c>
      <c r="F108" s="26">
        <v>1.705023076923077</v>
      </c>
      <c r="G108" s="26">
        <v>1.8985615384615384</v>
      </c>
      <c r="H108" s="26">
        <v>2.0045615384615383</v>
      </c>
      <c r="I108" s="26">
        <v>1.8268461538461542</v>
      </c>
      <c r="J108" s="26">
        <v>1.4692538461538465</v>
      </c>
      <c r="K108" s="26">
        <v>1.7105615384615389</v>
      </c>
      <c r="L108" s="26">
        <v>2.0262714285714285</v>
      </c>
      <c r="M108" s="26">
        <v>2.3557428571428569</v>
      </c>
      <c r="N108" s="26">
        <v>1.901588888888889</v>
      </c>
      <c r="O108" s="26">
        <v>2.7732615384615382</v>
      </c>
      <c r="P108" s="26">
        <v>3.0893153846153849</v>
      </c>
      <c r="Q108" s="26">
        <v>3.5102928571428573</v>
      </c>
      <c r="R108" s="26">
        <v>3.1089249999999997</v>
      </c>
      <c r="S108" s="26">
        <v>3.1281673076923076</v>
      </c>
      <c r="T108" s="26">
        <v>3.3582153846153848</v>
      </c>
      <c r="U108" s="26">
        <v>2.1007157894736843</v>
      </c>
    </row>
    <row r="109" spans="2:21" ht="14.25" customHeight="1" x14ac:dyDescent="0.35">
      <c r="B109" s="5" t="s">
        <v>159</v>
      </c>
      <c r="C109" s="26">
        <f>C110-C108</f>
        <v>0.12484747891653836</v>
      </c>
      <c r="D109" s="26">
        <f t="shared" ref="D109:U109" si="20">D110-D108</f>
        <v>0.14586838278222802</v>
      </c>
      <c r="E109" s="26">
        <f t="shared" si="20"/>
        <v>6.4496992454419644E-2</v>
      </c>
      <c r="F109" s="26">
        <f t="shared" si="20"/>
        <v>6.100883252826983E-2</v>
      </c>
      <c r="G109" s="26">
        <f t="shared" si="20"/>
        <v>-4.7224517167937963E-2</v>
      </c>
      <c r="H109" s="26">
        <f t="shared" si="20"/>
        <v>7.2433757405479859E-2</v>
      </c>
      <c r="I109" s="26">
        <f t="shared" si="20"/>
        <v>5.9184653260546005E-2</v>
      </c>
      <c r="J109" s="26">
        <f t="shared" si="20"/>
        <v>-2.857947865392263E-2</v>
      </c>
      <c r="K109" s="26">
        <f t="shared" si="20"/>
        <v>-6.118979128260249E-2</v>
      </c>
      <c r="L109" s="26">
        <f t="shared" si="20"/>
        <v>1.9595805125600219E-2</v>
      </c>
      <c r="M109" s="26">
        <f t="shared" si="20"/>
        <v>5.4810393375441357E-2</v>
      </c>
      <c r="N109" s="26">
        <f t="shared" si="20"/>
        <v>1.3700365549866644E-2</v>
      </c>
      <c r="O109" s="26">
        <f t="shared" si="20"/>
        <v>9.6588816202189953E-3</v>
      </c>
      <c r="P109" s="26">
        <f t="shared" si="20"/>
        <v>0.14243819845942562</v>
      </c>
      <c r="Q109" s="26">
        <f t="shared" si="20"/>
        <v>0.2210763482864877</v>
      </c>
      <c r="R109" s="26">
        <f t="shared" si="20"/>
        <v>0.18607125170345951</v>
      </c>
      <c r="S109" s="26">
        <f t="shared" si="20"/>
        <v>0.16257566320104999</v>
      </c>
      <c r="T109" s="26">
        <f t="shared" si="20"/>
        <v>0.29761680260070378</v>
      </c>
      <c r="U109" s="26">
        <f t="shared" si="20"/>
        <v>0.74541232468475371</v>
      </c>
    </row>
    <row r="110" spans="2:21" ht="14.25" customHeight="1" x14ac:dyDescent="0.35">
      <c r="B110" s="5" t="s">
        <v>160</v>
      </c>
      <c r="C110" s="26">
        <f t="shared" ref="C110:U112" si="21">C23/C93</f>
        <v>1.6969936327626918</v>
      </c>
      <c r="D110" s="26">
        <f t="shared" si="21"/>
        <v>1.7702241520129975</v>
      </c>
      <c r="E110" s="26">
        <f t="shared" si="21"/>
        <v>1.7637354539928811</v>
      </c>
      <c r="F110" s="26">
        <f t="shared" si="21"/>
        <v>1.7660319094513468</v>
      </c>
      <c r="G110" s="26">
        <f t="shared" si="21"/>
        <v>1.8513370212936004</v>
      </c>
      <c r="H110" s="26">
        <f t="shared" si="21"/>
        <v>2.0769952958670181</v>
      </c>
      <c r="I110" s="26">
        <f t="shared" si="21"/>
        <v>1.8860308071067002</v>
      </c>
      <c r="J110" s="26">
        <f t="shared" si="21"/>
        <v>1.4406743674999238</v>
      </c>
      <c r="K110" s="26">
        <f t="shared" si="21"/>
        <v>1.6493717471789364</v>
      </c>
      <c r="L110" s="26">
        <f t="shared" si="21"/>
        <v>2.0458672336970287</v>
      </c>
      <c r="M110" s="26">
        <f t="shared" si="21"/>
        <v>2.4105532505182983</v>
      </c>
      <c r="N110" s="26">
        <f t="shared" si="21"/>
        <v>1.9152892544387556</v>
      </c>
      <c r="O110" s="26">
        <f t="shared" si="21"/>
        <v>2.7829204200817572</v>
      </c>
      <c r="P110" s="26">
        <f t="shared" si="21"/>
        <v>3.2317535830748105</v>
      </c>
      <c r="Q110" s="26">
        <f t="shared" si="21"/>
        <v>3.731369205429345</v>
      </c>
      <c r="R110" s="26">
        <f t="shared" si="21"/>
        <v>3.2949962517034592</v>
      </c>
      <c r="S110" s="26">
        <f t="shared" si="21"/>
        <v>3.2907429708933575</v>
      </c>
      <c r="T110" s="26">
        <f t="shared" si="21"/>
        <v>3.6558321872160886</v>
      </c>
      <c r="U110" s="26">
        <f t="shared" si="21"/>
        <v>2.846128114158438</v>
      </c>
    </row>
    <row r="111" spans="2:21" ht="14.25" customHeight="1" x14ac:dyDescent="0.35">
      <c r="B111" s="55" t="s">
        <v>161</v>
      </c>
      <c r="C111" s="53">
        <f t="shared" si="21"/>
        <v>1.8235310601545645</v>
      </c>
      <c r="D111" s="53">
        <f t="shared" si="21"/>
        <v>1.7922151404591085</v>
      </c>
      <c r="E111" s="53">
        <f t="shared" si="21"/>
        <v>1.8530610071496434</v>
      </c>
      <c r="F111" s="53">
        <f t="shared" si="21"/>
        <v>1.7987427791408284</v>
      </c>
      <c r="G111" s="53">
        <f t="shared" si="21"/>
        <v>1.9624466107607885</v>
      </c>
      <c r="H111" s="53">
        <f t="shared" si="21"/>
        <v>2.109808666917897</v>
      </c>
      <c r="I111" s="53">
        <f t="shared" si="21"/>
        <v>1.9363577577539306</v>
      </c>
      <c r="J111" s="53">
        <f t="shared" si="21"/>
        <v>1.5206353381253499</v>
      </c>
      <c r="K111" s="53">
        <f t="shared" si="21"/>
        <v>1.775356782925678</v>
      </c>
      <c r="L111" s="53">
        <f t="shared" si="21"/>
        <v>2.1177183044350003</v>
      </c>
      <c r="M111" s="53">
        <f t="shared" si="21"/>
        <v>2.4719083417595464</v>
      </c>
      <c r="N111" s="53">
        <f t="shared" si="21"/>
        <v>1.9852970695704073</v>
      </c>
      <c r="O111" s="53">
        <f t="shared" si="21"/>
        <v>2.9897290395327687</v>
      </c>
      <c r="P111" s="53">
        <f t="shared" si="21"/>
        <v>3.4390000612835911</v>
      </c>
      <c r="Q111" s="53">
        <f t="shared" si="21"/>
        <v>3.8793597594174325</v>
      </c>
      <c r="R111" s="53">
        <f t="shared" si="21"/>
        <v>3.4621858374227874</v>
      </c>
      <c r="S111" s="53">
        <f t="shared" si="21"/>
        <v>3.4925291242848817</v>
      </c>
      <c r="T111" s="53">
        <f t="shared" si="21"/>
        <v>3.7737488501603473</v>
      </c>
      <c r="U111" s="53">
        <f t="shared" si="21"/>
        <v>3.0428711990353872</v>
      </c>
    </row>
    <row r="112" spans="2:21" ht="14.25" customHeight="1" x14ac:dyDescent="0.35">
      <c r="B112" s="55" t="s">
        <v>162</v>
      </c>
      <c r="C112" s="53">
        <f t="shared" si="21"/>
        <v>1.6315475972568012</v>
      </c>
      <c r="D112" s="53">
        <f t="shared" si="21"/>
        <v>1.7164867057896707</v>
      </c>
      <c r="E112" s="53">
        <f t="shared" si="21"/>
        <v>1.6308931664702173</v>
      </c>
      <c r="F112" s="53">
        <f t="shared" si="21"/>
        <v>1.6621155277515405</v>
      </c>
      <c r="G112" s="53">
        <f t="shared" si="21"/>
        <v>1.6599025133151128</v>
      </c>
      <c r="H112" s="53">
        <f t="shared" si="21"/>
        <v>2.0441446143246287</v>
      </c>
      <c r="I112" s="53">
        <f t="shared" si="21"/>
        <v>1.8069702984287512</v>
      </c>
      <c r="J112" s="53">
        <f t="shared" si="21"/>
        <v>1.3967452190103624</v>
      </c>
      <c r="K112" s="53">
        <f t="shared" si="21"/>
        <v>1.5607891088645596</v>
      </c>
      <c r="L112" s="53">
        <f t="shared" si="21"/>
        <v>2.0081989586694355</v>
      </c>
      <c r="M112" s="53">
        <f t="shared" si="21"/>
        <v>2.3783939720808789</v>
      </c>
      <c r="N112" s="53">
        <f t="shared" si="21"/>
        <v>1.8756092749063957</v>
      </c>
      <c r="O112" s="53">
        <f t="shared" si="21"/>
        <v>2.6438764234580523</v>
      </c>
      <c r="P112" s="53">
        <f t="shared" si="21"/>
        <v>3.0198478026130728</v>
      </c>
      <c r="Q112" s="53">
        <f t="shared" si="21"/>
        <v>3.5871478684835547</v>
      </c>
      <c r="R112" s="53">
        <f t="shared" si="21"/>
        <v>3.1812066459043917</v>
      </c>
      <c r="S112" s="53">
        <f t="shared" si="21"/>
        <v>3.1237684715584026</v>
      </c>
      <c r="T112" s="53">
        <f t="shared" si="21"/>
        <v>3.5435556281229545</v>
      </c>
      <c r="U112" s="53">
        <f t="shared" si="21"/>
        <v>2.5506669189054687</v>
      </c>
    </row>
    <row r="113" spans="2:21" ht="14.25" customHeight="1" x14ac:dyDescent="0.35">
      <c r="B113" s="5" t="s">
        <v>151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2:21" ht="14.25" customHeight="1" x14ac:dyDescent="0.35">
      <c r="B114" s="55" t="s">
        <v>163</v>
      </c>
      <c r="C114" s="54">
        <f t="shared" ref="C114:U116" si="22">C27/C98*1000</f>
        <v>498.36100161982074</v>
      </c>
      <c r="D114" s="54">
        <f t="shared" si="22"/>
        <v>604.43169677951573</v>
      </c>
      <c r="E114" s="54">
        <f t="shared" si="22"/>
        <v>651.55802179041052</v>
      </c>
      <c r="F114" s="54">
        <f t="shared" si="22"/>
        <v>657.06142630237071</v>
      </c>
      <c r="G114" s="54">
        <f t="shared" si="22"/>
        <v>622.02243883130666</v>
      </c>
      <c r="H114" s="54">
        <f t="shared" si="22"/>
        <v>739.44669003169929</v>
      </c>
      <c r="I114" s="54">
        <f t="shared" si="22"/>
        <v>669.19657859784343</v>
      </c>
      <c r="J114" s="54">
        <f t="shared" si="22"/>
        <v>841.63218224980653</v>
      </c>
      <c r="K114" s="54">
        <f t="shared" si="22"/>
        <v>992.4322851239823</v>
      </c>
      <c r="L114" s="54">
        <f t="shared" si="22"/>
        <v>1174.7571002945203</v>
      </c>
      <c r="M114" s="54">
        <f t="shared" si="22"/>
        <v>1460.8419963083243</v>
      </c>
      <c r="N114" s="54">
        <f t="shared" si="22"/>
        <v>1115.3561114091517</v>
      </c>
      <c r="O114" s="54">
        <f t="shared" si="22"/>
        <v>1634.5445991697825</v>
      </c>
      <c r="P114" s="54">
        <f t="shared" si="22"/>
        <v>1671.4420147828778</v>
      </c>
      <c r="Q114" s="54">
        <f t="shared" si="22"/>
        <v>1641.4108562058352</v>
      </c>
      <c r="R114" s="54">
        <f t="shared" si="22"/>
        <v>1632.759245301105</v>
      </c>
      <c r="S114" s="54">
        <f t="shared" si="22"/>
        <v>1644.8670494798987</v>
      </c>
      <c r="T114" s="54">
        <f t="shared" si="22"/>
        <v>1727.0621847277894</v>
      </c>
      <c r="U114" s="54">
        <f t="shared" si="22"/>
        <v>1679.1225030292576</v>
      </c>
    </row>
    <row r="115" spans="2:21" ht="14.25" customHeight="1" x14ac:dyDescent="0.35">
      <c r="B115" s="55" t="s">
        <v>164</v>
      </c>
      <c r="C115" s="54">
        <f t="shared" si="22"/>
        <v>202.01191249060557</v>
      </c>
      <c r="D115" s="54">
        <f t="shared" si="22"/>
        <v>292.65910697237194</v>
      </c>
      <c r="E115" s="54">
        <f t="shared" si="22"/>
        <v>285.16521449644921</v>
      </c>
      <c r="F115" s="54">
        <f t="shared" si="22"/>
        <v>334.15099696260603</v>
      </c>
      <c r="G115" s="54">
        <f t="shared" si="22"/>
        <v>327.20240489060245</v>
      </c>
      <c r="H115" s="54">
        <f t="shared" si="22"/>
        <v>385.6423191513843</v>
      </c>
      <c r="I115" s="54">
        <f t="shared" si="22"/>
        <v>334.26384688795082</v>
      </c>
      <c r="J115" s="54">
        <f t="shared" si="22"/>
        <v>404.0072601334362</v>
      </c>
      <c r="K115" s="54">
        <f t="shared" si="22"/>
        <v>428.31447221210516</v>
      </c>
      <c r="L115" s="54">
        <f t="shared" si="22"/>
        <v>453.45953234172146</v>
      </c>
      <c r="M115" s="54">
        <f t="shared" si="22"/>
        <v>513.348481338993</v>
      </c>
      <c r="N115" s="54">
        <f t="shared" si="22"/>
        <v>451.01140551225882</v>
      </c>
      <c r="O115" s="54">
        <f t="shared" si="22"/>
        <v>553.17190527330865</v>
      </c>
      <c r="P115" s="54">
        <f t="shared" si="22"/>
        <v>739.95714651108847</v>
      </c>
      <c r="Q115" s="54">
        <f t="shared" si="22"/>
        <v>944.5779203583453</v>
      </c>
      <c r="R115" s="54">
        <f t="shared" si="22"/>
        <v>1160.0492016778403</v>
      </c>
      <c r="S115" s="54">
        <f t="shared" si="22"/>
        <v>837.25348901464167</v>
      </c>
      <c r="T115" s="54">
        <f t="shared" si="22"/>
        <v>1126.0404874410135</v>
      </c>
      <c r="U115" s="54">
        <f t="shared" si="22"/>
        <v>1113.2373377501124</v>
      </c>
    </row>
    <row r="116" spans="2:21" ht="14.25" customHeight="1" x14ac:dyDescent="0.35">
      <c r="B116" s="55" t="s">
        <v>165</v>
      </c>
      <c r="C116" s="54">
        <f t="shared" si="22"/>
        <v>59.612219877713066</v>
      </c>
      <c r="D116" s="54">
        <f t="shared" si="22"/>
        <v>81.116682790507681</v>
      </c>
      <c r="E116" s="54">
        <f t="shared" si="22"/>
        <v>42.817492930441738</v>
      </c>
      <c r="F116" s="54">
        <f t="shared" si="22"/>
        <v>96.286516151768168</v>
      </c>
      <c r="G116" s="54">
        <f t="shared" si="22"/>
        <v>94.311385111526917</v>
      </c>
      <c r="H116" s="54">
        <f t="shared" si="22"/>
        <v>105.7724206168815</v>
      </c>
      <c r="I116" s="54">
        <f t="shared" si="22"/>
        <v>85.312100998294994</v>
      </c>
      <c r="J116" s="54">
        <f t="shared" si="22"/>
        <v>106.97117229773521</v>
      </c>
      <c r="K116" s="54">
        <f t="shared" si="22"/>
        <v>103.36694096604552</v>
      </c>
      <c r="L116" s="54">
        <f t="shared" si="22"/>
        <v>114.1779567734181</v>
      </c>
      <c r="M116" s="54">
        <f t="shared" si="22"/>
        <v>160.54622159379593</v>
      </c>
      <c r="N116" s="54">
        <f t="shared" si="22"/>
        <v>121.52420144861861</v>
      </c>
      <c r="O116" s="54">
        <f t="shared" si="22"/>
        <v>165.97553952901293</v>
      </c>
      <c r="P116" s="54">
        <f t="shared" si="22"/>
        <v>173.72878544300866</v>
      </c>
      <c r="Q116" s="54">
        <f t="shared" si="22"/>
        <v>172.43013667123031</v>
      </c>
      <c r="R116" s="54">
        <f t="shared" si="22"/>
        <v>202.59385335677013</v>
      </c>
      <c r="S116" s="54">
        <f t="shared" si="22"/>
        <v>178.10034554464403</v>
      </c>
      <c r="T116" s="54">
        <f t="shared" si="22"/>
        <v>356.15524536819777</v>
      </c>
      <c r="U116" s="54">
        <f t="shared" si="22"/>
        <v>363.45245000471556</v>
      </c>
    </row>
    <row r="117" spans="2:21" ht="14.25" customHeight="1" x14ac:dyDescent="0.35">
      <c r="B117" s="55" t="s">
        <v>166</v>
      </c>
      <c r="C117" s="54">
        <f t="shared" ref="C117:U118" si="23">C30/C102*1000</f>
        <v>1294.6644541222406</v>
      </c>
      <c r="D117" s="54">
        <f t="shared" si="23"/>
        <v>1687.0478450164285</v>
      </c>
      <c r="E117" s="54">
        <f t="shared" si="23"/>
        <v>1667.1876772876908</v>
      </c>
      <c r="F117" s="54">
        <f t="shared" si="23"/>
        <v>1773.5100055634073</v>
      </c>
      <c r="G117" s="54">
        <f t="shared" si="23"/>
        <v>1740.9086429486547</v>
      </c>
      <c r="H117" s="54">
        <f t="shared" si="23"/>
        <v>1230.2539910474277</v>
      </c>
      <c r="I117" s="54">
        <f t="shared" si="23"/>
        <v>1599.7872538466095</v>
      </c>
      <c r="J117" s="54">
        <f t="shared" si="23"/>
        <v>2131.4470694145425</v>
      </c>
      <c r="K117" s="54">
        <f t="shared" si="23"/>
        <v>2636.1550896772223</v>
      </c>
      <c r="L117" s="54">
        <f t="shared" si="23"/>
        <v>4417.7662060932289</v>
      </c>
      <c r="M117" s="54">
        <f t="shared" si="23"/>
        <v>4473.0579911441391</v>
      </c>
      <c r="N117" s="54">
        <f t="shared" si="23"/>
        <v>3461.3661581048264</v>
      </c>
      <c r="O117" s="54">
        <f t="shared" si="23"/>
        <v>5022.0876185426496</v>
      </c>
      <c r="P117" s="54">
        <f t="shared" si="23"/>
        <v>5397.0357797680208</v>
      </c>
      <c r="Q117" s="54">
        <f t="shared" si="23"/>
        <v>6009.513859559429</v>
      </c>
      <c r="R117" s="54">
        <f t="shared" si="23"/>
        <v>6154.401833074412</v>
      </c>
      <c r="S117" s="54">
        <f t="shared" si="23"/>
        <v>5654.9675778511319</v>
      </c>
      <c r="T117" s="54">
        <f t="shared" si="23"/>
        <v>6774.3705189080802</v>
      </c>
      <c r="U117" s="54">
        <f t="shared" si="23"/>
        <v>6472.7404738295645</v>
      </c>
    </row>
    <row r="118" spans="2:21" ht="14.25" customHeight="1" x14ac:dyDescent="0.35">
      <c r="B118" s="5" t="s">
        <v>167</v>
      </c>
      <c r="C118" s="25">
        <f t="shared" si="23"/>
        <v>197.28717130368418</v>
      </c>
      <c r="D118" s="25">
        <f t="shared" si="23"/>
        <v>242.88430875340342</v>
      </c>
      <c r="E118" s="25">
        <f t="shared" si="23"/>
        <v>202.50723748465111</v>
      </c>
      <c r="F118" s="25">
        <f t="shared" si="23"/>
        <v>283.88840574329799</v>
      </c>
      <c r="G118" s="25">
        <f t="shared" si="23"/>
        <v>275.37391775272209</v>
      </c>
      <c r="H118" s="25">
        <f t="shared" si="23"/>
        <v>285.14744022745981</v>
      </c>
      <c r="I118" s="25">
        <f t="shared" si="23"/>
        <v>262.39274972299165</v>
      </c>
      <c r="J118" s="25">
        <f t="shared" si="23"/>
        <v>222.9707497406668</v>
      </c>
      <c r="K118" s="25">
        <f t="shared" si="23"/>
        <v>248.00715560532029</v>
      </c>
      <c r="L118" s="25">
        <f t="shared" si="23"/>
        <v>264.84679777617259</v>
      </c>
      <c r="M118" s="25">
        <f t="shared" si="23"/>
        <v>176.31859905755056</v>
      </c>
      <c r="N118" s="25">
        <f t="shared" si="23"/>
        <v>225.8543911702026</v>
      </c>
      <c r="O118" s="25">
        <f t="shared" si="23"/>
        <v>203.42641990049751</v>
      </c>
      <c r="P118" s="25">
        <f t="shared" si="23"/>
        <v>466.93637084965746</v>
      </c>
      <c r="Q118" s="25">
        <f t="shared" si="23"/>
        <v>315.83722135821665</v>
      </c>
      <c r="R118" s="25">
        <f t="shared" si="23"/>
        <v>202.09288467679391</v>
      </c>
      <c r="S118" s="25">
        <f t="shared" si="23"/>
        <v>289.04443163968455</v>
      </c>
      <c r="T118" s="25">
        <f t="shared" si="23"/>
        <v>79.575885564260346</v>
      </c>
      <c r="U118" s="25">
        <f t="shared" si="23"/>
        <v>67.052154452729098</v>
      </c>
    </row>
    <row r="119" spans="2:21" ht="14.25" customHeight="1" x14ac:dyDescent="0.35">
      <c r="B119" s="5" t="s">
        <v>168</v>
      </c>
      <c r="C119" s="25">
        <v>0</v>
      </c>
      <c r="D119" s="25">
        <v>0</v>
      </c>
      <c r="E119" s="25">
        <v>55.312499904690313</v>
      </c>
      <c r="F119" s="25">
        <v>55.312498533133976</v>
      </c>
      <c r="G119" s="25">
        <v>63.118595481525084</v>
      </c>
      <c r="H119" s="25">
        <v>68.062499842329487</v>
      </c>
      <c r="I119" s="25">
        <v>61.639955414286511</v>
      </c>
      <c r="J119" s="25">
        <v>79.225055022848665</v>
      </c>
      <c r="K119" s="25">
        <v>81.674999875632679</v>
      </c>
      <c r="L119" s="25">
        <v>62.045145090406905</v>
      </c>
      <c r="M119" s="25">
        <v>81.674998804527391</v>
      </c>
      <c r="N119" s="25">
        <v>74.639285268627575</v>
      </c>
      <c r="O119" s="25">
        <v>88.083526301768472</v>
      </c>
      <c r="P119" s="25">
        <v>91.475999919488544</v>
      </c>
      <c r="Q119" s="25">
        <v>91.475999999999999</v>
      </c>
      <c r="R119" s="25">
        <v>91.475999999999999</v>
      </c>
      <c r="S119" s="25">
        <v>90.67704764866474</v>
      </c>
      <c r="T119" s="25">
        <v>100.6235989360335</v>
      </c>
      <c r="U119" s="25">
        <v>105.19740055896793</v>
      </c>
    </row>
    <row r="120" spans="2:21" ht="14.25" customHeight="1" x14ac:dyDescent="0.35">
      <c r="B120" s="5" t="s">
        <v>169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39.387347187998756</v>
      </c>
      <c r="I120" s="25">
        <v>39.387347187998756</v>
      </c>
      <c r="J120" s="25">
        <v>33.337010903788965</v>
      </c>
      <c r="K120" s="25">
        <v>30.924008004621168</v>
      </c>
      <c r="L120" s="25">
        <v>0</v>
      </c>
      <c r="M120" s="25">
        <v>0</v>
      </c>
      <c r="N120" s="25">
        <v>32.310781737236368</v>
      </c>
      <c r="O120" s="25">
        <v>80.168666035393017</v>
      </c>
      <c r="P120" s="25">
        <v>80.389818060086199</v>
      </c>
      <c r="Q120" s="25">
        <v>75.663138020670203</v>
      </c>
      <c r="R120" s="25">
        <v>75.561043382384455</v>
      </c>
      <c r="S120" s="25">
        <v>76.977532871159838</v>
      </c>
      <c r="T120" s="25">
        <v>77.36373612247246</v>
      </c>
      <c r="U120" s="25">
        <v>67.460592812797842</v>
      </c>
    </row>
    <row r="121" spans="2:21" ht="14.25" customHeight="1" x14ac:dyDescent="0.35">
      <c r="B121" s="5" t="s">
        <v>170</v>
      </c>
      <c r="C121" s="25">
        <v>17.7</v>
      </c>
      <c r="D121" s="25">
        <v>18.25</v>
      </c>
      <c r="E121" s="25">
        <v>21.49</v>
      </c>
      <c r="F121" s="25">
        <v>21.34</v>
      </c>
      <c r="G121" s="25">
        <v>22.75</v>
      </c>
      <c r="H121" s="25">
        <v>24.252280173674752</v>
      </c>
      <c r="I121" s="25">
        <v>22.53</v>
      </c>
      <c r="J121" s="25">
        <v>24.01</v>
      </c>
      <c r="K121" s="25">
        <v>24.21</v>
      </c>
      <c r="L121" s="25">
        <v>28.79</v>
      </c>
      <c r="M121" s="25">
        <v>31.553207990189691</v>
      </c>
      <c r="N121" s="25">
        <v>27.244265210836751</v>
      </c>
      <c r="O121" s="25">
        <v>40.65241110080251</v>
      </c>
      <c r="P121" s="25">
        <v>47.357998443166153</v>
      </c>
      <c r="Q121" s="25">
        <v>51.379665470624069</v>
      </c>
      <c r="R121" s="25">
        <v>56.049556746606868</v>
      </c>
      <c r="S121" s="25">
        <v>48.978428711167808</v>
      </c>
      <c r="T121" s="25">
        <v>55.948488964735333</v>
      </c>
      <c r="U121" s="25">
        <v>56.336507380630664</v>
      </c>
    </row>
    <row r="122" spans="2:21" ht="14.25" customHeight="1" x14ac:dyDescent="0.35">
      <c r="B122" s="5" t="s">
        <v>171</v>
      </c>
      <c r="C122" s="25">
        <v>40.4</v>
      </c>
      <c r="D122" s="25">
        <v>43.29</v>
      </c>
      <c r="E122" s="25">
        <v>43.38</v>
      </c>
      <c r="F122" s="25">
        <v>44.58</v>
      </c>
      <c r="G122" s="25">
        <v>53.71</v>
      </c>
      <c r="H122" s="25">
        <v>51.852513644613161</v>
      </c>
      <c r="I122" s="25">
        <v>48.83</v>
      </c>
      <c r="J122" s="25">
        <v>56.34</v>
      </c>
      <c r="K122" s="25">
        <v>56.66</v>
      </c>
      <c r="L122" s="25">
        <v>60.92</v>
      </c>
      <c r="M122" s="25">
        <v>65.153858324096632</v>
      </c>
      <c r="N122" s="25">
        <v>59.905702754116454</v>
      </c>
      <c r="O122" s="25">
        <v>69.547798746469212</v>
      </c>
      <c r="P122" s="25">
        <v>68.935779856460854</v>
      </c>
      <c r="Q122" s="25">
        <v>70.038893988766574</v>
      </c>
      <c r="R122" s="25">
        <v>79.744424698156024</v>
      </c>
      <c r="S122" s="25">
        <v>72.204645178648022</v>
      </c>
      <c r="T122" s="25">
        <v>89.853546289331732</v>
      </c>
      <c r="U122" s="25">
        <v>87.411268977595768</v>
      </c>
    </row>
    <row r="123" spans="2:21" ht="14.25" customHeight="1" x14ac:dyDescent="0.35">
      <c r="B123" s="5" t="s">
        <v>172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26.191495203016089</v>
      </c>
      <c r="I123" s="25">
        <v>26.191495203016089</v>
      </c>
      <c r="J123" s="25">
        <v>25.874247767700801</v>
      </c>
      <c r="K123" s="25">
        <v>24.2994449288386</v>
      </c>
      <c r="L123" s="25">
        <v>0</v>
      </c>
      <c r="M123" s="25">
        <v>0</v>
      </c>
      <c r="N123" s="25">
        <v>25.2014380437566</v>
      </c>
      <c r="O123" s="25">
        <v>74.595553617784105</v>
      </c>
      <c r="P123" s="25">
        <v>71.583523233301406</v>
      </c>
      <c r="Q123" s="25">
        <v>69.801821380760629</v>
      </c>
      <c r="R123" s="25">
        <v>70.90295586925906</v>
      </c>
      <c r="S123" s="25">
        <v>71.18068939275939</v>
      </c>
      <c r="T123" s="25">
        <v>73.491447670292033</v>
      </c>
      <c r="U123" s="25">
        <v>63.004222204230722</v>
      </c>
    </row>
    <row r="124" spans="2:21" ht="14.25" customHeight="1" thickBot="1" x14ac:dyDescent="0.4">
      <c r="B124" s="21"/>
      <c r="C124" s="21"/>
      <c r="D124" s="44"/>
      <c r="E124" s="44"/>
      <c r="F124" s="44"/>
      <c r="G124" s="44"/>
      <c r="H124" s="44"/>
      <c r="I124" s="44"/>
      <c r="J124" s="44"/>
      <c r="K124" s="44"/>
      <c r="L124" s="88"/>
      <c r="P124" s="23"/>
      <c r="Q124" s="23"/>
      <c r="R124" s="23"/>
      <c r="S124" s="23"/>
      <c r="T124" s="23"/>
    </row>
    <row r="125" spans="2:21" ht="14.25" customHeight="1" thickBot="1" x14ac:dyDescent="0.4">
      <c r="B125" s="9" t="s">
        <v>173</v>
      </c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89"/>
      <c r="S125" s="10"/>
      <c r="T125" s="10"/>
      <c r="U125" s="10"/>
    </row>
    <row r="126" spans="2:21" ht="14.25" customHeight="1" x14ac:dyDescent="0.35">
      <c r="B126" s="5" t="s">
        <v>3</v>
      </c>
      <c r="C126" s="4">
        <v>78219</v>
      </c>
      <c r="D126" s="4">
        <v>212614.28200000001</v>
      </c>
      <c r="E126" s="4">
        <v>79381.493748251407</v>
      </c>
      <c r="F126" s="4">
        <v>86661.878251748567</v>
      </c>
      <c r="G126" s="4">
        <v>129484.73352735231</v>
      </c>
      <c r="H126" s="4">
        <v>184994</v>
      </c>
      <c r="I126" s="4">
        <v>480522</v>
      </c>
      <c r="J126" s="4">
        <v>170730.84004923279</v>
      </c>
      <c r="K126" s="4">
        <v>244134.22607574097</v>
      </c>
      <c r="L126" s="4">
        <v>325091.18347835477</v>
      </c>
      <c r="M126" s="4">
        <v>420123</v>
      </c>
      <c r="N126" s="4">
        <v>1160080</v>
      </c>
      <c r="O126" s="4">
        <v>526202</v>
      </c>
      <c r="P126" s="4">
        <v>616978</v>
      </c>
      <c r="Q126" s="4">
        <v>852664</v>
      </c>
      <c r="R126" s="4">
        <v>625923</v>
      </c>
      <c r="S126" s="4">
        <v>2621767</v>
      </c>
      <c r="T126" s="4">
        <v>675996.87303999986</v>
      </c>
      <c r="U126" s="4">
        <v>707433.84663999965</v>
      </c>
    </row>
    <row r="127" spans="2:21" ht="14.25" customHeight="1" x14ac:dyDescent="0.35">
      <c r="B127" s="6" t="s">
        <v>174</v>
      </c>
      <c r="C127" s="63">
        <f t="shared" ref="C127:Q127" si="24">C126/C93</f>
        <v>0.56738460847379346</v>
      </c>
      <c r="D127" s="63">
        <f t="shared" si="24"/>
        <v>0.8244090981353166</v>
      </c>
      <c r="E127" s="63">
        <f t="shared" si="24"/>
        <v>0.76706024188385258</v>
      </c>
      <c r="F127" s="63">
        <f t="shared" si="24"/>
        <v>0.81660814883090238</v>
      </c>
      <c r="G127" s="63">
        <f t="shared" si="24"/>
        <v>0.88048792274799648</v>
      </c>
      <c r="H127" s="63">
        <f t="shared" si="24"/>
        <v>1.1570405516318245</v>
      </c>
      <c r="I127" s="63">
        <f t="shared" si="24"/>
        <v>0.93023851878228225</v>
      </c>
      <c r="J127" s="63">
        <f t="shared" si="24"/>
        <v>0.64858017350664254</v>
      </c>
      <c r="K127" s="63">
        <f t="shared" si="24"/>
        <v>0.99199124704367703</v>
      </c>
      <c r="L127" s="63">
        <f t="shared" si="24"/>
        <v>1.1149829959224913</v>
      </c>
      <c r="M127" s="63">
        <f t="shared" si="24"/>
        <v>1.3660867516121677</v>
      </c>
      <c r="N127" s="63">
        <f t="shared" si="24"/>
        <v>1.0465816978879432</v>
      </c>
      <c r="O127" s="63">
        <f t="shared" si="24"/>
        <v>1.6570726398901239</v>
      </c>
      <c r="P127" s="63">
        <f t="shared" si="24"/>
        <v>1.8984461089148916</v>
      </c>
      <c r="Q127" s="63">
        <f t="shared" si="24"/>
        <v>2.1005332480635697</v>
      </c>
      <c r="R127" s="63">
        <f>R126/R93</f>
        <v>1.7039575094619932</v>
      </c>
      <c r="S127" s="63">
        <f t="shared" ref="S127" si="25">S126/S93</f>
        <v>1.8517886996017991</v>
      </c>
      <c r="T127" s="63">
        <f>T126/T93</f>
        <v>2.203439193241902</v>
      </c>
      <c r="U127" s="63">
        <f>U126/U93</f>
        <v>2.0049843210103671</v>
      </c>
    </row>
    <row r="128" spans="2:21" ht="14.25" customHeight="1" x14ac:dyDescent="0.35">
      <c r="B128" s="6" t="s">
        <v>175</v>
      </c>
      <c r="C128" s="6">
        <v>4069.7959999999994</v>
      </c>
      <c r="D128" s="6">
        <v>29779.165999999997</v>
      </c>
      <c r="E128" s="6">
        <v>2469</v>
      </c>
      <c r="F128" s="6">
        <v>-96.783000000000001</v>
      </c>
      <c r="G128" s="6">
        <v>5685.1770000000006</v>
      </c>
      <c r="H128" s="6">
        <v>1484</v>
      </c>
      <c r="I128" s="6">
        <f>SUM(E128:H128)</f>
        <v>9541.3940000000002</v>
      </c>
      <c r="J128" s="6">
        <v>5541</v>
      </c>
      <c r="K128" s="6">
        <v>-5205</v>
      </c>
      <c r="L128" s="6">
        <v>0</v>
      </c>
      <c r="M128" s="6">
        <v>0</v>
      </c>
      <c r="N128" s="6">
        <f>SUM(J128:M128)</f>
        <v>336</v>
      </c>
      <c r="O128" s="6">
        <v>4328</v>
      </c>
      <c r="P128" s="6">
        <v>2700</v>
      </c>
      <c r="Q128" s="6">
        <v>4251</v>
      </c>
      <c r="R128" s="6">
        <v>38085</v>
      </c>
      <c r="S128" s="6">
        <v>49364</v>
      </c>
      <c r="T128" s="6">
        <v>9112</v>
      </c>
      <c r="U128" s="6">
        <v>7314</v>
      </c>
    </row>
    <row r="129" spans="2:21" ht="14.25" customHeight="1" x14ac:dyDescent="0.35">
      <c r="B129" s="5" t="s">
        <v>176</v>
      </c>
      <c r="C129" s="5">
        <f>C126-C128</f>
        <v>74149.203999999998</v>
      </c>
      <c r="D129" s="5">
        <f t="shared" ref="D129:Q129" si="26">D126-D128</f>
        <v>182835.11600000001</v>
      </c>
      <c r="E129" s="5">
        <f t="shared" si="26"/>
        <v>76912.493748251407</v>
      </c>
      <c r="F129" s="5">
        <f t="shared" si="26"/>
        <v>86758.661251748563</v>
      </c>
      <c r="G129" s="5">
        <f t="shared" si="26"/>
        <v>123799.55652735231</v>
      </c>
      <c r="H129" s="5">
        <f t="shared" si="26"/>
        <v>183510</v>
      </c>
      <c r="I129" s="5">
        <f t="shared" si="26"/>
        <v>470980.60600000003</v>
      </c>
      <c r="J129" s="5">
        <f t="shared" si="26"/>
        <v>165189.84004923279</v>
      </c>
      <c r="K129" s="5">
        <f t="shared" si="26"/>
        <v>249339.22607574097</v>
      </c>
      <c r="L129" s="5">
        <f t="shared" si="26"/>
        <v>325091.18347835477</v>
      </c>
      <c r="M129" s="5">
        <f>M126-M128</f>
        <v>420123</v>
      </c>
      <c r="N129" s="5">
        <f t="shared" si="26"/>
        <v>1159744</v>
      </c>
      <c r="O129" s="5">
        <f t="shared" si="26"/>
        <v>521874</v>
      </c>
      <c r="P129" s="5">
        <f t="shared" si="26"/>
        <v>614278</v>
      </c>
      <c r="Q129" s="5">
        <f t="shared" si="26"/>
        <v>848413</v>
      </c>
      <c r="R129" s="5">
        <f>R126-R128</f>
        <v>587838</v>
      </c>
      <c r="S129" s="5">
        <f t="shared" ref="S129" si="27">S126-S128</f>
        <v>2572403</v>
      </c>
      <c r="T129" s="5">
        <f>T126-T128</f>
        <v>666884.87303999986</v>
      </c>
      <c r="U129" s="5">
        <f>U126-U128</f>
        <v>700119.84663999965</v>
      </c>
    </row>
    <row r="130" spans="2:21" ht="14.1" customHeight="1" x14ac:dyDescent="0.35">
      <c r="B130" s="6" t="s">
        <v>177</v>
      </c>
      <c r="C130" s="63">
        <f t="shared" ref="C130:Q130" si="28">C129/C93</f>
        <v>0.53786314169426153</v>
      </c>
      <c r="D130" s="63">
        <f>D129/D93</f>
        <v>0.70894077138724854</v>
      </c>
      <c r="E130" s="63">
        <f>E129/E93</f>
        <v>0.74320239230473772</v>
      </c>
      <c r="F130" s="63">
        <f t="shared" si="28"/>
        <v>0.81752012752398706</v>
      </c>
      <c r="G130" s="63">
        <f t="shared" si="28"/>
        <v>0.84182908204283124</v>
      </c>
      <c r="H130" s="63">
        <f t="shared" si="28"/>
        <v>1.1477589090995173</v>
      </c>
      <c r="I130" s="63">
        <f t="shared" si="28"/>
        <v>0.9117674139802584</v>
      </c>
      <c r="J130" s="63">
        <f t="shared" si="28"/>
        <v>0.62753076766781468</v>
      </c>
      <c r="K130" s="63">
        <f t="shared" si="28"/>
        <v>1.0131407373214576</v>
      </c>
      <c r="L130" s="63">
        <f t="shared" si="28"/>
        <v>1.1149829959224913</v>
      </c>
      <c r="M130" s="63">
        <f t="shared" si="28"/>
        <v>1.3660867516121677</v>
      </c>
      <c r="N130" s="63">
        <f t="shared" si="28"/>
        <v>1.0462785709910996</v>
      </c>
      <c r="O130" s="63">
        <f t="shared" si="28"/>
        <v>1.6434432534844383</v>
      </c>
      <c r="P130" s="63">
        <f t="shared" si="28"/>
        <v>1.8901381878965242</v>
      </c>
      <c r="Q130" s="63">
        <f t="shared" si="28"/>
        <v>2.0900609320780021</v>
      </c>
      <c r="R130" s="63">
        <f>R129/R93</f>
        <v>1.6002782681689587</v>
      </c>
      <c r="S130" s="63">
        <f>S129/S93</f>
        <v>1.8169222536639476</v>
      </c>
      <c r="T130" s="63">
        <f>T129/T93</f>
        <v>2.1737382601021831</v>
      </c>
      <c r="U130" s="63">
        <f>U129/U93</f>
        <v>1.9842552374451412</v>
      </c>
    </row>
    <row r="131" spans="2:21" ht="14.25" customHeight="1" x14ac:dyDescent="0.35">
      <c r="M131" s="90"/>
      <c r="N131" s="90"/>
      <c r="O131" s="91"/>
      <c r="P131" s="91"/>
      <c r="Q131" s="91"/>
      <c r="R131" s="91"/>
      <c r="S131" s="91"/>
      <c r="T131" s="91"/>
      <c r="U131" s="91"/>
    </row>
    <row r="132" spans="2:21" s="12" customFormat="1" ht="14.25" customHeight="1" x14ac:dyDescent="0.35">
      <c r="B132" s="5" t="s">
        <v>178</v>
      </c>
      <c r="C132" s="26">
        <f>C110</f>
        <v>1.6969936327626918</v>
      </c>
      <c r="D132" s="26">
        <f t="shared" ref="D132:Q132" si="29">D110</f>
        <v>1.7702241520129975</v>
      </c>
      <c r="E132" s="26">
        <f t="shared" si="29"/>
        <v>1.7637354539928811</v>
      </c>
      <c r="F132" s="26">
        <f t="shared" si="29"/>
        <v>1.7660319094513468</v>
      </c>
      <c r="G132" s="26">
        <f t="shared" si="29"/>
        <v>1.8513370212936004</v>
      </c>
      <c r="H132" s="26">
        <f t="shared" si="29"/>
        <v>2.0769952958670181</v>
      </c>
      <c r="I132" s="26">
        <f t="shared" si="29"/>
        <v>1.8860308071067002</v>
      </c>
      <c r="J132" s="26">
        <f t="shared" si="29"/>
        <v>1.4406743674999238</v>
      </c>
      <c r="K132" s="26">
        <f t="shared" si="29"/>
        <v>1.6493717471789364</v>
      </c>
      <c r="L132" s="26">
        <f t="shared" si="29"/>
        <v>2.0458672336970287</v>
      </c>
      <c r="M132" s="26">
        <f t="shared" si="29"/>
        <v>2.4105532505182983</v>
      </c>
      <c r="N132" s="26">
        <f t="shared" si="29"/>
        <v>1.9152892544387556</v>
      </c>
      <c r="O132" s="26">
        <f t="shared" si="29"/>
        <v>2.7829204200817572</v>
      </c>
      <c r="P132" s="26">
        <f>P110</f>
        <v>3.2317535830748105</v>
      </c>
      <c r="Q132" s="26">
        <f t="shared" si="29"/>
        <v>3.731369205429345</v>
      </c>
      <c r="R132" s="26">
        <f>R110</f>
        <v>3.2949962517034592</v>
      </c>
      <c r="S132" s="26">
        <f t="shared" ref="S132" si="30">S110</f>
        <v>3.2907429708933575</v>
      </c>
      <c r="T132" s="26">
        <f>T110</f>
        <v>3.6558321872160886</v>
      </c>
      <c r="U132" s="26">
        <f>U110</f>
        <v>2.846128114158438</v>
      </c>
    </row>
    <row r="133" spans="2:21" ht="14.25" customHeight="1" x14ac:dyDescent="0.35">
      <c r="B133" s="55" t="s">
        <v>180</v>
      </c>
      <c r="C133" s="64">
        <f>C121</f>
        <v>17.7</v>
      </c>
      <c r="D133" s="64">
        <f t="shared" ref="D133:O133" si="31">D121</f>
        <v>18.25</v>
      </c>
      <c r="E133" s="64">
        <f t="shared" si="31"/>
        <v>21.49</v>
      </c>
      <c r="F133" s="64">
        <f t="shared" si="31"/>
        <v>21.34</v>
      </c>
      <c r="G133" s="64">
        <f t="shared" si="31"/>
        <v>22.75</v>
      </c>
      <c r="H133" s="64">
        <f t="shared" si="31"/>
        <v>24.252280173674752</v>
      </c>
      <c r="I133" s="64">
        <f t="shared" si="31"/>
        <v>22.53</v>
      </c>
      <c r="J133" s="64">
        <f t="shared" si="31"/>
        <v>24.01</v>
      </c>
      <c r="K133" s="64">
        <f t="shared" si="31"/>
        <v>24.21</v>
      </c>
      <c r="L133" s="64">
        <f t="shared" si="31"/>
        <v>28.79</v>
      </c>
      <c r="M133" s="64">
        <f t="shared" si="31"/>
        <v>31.553207990189691</v>
      </c>
      <c r="N133" s="64">
        <f t="shared" si="31"/>
        <v>27.244265210836751</v>
      </c>
      <c r="O133" s="64">
        <f t="shared" si="31"/>
        <v>40.65241110080251</v>
      </c>
      <c r="P133" s="64">
        <f>P121</f>
        <v>47.357998443166153</v>
      </c>
      <c r="Q133" s="64">
        <f t="shared" ref="Q133" si="32">Q121</f>
        <v>51.379665470624069</v>
      </c>
      <c r="R133" s="64">
        <f>R121</f>
        <v>56.049556746606868</v>
      </c>
      <c r="S133" s="64">
        <f t="shared" ref="S133" si="33">S121</f>
        <v>48.978428711167808</v>
      </c>
      <c r="T133" s="64">
        <f>T121</f>
        <v>55.948488964735333</v>
      </c>
      <c r="U133" s="64">
        <f>U121</f>
        <v>56.336507380630664</v>
      </c>
    </row>
    <row r="134" spans="2:21" ht="14.25" customHeight="1" x14ac:dyDescent="0.35">
      <c r="B134" s="55" t="s">
        <v>179</v>
      </c>
      <c r="C134" s="51">
        <f t="shared" ref="C134:U134" si="34">C51</f>
        <v>0.29880917345442698</v>
      </c>
      <c r="D134" s="51">
        <f t="shared" si="34"/>
        <v>0.39670058210410303</v>
      </c>
      <c r="E134" s="51">
        <f t="shared" si="34"/>
        <v>0.38119202506687239</v>
      </c>
      <c r="F134" s="51">
        <f t="shared" si="34"/>
        <v>0.41903682278525795</v>
      </c>
      <c r="G134" s="51">
        <f t="shared" si="34"/>
        <v>0.33194846803955474</v>
      </c>
      <c r="H134" s="51">
        <f t="shared" si="34"/>
        <v>0.33837092923496587</v>
      </c>
      <c r="I134" s="51">
        <f t="shared" si="34"/>
        <v>0.36091619872288322</v>
      </c>
      <c r="J134" s="51">
        <f t="shared" si="34"/>
        <v>0.44318740570458376</v>
      </c>
      <c r="K134" s="51">
        <f t="shared" si="34"/>
        <v>0.59283555397184606</v>
      </c>
      <c r="L134" s="51">
        <f t="shared" si="34"/>
        <v>0.52515504021305248</v>
      </c>
      <c r="M134" s="51">
        <f t="shared" si="34"/>
        <v>0.50580028861077841</v>
      </c>
      <c r="N134" s="51">
        <f t="shared" si="34"/>
        <v>0.51493947468360535</v>
      </c>
      <c r="O134" s="51">
        <f t="shared" si="34"/>
        <v>0.56272760578465164</v>
      </c>
      <c r="P134" s="51">
        <f t="shared" si="34"/>
        <v>0.51304588110771798</v>
      </c>
      <c r="Q134" s="51">
        <f t="shared" si="34"/>
        <v>0.38356810692927179</v>
      </c>
      <c r="R134" s="51">
        <f t="shared" si="34"/>
        <v>0.46039051001601722</v>
      </c>
      <c r="S134" s="51">
        <f t="shared" si="34"/>
        <v>0.46977172985730764</v>
      </c>
      <c r="T134" s="51">
        <f t="shared" si="34"/>
        <v>0.52175027391121231</v>
      </c>
      <c r="U134" s="51">
        <f t="shared" si="34"/>
        <v>0.53924307394392734</v>
      </c>
    </row>
    <row r="135" spans="2:21" ht="14.25" customHeight="1" x14ac:dyDescent="0.35">
      <c r="B135" s="55" t="s">
        <v>128</v>
      </c>
      <c r="C135" s="64">
        <f t="shared" ref="C135:U135" si="35">C12</f>
        <v>346.51289749729762</v>
      </c>
      <c r="D135" s="64">
        <f t="shared" si="35"/>
        <v>412.71817597187169</v>
      </c>
      <c r="E135" s="64">
        <f t="shared" si="35"/>
        <v>415.58264532217009</v>
      </c>
      <c r="F135" s="64">
        <f t="shared" si="35"/>
        <v>415.08445190156601</v>
      </c>
      <c r="G135" s="64">
        <f t="shared" si="35"/>
        <v>417.12576289705765</v>
      </c>
      <c r="H135" s="64">
        <f t="shared" si="35"/>
        <v>419.4370714414049</v>
      </c>
      <c r="I135" s="64">
        <f t="shared" si="35"/>
        <v>416.97074249359918</v>
      </c>
      <c r="J135" s="64">
        <f t="shared" si="35"/>
        <v>424.31193538476521</v>
      </c>
      <c r="K135" s="64">
        <f t="shared" si="35"/>
        <v>427.29246873389093</v>
      </c>
      <c r="L135" s="64">
        <f t="shared" si="35"/>
        <v>424.72558476408665</v>
      </c>
      <c r="M135" s="64">
        <f t="shared" si="35"/>
        <v>417.72880881164673</v>
      </c>
      <c r="N135" s="64">
        <f t="shared" si="35"/>
        <v>423.46308299180231</v>
      </c>
      <c r="O135" s="64">
        <f t="shared" si="35"/>
        <v>422.224931168701</v>
      </c>
      <c r="P135" s="64">
        <f t="shared" si="35"/>
        <v>430.43128100133163</v>
      </c>
      <c r="Q135" s="64">
        <f t="shared" si="35"/>
        <v>425.73011216116225</v>
      </c>
      <c r="R135" s="64">
        <f t="shared" si="35"/>
        <v>426.17853740771045</v>
      </c>
      <c r="S135" s="64">
        <f t="shared" si="35"/>
        <v>426.2078556489181</v>
      </c>
      <c r="T135" s="64">
        <f t="shared" si="35"/>
        <v>431.7930776732058</v>
      </c>
      <c r="U135" s="64">
        <f t="shared" si="35"/>
        <v>437.95599206692748</v>
      </c>
    </row>
    <row r="136" spans="2:21" ht="14.25" customHeight="1" x14ac:dyDescent="0.35">
      <c r="B136" s="55" t="s">
        <v>216</v>
      </c>
      <c r="C136" s="63">
        <f>(C133*16.67)*(1-C134)/C135</f>
        <v>0.59707060136577961</v>
      </c>
      <c r="D136" s="63">
        <f t="shared" ref="D136:O136" si="36">(D133*16.67)*(1-D134)/D135</f>
        <v>0.44471090527021756</v>
      </c>
      <c r="E136" s="63">
        <f t="shared" si="36"/>
        <v>0.53342149741270795</v>
      </c>
      <c r="F136" s="63">
        <f t="shared" si="36"/>
        <v>0.49790003358736451</v>
      </c>
      <c r="G136" s="63">
        <f t="shared" si="36"/>
        <v>0.6073792502047739</v>
      </c>
      <c r="H136" s="63">
        <f t="shared" si="36"/>
        <v>0.63772867217829288</v>
      </c>
      <c r="I136" s="63">
        <f t="shared" si="36"/>
        <v>0.57563742035622045</v>
      </c>
      <c r="J136" s="63">
        <f t="shared" si="36"/>
        <v>0.52523246413770586</v>
      </c>
      <c r="K136" s="63">
        <f t="shared" si="36"/>
        <v>0.38456964296623741</v>
      </c>
      <c r="L136" s="63">
        <f t="shared" si="36"/>
        <v>0.53656294165951934</v>
      </c>
      <c r="M136" s="63">
        <f t="shared" si="36"/>
        <v>0.62228191553996104</v>
      </c>
      <c r="N136" s="63">
        <f t="shared" si="36"/>
        <v>0.52022482987820595</v>
      </c>
      <c r="O136" s="63">
        <f t="shared" si="36"/>
        <v>0.70182703797584456</v>
      </c>
      <c r="P136" s="63">
        <f>(P133*16.67)*(1-P134)/P135</f>
        <v>0.89312687285861858</v>
      </c>
      <c r="Q136" s="63">
        <f t="shared" ref="Q136" si="37">(Q133*16.67)*(1-Q134)/Q135</f>
        <v>1.2401596676462712</v>
      </c>
      <c r="R136" s="63">
        <f>(R133*16.67)*(1-R134)/R135</f>
        <v>1.1830300781301735</v>
      </c>
      <c r="S136" s="63">
        <f t="shared" ref="S136" si="38">(S133*16.67)*(1-S134)/S135</f>
        <v>1.0157384139790897</v>
      </c>
      <c r="T136" s="63">
        <f>(T133*16.67)*(1-T134)/T135</f>
        <v>1.0330064088639528</v>
      </c>
      <c r="U136" s="63">
        <f>(U133*16.67)*(1-U134)/U135</f>
        <v>0.98802269036581536</v>
      </c>
    </row>
    <row r="137" spans="2:21" ht="14.25" customHeight="1" x14ac:dyDescent="0.35">
      <c r="B137" s="5" t="s">
        <v>181</v>
      </c>
      <c r="C137" s="26">
        <f>C132-C136</f>
        <v>1.0999230313969122</v>
      </c>
      <c r="D137" s="26">
        <f t="shared" ref="D137:O137" si="39">D132-D136</f>
        <v>1.3255132467427799</v>
      </c>
      <c r="E137" s="26">
        <f t="shared" si="39"/>
        <v>1.2303139565801731</v>
      </c>
      <c r="F137" s="26">
        <f t="shared" si="39"/>
        <v>1.2681318758639823</v>
      </c>
      <c r="G137" s="26">
        <f t="shared" si="39"/>
        <v>1.2439577710888265</v>
      </c>
      <c r="H137" s="26">
        <f t="shared" si="39"/>
        <v>1.4392666236887253</v>
      </c>
      <c r="I137" s="26">
        <f t="shared" si="39"/>
        <v>1.3103933867504798</v>
      </c>
      <c r="J137" s="26">
        <f t="shared" si="39"/>
        <v>0.91544190336221798</v>
      </c>
      <c r="K137" s="26">
        <f t="shared" si="39"/>
        <v>1.2648021042126989</v>
      </c>
      <c r="L137" s="26">
        <f t="shared" si="39"/>
        <v>1.5093042920375095</v>
      </c>
      <c r="M137" s="26">
        <f t="shared" si="39"/>
        <v>1.7882713349783372</v>
      </c>
      <c r="N137" s="26">
        <f t="shared" si="39"/>
        <v>1.3950644245605497</v>
      </c>
      <c r="O137" s="26">
        <f t="shared" si="39"/>
        <v>2.0810933821059128</v>
      </c>
      <c r="P137" s="26">
        <f>P132-P136</f>
        <v>2.3386267102161922</v>
      </c>
      <c r="Q137" s="26">
        <f t="shared" ref="Q137" si="40">Q132-Q136</f>
        <v>2.4912095377830736</v>
      </c>
      <c r="R137" s="26">
        <f>R132-R136</f>
        <v>2.1119661735732858</v>
      </c>
      <c r="S137" s="26">
        <f t="shared" ref="S137" si="41">S132-S136</f>
        <v>2.2750045569142676</v>
      </c>
      <c r="T137" s="26">
        <f>T132-T136</f>
        <v>2.6228257783521358</v>
      </c>
      <c r="U137" s="26">
        <f>U132-U136</f>
        <v>1.8581054237926227</v>
      </c>
    </row>
    <row r="138" spans="2:21" ht="14.25" customHeight="1" x14ac:dyDescent="0.35">
      <c r="B138" s="5" t="s">
        <v>348</v>
      </c>
      <c r="C138" s="26">
        <f t="shared" ref="C138:Q138" si="42">C127-C137</f>
        <v>-0.5325384229231187</v>
      </c>
      <c r="D138" s="26">
        <f t="shared" si="42"/>
        <v>-0.50110414860746333</v>
      </c>
      <c r="E138" s="26">
        <f t="shared" si="42"/>
        <v>-0.46325371469632048</v>
      </c>
      <c r="F138" s="26">
        <f t="shared" si="42"/>
        <v>-0.45152372703307997</v>
      </c>
      <c r="G138" s="26">
        <f t="shared" si="42"/>
        <v>-0.36346984834083007</v>
      </c>
      <c r="H138" s="26">
        <f t="shared" si="42"/>
        <v>-0.28222607205690076</v>
      </c>
      <c r="I138" s="26">
        <f>I127-I137</f>
        <v>-0.38015486796819753</v>
      </c>
      <c r="J138" s="26">
        <f t="shared" si="42"/>
        <v>-0.26686172985557544</v>
      </c>
      <c r="K138" s="26">
        <f t="shared" si="42"/>
        <v>-0.27281085716902187</v>
      </c>
      <c r="L138" s="26">
        <f t="shared" si="42"/>
        <v>-0.3943212961150182</v>
      </c>
      <c r="M138" s="26">
        <f t="shared" si="42"/>
        <v>-0.42218458336616949</v>
      </c>
      <c r="N138" s="26">
        <f t="shared" si="42"/>
        <v>-0.34848272667260649</v>
      </c>
      <c r="O138" s="26">
        <f t="shared" si="42"/>
        <v>-0.42402074221578889</v>
      </c>
      <c r="P138" s="26">
        <f t="shared" si="42"/>
        <v>-0.44018060130130054</v>
      </c>
      <c r="Q138" s="26">
        <f t="shared" si="42"/>
        <v>-0.39067628971950397</v>
      </c>
      <c r="R138" s="26">
        <f>R127-R137</f>
        <v>-0.40800866411129255</v>
      </c>
      <c r="S138" s="26">
        <f t="shared" ref="S138" si="43">S127-S137</f>
        <v>-0.42321585731246847</v>
      </c>
      <c r="T138" s="26">
        <f>T127-T137</f>
        <v>-0.41938658511023386</v>
      </c>
      <c r="U138" s="26">
        <f>U127-U137</f>
        <v>0.14687889721774439</v>
      </c>
    </row>
    <row r="139" spans="2:21" ht="14.25" customHeight="1" thickBot="1" x14ac:dyDescent="0.4">
      <c r="P139" s="23"/>
      <c r="Q139" s="23"/>
      <c r="R139" s="23"/>
      <c r="S139" s="23"/>
    </row>
    <row r="140" spans="2:21" ht="14.25" customHeight="1" thickBot="1" x14ac:dyDescent="0.4">
      <c r="B140" s="9" t="s">
        <v>235</v>
      </c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89"/>
      <c r="S140" s="10"/>
      <c r="T140" s="10"/>
      <c r="U140" s="10"/>
    </row>
    <row r="141" spans="2:21" ht="14.25" customHeight="1" x14ac:dyDescent="0.35">
      <c r="B141" s="5" t="s">
        <v>240</v>
      </c>
      <c r="C141" s="67">
        <f>SUM(C142:C143)</f>
        <v>1.9491081500477441</v>
      </c>
      <c r="D141" s="67">
        <f t="shared" ref="D141:U141" si="44">SUM(D142:D143)</f>
        <v>2.110983645481106</v>
      </c>
      <c r="E141" s="67">
        <f t="shared" si="44"/>
        <v>2.0846044131454082</v>
      </c>
      <c r="F141" s="67">
        <f t="shared" si="44"/>
        <v>2.1206994502825944</v>
      </c>
      <c r="G141" s="67">
        <f t="shared" si="44"/>
        <v>2.2230114778688645</v>
      </c>
      <c r="H141" s="67">
        <f t="shared" si="44"/>
        <v>2.4476724426779817</v>
      </c>
      <c r="I141" s="67">
        <f t="shared" si="44"/>
        <v>2.2415102393840365</v>
      </c>
      <c r="J141" s="67">
        <f t="shared" si="44"/>
        <v>1.872697621188006</v>
      </c>
      <c r="K141" s="67">
        <f t="shared" si="44"/>
        <v>2.1759304406094921</v>
      </c>
      <c r="L141" s="67">
        <f t="shared" si="44"/>
        <v>2.6777981033596712</v>
      </c>
      <c r="M141" s="67">
        <f t="shared" si="44"/>
        <v>3.0988007163958287</v>
      </c>
      <c r="N141" s="67">
        <f t="shared" si="44"/>
        <v>2.4878784754050072</v>
      </c>
      <c r="O141" s="67">
        <f t="shared" si="44"/>
        <v>3.6380263623148918</v>
      </c>
      <c r="P141" s="67">
        <f t="shared" si="44"/>
        <v>4.1167584168444664</v>
      </c>
      <c r="Q141" s="67">
        <f t="shared" si="44"/>
        <v>4.5816346670559485</v>
      </c>
      <c r="R141" s="67">
        <f t="shared" si="44"/>
        <v>4.2655490706611054</v>
      </c>
      <c r="S141" s="67">
        <f t="shared" si="44"/>
        <v>4.1811617707349331</v>
      </c>
      <c r="T141" s="67">
        <f t="shared" si="44"/>
        <v>4.7300993297039806</v>
      </c>
      <c r="U141" s="67">
        <f t="shared" si="44"/>
        <v>3.919128189993812</v>
      </c>
    </row>
    <row r="142" spans="2:21" ht="14.25" customHeight="1" x14ac:dyDescent="0.35">
      <c r="B142" s="55" t="s">
        <v>241</v>
      </c>
      <c r="C142" s="63">
        <f t="shared" ref="C142:U142" si="45">C23/C93</f>
        <v>1.6969936327626918</v>
      </c>
      <c r="D142" s="63">
        <f t="shared" si="45"/>
        <v>1.7702241520129975</v>
      </c>
      <c r="E142" s="63">
        <f t="shared" si="45"/>
        <v>1.7637354539928811</v>
      </c>
      <c r="F142" s="63">
        <f t="shared" si="45"/>
        <v>1.7660319094513468</v>
      </c>
      <c r="G142" s="63">
        <f t="shared" si="45"/>
        <v>1.8513370212936004</v>
      </c>
      <c r="H142" s="63">
        <f t="shared" si="45"/>
        <v>2.0769952958670181</v>
      </c>
      <c r="I142" s="63">
        <f t="shared" si="45"/>
        <v>1.8860308071067002</v>
      </c>
      <c r="J142" s="63">
        <f t="shared" si="45"/>
        <v>1.4406743674999238</v>
      </c>
      <c r="K142" s="63">
        <f t="shared" si="45"/>
        <v>1.6493717471789364</v>
      </c>
      <c r="L142" s="63">
        <f t="shared" si="45"/>
        <v>2.0458672336970287</v>
      </c>
      <c r="M142" s="63">
        <f t="shared" si="45"/>
        <v>2.4105532505182983</v>
      </c>
      <c r="N142" s="63">
        <f t="shared" si="45"/>
        <v>1.9152892544387556</v>
      </c>
      <c r="O142" s="63">
        <f t="shared" si="45"/>
        <v>2.7829204200817572</v>
      </c>
      <c r="P142" s="63">
        <f t="shared" si="45"/>
        <v>3.2317535830748105</v>
      </c>
      <c r="Q142" s="63">
        <f t="shared" si="45"/>
        <v>3.731369205429345</v>
      </c>
      <c r="R142" s="63">
        <f t="shared" si="45"/>
        <v>3.2949962517034592</v>
      </c>
      <c r="S142" s="63">
        <f t="shared" si="45"/>
        <v>3.2907429708933575</v>
      </c>
      <c r="T142" s="63">
        <f t="shared" si="45"/>
        <v>3.6558321872160886</v>
      </c>
      <c r="U142" s="63">
        <f t="shared" si="45"/>
        <v>2.846128114158438</v>
      </c>
    </row>
    <row r="143" spans="2:21" ht="14.25" customHeight="1" x14ac:dyDescent="0.35">
      <c r="B143" s="55" t="s">
        <v>242</v>
      </c>
      <c r="C143" s="63">
        <f>(C26+C31+C33)/C11</f>
        <v>0.25211451728505224</v>
      </c>
      <c r="D143" s="63">
        <f t="shared" ref="D143:U143" si="46">(D26+D31+D33)/D11</f>
        <v>0.3407594934681083</v>
      </c>
      <c r="E143" s="63">
        <f t="shared" si="46"/>
        <v>0.32086895915252728</v>
      </c>
      <c r="F143" s="63">
        <f t="shared" si="46"/>
        <v>0.35466754083124774</v>
      </c>
      <c r="G143" s="63">
        <f t="shared" si="46"/>
        <v>0.37167445657526427</v>
      </c>
      <c r="H143" s="63">
        <f t="shared" si="46"/>
        <v>0.37067714681096336</v>
      </c>
      <c r="I143" s="63">
        <f t="shared" si="46"/>
        <v>0.35547943227733619</v>
      </c>
      <c r="J143" s="63">
        <f t="shared" si="46"/>
        <v>0.4320232536880822</v>
      </c>
      <c r="K143" s="63">
        <f t="shared" si="46"/>
        <v>0.52655869343055561</v>
      </c>
      <c r="L143" s="63">
        <f t="shared" si="46"/>
        <v>0.63193086966264223</v>
      </c>
      <c r="M143" s="63">
        <f t="shared" si="46"/>
        <v>0.68824746587753027</v>
      </c>
      <c r="N143" s="63">
        <f t="shared" si="46"/>
        <v>0.57258922096625176</v>
      </c>
      <c r="O143" s="63">
        <f t="shared" si="46"/>
        <v>0.85510594223313463</v>
      </c>
      <c r="P143" s="63">
        <f t="shared" si="46"/>
        <v>0.88500483376965611</v>
      </c>
      <c r="Q143" s="63">
        <f t="shared" si="46"/>
        <v>0.8502654616266031</v>
      </c>
      <c r="R143" s="63">
        <f t="shared" si="46"/>
        <v>0.97055281895764611</v>
      </c>
      <c r="S143" s="63">
        <f t="shared" si="46"/>
        <v>0.89041879984157601</v>
      </c>
      <c r="T143" s="63">
        <f t="shared" si="46"/>
        <v>1.0742671424878918</v>
      </c>
      <c r="U143" s="63">
        <f t="shared" si="46"/>
        <v>1.0730000758353739</v>
      </c>
    </row>
    <row r="144" spans="2:21" ht="14.25" customHeight="1" x14ac:dyDescent="0.35">
      <c r="B144" s="5" t="s">
        <v>243</v>
      </c>
      <c r="C144" s="67">
        <f>C141-C143</f>
        <v>1.6969936327626918</v>
      </c>
      <c r="D144" s="67">
        <f t="shared" ref="D144:U144" si="47">D141-D143</f>
        <v>1.7702241520129975</v>
      </c>
      <c r="E144" s="67">
        <f t="shared" si="47"/>
        <v>1.7637354539928809</v>
      </c>
      <c r="F144" s="67">
        <f t="shared" si="47"/>
        <v>1.7660319094513466</v>
      </c>
      <c r="G144" s="67">
        <f t="shared" si="47"/>
        <v>1.8513370212936002</v>
      </c>
      <c r="H144" s="67">
        <f t="shared" si="47"/>
        <v>2.0769952958670181</v>
      </c>
      <c r="I144" s="67">
        <f t="shared" si="47"/>
        <v>1.8860308071067002</v>
      </c>
      <c r="J144" s="67">
        <f t="shared" si="47"/>
        <v>1.4406743674999238</v>
      </c>
      <c r="K144" s="67">
        <f t="shared" si="47"/>
        <v>1.6493717471789364</v>
      </c>
      <c r="L144" s="67">
        <f t="shared" si="47"/>
        <v>2.0458672336970292</v>
      </c>
      <c r="M144" s="67">
        <f t="shared" si="47"/>
        <v>2.4105532505182983</v>
      </c>
      <c r="N144" s="67">
        <f t="shared" si="47"/>
        <v>1.9152892544387554</v>
      </c>
      <c r="O144" s="67">
        <f t="shared" si="47"/>
        <v>2.7829204200817572</v>
      </c>
      <c r="P144" s="67">
        <f>P141-P143</f>
        <v>3.2317535830748101</v>
      </c>
      <c r="Q144" s="67">
        <f t="shared" si="47"/>
        <v>3.7313692054293455</v>
      </c>
      <c r="R144" s="67">
        <f t="shared" si="47"/>
        <v>3.2949962517034592</v>
      </c>
      <c r="S144" s="67">
        <f t="shared" si="47"/>
        <v>3.2907429708933571</v>
      </c>
      <c r="T144" s="67">
        <f t="shared" si="47"/>
        <v>3.655832187216089</v>
      </c>
      <c r="U144" s="67">
        <f t="shared" si="47"/>
        <v>2.846128114158438</v>
      </c>
    </row>
    <row r="145" spans="2:21" ht="14.25" customHeight="1" x14ac:dyDescent="0.35">
      <c r="B145" s="6" t="s">
        <v>236</v>
      </c>
      <c r="C145" s="68">
        <f>C146+C147+C148</f>
        <v>-1.3807904311989998</v>
      </c>
      <c r="D145" s="68">
        <f t="shared" ref="D145:U145" si="48">D146+D147+D148</f>
        <v>-1.2871015112159838</v>
      </c>
      <c r="E145" s="68">
        <f>E146+E147+E148</f>
        <v>-1.3465599255125773</v>
      </c>
      <c r="F145" s="68">
        <f t="shared" si="48"/>
        <v>-1.3123863522021595</v>
      </c>
      <c r="G145" s="68">
        <f t="shared" si="48"/>
        <v>-1.3269547098482826</v>
      </c>
      <c r="H145" s="68">
        <f t="shared" si="48"/>
        <v>-1.3238187423170018</v>
      </c>
      <c r="I145" s="68">
        <f t="shared" si="48"/>
        <v>-1.3252094488408668</v>
      </c>
      <c r="J145" s="68">
        <f t="shared" si="48"/>
        <v>-1.4880445713821251</v>
      </c>
      <c r="K145" s="68">
        <f t="shared" si="48"/>
        <v>-1.4184064263615925</v>
      </c>
      <c r="L145" s="68">
        <f t="shared" si="48"/>
        <v>-1.5533592260013513</v>
      </c>
      <c r="M145" s="68">
        <f>M146+M147+M148</f>
        <v>-1.6965028586881894</v>
      </c>
      <c r="N145" s="68">
        <f t="shared" si="48"/>
        <v>-1.5462877130368649</v>
      </c>
      <c r="O145" s="68">
        <f t="shared" si="48"/>
        <v>-2.12984205978821</v>
      </c>
      <c r="P145" s="68">
        <f t="shared" si="48"/>
        <v>-2.4364611414259087</v>
      </c>
      <c r="Q145" s="68">
        <f t="shared" si="48"/>
        <v>-2.6267930570553704</v>
      </c>
      <c r="R145" s="68">
        <f t="shared" si="48"/>
        <v>-2.8689668802979451</v>
      </c>
      <c r="S145" s="68">
        <f t="shared" si="48"/>
        <v>-2.5325518989108811</v>
      </c>
      <c r="T145" s="68">
        <f t="shared" si="48"/>
        <v>-3.5859157400490105</v>
      </c>
      <c r="U145" s="68">
        <f t="shared" si="48"/>
        <v>-2.9870451596904353</v>
      </c>
    </row>
    <row r="146" spans="2:21" ht="14.25" customHeight="1" x14ac:dyDescent="0.35">
      <c r="B146" s="55" t="s">
        <v>244</v>
      </c>
      <c r="C146" s="63">
        <f>C88/C93</f>
        <v>-1.2142055284242934</v>
      </c>
      <c r="D146" s="63">
        <f t="shared" ref="D146:U146" si="49">D88/D93</f>
        <v>-1.2084482529982665</v>
      </c>
      <c r="E146" s="63">
        <f t="shared" si="49"/>
        <v>-1.3460541237921402</v>
      </c>
      <c r="F146" s="63">
        <f t="shared" si="49"/>
        <v>-1.2746103422885304</v>
      </c>
      <c r="G146" s="63">
        <f t="shared" si="49"/>
        <v>-1.2735703128539129</v>
      </c>
      <c r="H146" s="63">
        <f t="shared" si="49"/>
        <v>-1.3261678398502323</v>
      </c>
      <c r="I146" s="63">
        <f t="shared" si="49"/>
        <v>-1.304583819549882</v>
      </c>
      <c r="J146" s="63">
        <f t="shared" si="49"/>
        <v>-1.5176275914806379</v>
      </c>
      <c r="K146" s="63">
        <f t="shared" si="49"/>
        <v>-1.4818902287917188</v>
      </c>
      <c r="L146" s="63">
        <f t="shared" si="49"/>
        <v>-1.5372091714684784</v>
      </c>
      <c r="M146" s="63">
        <f t="shared" si="49"/>
        <v>-1.665237193621578</v>
      </c>
      <c r="N146" s="63">
        <f t="shared" si="49"/>
        <v>-1.5557951893963555</v>
      </c>
      <c r="O146" s="63">
        <f t="shared" si="49"/>
        <v>-2.1602199558748687</v>
      </c>
      <c r="P146" s="63">
        <f t="shared" si="49"/>
        <v>-2.4820929454941156</v>
      </c>
      <c r="Q146" s="63">
        <f t="shared" si="49"/>
        <v>-2.6085231004361864</v>
      </c>
      <c r="R146" s="63">
        <f t="shared" si="49"/>
        <v>-2.8892827231436788</v>
      </c>
      <c r="S146" s="63">
        <f t="shared" si="49"/>
        <v>-2.5517966644134908</v>
      </c>
      <c r="T146" s="63">
        <f t="shared" si="49"/>
        <v>-3.5335863798771925</v>
      </c>
      <c r="U146" s="63">
        <f t="shared" si="49"/>
        <v>-3.5017045125231574</v>
      </c>
    </row>
    <row r="147" spans="2:21" ht="14.25" customHeight="1" x14ac:dyDescent="0.35">
      <c r="B147" s="55" t="s">
        <v>245</v>
      </c>
      <c r="C147" s="63">
        <v>-0.24725435943916207</v>
      </c>
      <c r="D147" s="63">
        <v>-0.1446209432416995</v>
      </c>
      <c r="E147" s="63">
        <v>-8.5251142125583601E-2</v>
      </c>
      <c r="F147" s="63">
        <v>-0.12415479180401125</v>
      </c>
      <c r="G147" s="63">
        <v>-0.1338926964831571</v>
      </c>
      <c r="H147" s="63">
        <v>-7.2204164558401507E-2</v>
      </c>
      <c r="I147" s="63">
        <v>-0.10134563553147251</v>
      </c>
      <c r="J147" s="63">
        <v>-6.515579335500013E-2</v>
      </c>
      <c r="K147" s="63">
        <v>-7.7508748890772472E-3</v>
      </c>
      <c r="L147" s="63">
        <v>-7.6540947493798445E-2</v>
      </c>
      <c r="M147" s="63">
        <v>-9.410351606478376E-2</v>
      </c>
      <c r="N147" s="63">
        <v>-6.2127002777634499E-2</v>
      </c>
      <c r="O147" s="63">
        <v>-6.8318637956914396E-2</v>
      </c>
      <c r="P147" s="63">
        <v>-4.4506061973293265E-2</v>
      </c>
      <c r="Q147" s="63">
        <v>-0.10513031637809644</v>
      </c>
      <c r="R147" s="63">
        <v>-7.2082138740898138E-2</v>
      </c>
      <c r="S147" s="63">
        <v>-7.2459411799492002E-2</v>
      </c>
      <c r="T147" s="63">
        <v>-0.15945089953789876</v>
      </c>
      <c r="U147" s="63">
        <v>0.41793780035385047</v>
      </c>
    </row>
    <row r="148" spans="2:21" ht="14.25" customHeight="1" x14ac:dyDescent="0.35">
      <c r="B148" s="55" t="s">
        <v>246</v>
      </c>
      <c r="C148" s="63">
        <v>8.0669456664455658E-2</v>
      </c>
      <c r="D148" s="63">
        <v>6.5967685023982259E-2</v>
      </c>
      <c r="E148" s="63">
        <v>8.4745340405146655E-2</v>
      </c>
      <c r="F148" s="63">
        <v>8.6378781890382242E-2</v>
      </c>
      <c r="G148" s="63">
        <v>8.0508299488787308E-2</v>
      </c>
      <c r="H148" s="63">
        <v>7.4553262091632058E-2</v>
      </c>
      <c r="I148" s="63">
        <v>8.0720006240487779E-2</v>
      </c>
      <c r="J148" s="63">
        <v>9.4738813453512885E-2</v>
      </c>
      <c r="K148" s="63">
        <v>7.1234677319203632E-2</v>
      </c>
      <c r="L148" s="63">
        <v>6.0390892960925362E-2</v>
      </c>
      <c r="M148" s="63">
        <v>6.2837850998172309E-2</v>
      </c>
      <c r="N148" s="63">
        <v>7.1634479137125326E-2</v>
      </c>
      <c r="O148" s="63">
        <v>9.8696534043573328E-2</v>
      </c>
      <c r="P148" s="63">
        <v>9.0137866041500397E-2</v>
      </c>
      <c r="Q148" s="63">
        <v>8.6860359758912556E-2</v>
      </c>
      <c r="R148" s="63">
        <v>9.239798158663208E-2</v>
      </c>
      <c r="S148" s="63">
        <v>9.1704177302101814E-2</v>
      </c>
      <c r="T148" s="63">
        <v>0.10712153936608081</v>
      </c>
      <c r="U148" s="63">
        <v>9.6721552478871708E-2</v>
      </c>
    </row>
    <row r="149" spans="2:21" ht="14.25" customHeight="1" x14ac:dyDescent="0.35">
      <c r="B149" s="6" t="s">
        <v>247</v>
      </c>
      <c r="C149" s="92">
        <f>(C26+C31+C39)/C11</f>
        <v>0.25211451728505224</v>
      </c>
      <c r="D149" s="92">
        <f t="shared" ref="D149:U149" si="50">(D26+D31+D39)/D11</f>
        <v>0.3407594934681083</v>
      </c>
      <c r="E149" s="92">
        <f t="shared" si="50"/>
        <v>0.31775466814130393</v>
      </c>
      <c r="F149" s="92">
        <f t="shared" si="50"/>
        <v>0.34865707005337443</v>
      </c>
      <c r="G149" s="92">
        <f t="shared" si="50"/>
        <v>0.36488127657201308</v>
      </c>
      <c r="H149" s="92">
        <f t="shared" si="50"/>
        <v>0.40613607125886186</v>
      </c>
      <c r="I149" s="92">
        <f t="shared" si="50"/>
        <v>0.36204225134826823</v>
      </c>
      <c r="J149" s="92">
        <f t="shared" si="50"/>
        <v>0.70051858029306935</v>
      </c>
      <c r="K149" s="92">
        <f t="shared" si="50"/>
        <v>0.69648690196841934</v>
      </c>
      <c r="L149" s="92">
        <f t="shared" si="50"/>
        <v>0.6279473134994904</v>
      </c>
      <c r="M149" s="92">
        <f t="shared" si="50"/>
        <v>0.68484046786848574</v>
      </c>
      <c r="N149" s="92">
        <f t="shared" si="50"/>
        <v>0.6767867304289491</v>
      </c>
      <c r="O149" s="92">
        <f t="shared" si="50"/>
        <v>0.96681099229448275</v>
      </c>
      <c r="P149" s="92">
        <f t="shared" si="50"/>
        <v>1.017040313483027</v>
      </c>
      <c r="Q149" s="92">
        <f t="shared" si="50"/>
        <v>1.0628625542875474</v>
      </c>
      <c r="R149" s="92">
        <f t="shared" si="50"/>
        <v>1.3038392808581416</v>
      </c>
      <c r="S149" s="92">
        <f t="shared" si="50"/>
        <v>1.0886807691382521</v>
      </c>
      <c r="T149" s="92">
        <f t="shared" si="50"/>
        <v>1.8794915474741143</v>
      </c>
      <c r="U149" s="92">
        <f t="shared" si="50"/>
        <v>1.8380126178738079</v>
      </c>
    </row>
    <row r="150" spans="2:21" ht="14.25" customHeight="1" x14ac:dyDescent="0.35">
      <c r="B150" s="5" t="s">
        <v>248</v>
      </c>
      <c r="C150" s="67">
        <f>C145+C149</f>
        <v>-1.1286759139139475</v>
      </c>
      <c r="D150" s="67">
        <f>D145+D149</f>
        <v>-0.94634201774787552</v>
      </c>
      <c r="E150" s="67">
        <f t="shared" ref="E150:U150" si="51">E145+E149</f>
        <v>-1.0288052573712734</v>
      </c>
      <c r="F150" s="67">
        <f t="shared" si="51"/>
        <v>-0.96372928214878506</v>
      </c>
      <c r="G150" s="67">
        <f t="shared" si="51"/>
        <v>-0.96207343327626949</v>
      </c>
      <c r="H150" s="67">
        <f t="shared" si="51"/>
        <v>-0.91768267105813994</v>
      </c>
      <c r="I150" s="67">
        <f t="shared" si="51"/>
        <v>-0.9631671974925986</v>
      </c>
      <c r="J150" s="67">
        <f t="shared" si="51"/>
        <v>-0.78752599108905574</v>
      </c>
      <c r="K150" s="67">
        <f t="shared" si="51"/>
        <v>-0.7219195243931732</v>
      </c>
      <c r="L150" s="67">
        <f t="shared" si="51"/>
        <v>-0.92541191250186094</v>
      </c>
      <c r="M150" s="67">
        <f t="shared" si="51"/>
        <v>-1.0116623908197035</v>
      </c>
      <c r="N150" s="67">
        <f t="shared" si="51"/>
        <v>-0.86950098260791575</v>
      </c>
      <c r="O150" s="67">
        <f t="shared" si="51"/>
        <v>-1.1630310674937272</v>
      </c>
      <c r="P150" s="67">
        <f t="shared" si="51"/>
        <v>-1.4194208279428817</v>
      </c>
      <c r="Q150" s="67">
        <f t="shared" si="51"/>
        <v>-1.563930502767823</v>
      </c>
      <c r="R150" s="67">
        <f t="shared" si="51"/>
        <v>-1.5651275994398035</v>
      </c>
      <c r="S150" s="67">
        <f t="shared" si="51"/>
        <v>-1.443871129772629</v>
      </c>
      <c r="T150" s="67">
        <f t="shared" si="51"/>
        <v>-1.7064241925748962</v>
      </c>
      <c r="U150" s="67">
        <f t="shared" si="51"/>
        <v>-1.1490325418166274</v>
      </c>
    </row>
    <row r="151" spans="2:21" ht="14.25" customHeight="1" x14ac:dyDescent="0.35">
      <c r="B151" s="5" t="s">
        <v>237</v>
      </c>
      <c r="C151" s="93">
        <f t="shared" ref="C151:U151" si="52">-C128/C11</f>
        <v>-2.9286692956449149E-2</v>
      </c>
      <c r="D151" s="93">
        <f t="shared" si="52"/>
        <v>-0.11495093255380437</v>
      </c>
      <c r="E151" s="93">
        <f t="shared" si="52"/>
        <v>-1.9032634917600409E-2</v>
      </c>
      <c r="F151" s="93">
        <f t="shared" si="52"/>
        <v>8.0333042268578621E-4</v>
      </c>
      <c r="G151" s="93">
        <f t="shared" si="52"/>
        <v>-4.2162042261292408E-2</v>
      </c>
      <c r="H151" s="93">
        <f t="shared" si="52"/>
        <v>-9.3810901623276269E-3</v>
      </c>
      <c r="I151" s="93">
        <f t="shared" si="52"/>
        <v>-1.7564077056817416E-2</v>
      </c>
      <c r="J151" s="93">
        <f t="shared" si="52"/>
        <v>-2.1264334909475567E-2</v>
      </c>
      <c r="K151" s="93">
        <f t="shared" si="52"/>
        <v>1.847785697755297E-2</v>
      </c>
      <c r="L151" s="93">
        <f t="shared" si="52"/>
        <v>0</v>
      </c>
      <c r="M151" s="93">
        <f t="shared" si="52"/>
        <v>0</v>
      </c>
      <c r="N151" s="93">
        <f t="shared" si="52"/>
        <v>-3.0253115391090581E-4</v>
      </c>
      <c r="O151" s="93">
        <f t="shared" si="52"/>
        <v>-1.2868148190522212E-2</v>
      </c>
      <c r="P151" s="93">
        <f t="shared" si="52"/>
        <v>-7.3659392910741753E-3</v>
      </c>
      <c r="Q151" s="93">
        <f t="shared" si="52"/>
        <v>-1.1610805155667276E-2</v>
      </c>
      <c r="R151" s="93">
        <f t="shared" si="52"/>
        <v>-0.10682815796699494</v>
      </c>
      <c r="S151" s="93">
        <f t="shared" si="52"/>
        <v>-3.4628816359291485E-2</v>
      </c>
      <c r="T151" s="93">
        <f t="shared" si="52"/>
        <v>-2.8475771515434494E-2</v>
      </c>
      <c r="U151" s="93">
        <f t="shared" si="52"/>
        <v>-1.9172482721697758E-2</v>
      </c>
    </row>
    <row r="152" spans="2:21" ht="14.25" customHeight="1" x14ac:dyDescent="0.35">
      <c r="B152" s="6" t="s">
        <v>238</v>
      </c>
      <c r="C152" s="68">
        <f>C150+C151</f>
        <v>-1.1579626068703968</v>
      </c>
      <c r="D152" s="68">
        <f t="shared" ref="D152:U152" si="53">D150+D151</f>
        <v>-1.0612929503016799</v>
      </c>
      <c r="E152" s="68">
        <f t="shared" si="53"/>
        <v>-1.0478378922888738</v>
      </c>
      <c r="F152" s="68">
        <f t="shared" si="53"/>
        <v>-0.96292595172609929</v>
      </c>
      <c r="G152" s="68">
        <f t="shared" si="53"/>
        <v>-1.004235475537562</v>
      </c>
      <c r="H152" s="68">
        <f t="shared" si="53"/>
        <v>-0.92706376122046752</v>
      </c>
      <c r="I152" s="68">
        <f t="shared" si="53"/>
        <v>-0.980731274549416</v>
      </c>
      <c r="J152" s="68">
        <f t="shared" si="53"/>
        <v>-0.80879032599853129</v>
      </c>
      <c r="K152" s="68">
        <f t="shared" si="53"/>
        <v>-0.7034416674156202</v>
      </c>
      <c r="L152" s="68">
        <f t="shared" si="53"/>
        <v>-0.92541191250186094</v>
      </c>
      <c r="M152" s="68">
        <f t="shared" si="53"/>
        <v>-1.0116623908197035</v>
      </c>
      <c r="N152" s="68">
        <f t="shared" si="53"/>
        <v>-0.86980351376182663</v>
      </c>
      <c r="O152" s="68">
        <f t="shared" si="53"/>
        <v>-1.1758992156842494</v>
      </c>
      <c r="P152" s="68">
        <f t="shared" si="53"/>
        <v>-1.4267867672339558</v>
      </c>
      <c r="Q152" s="68">
        <f t="shared" si="53"/>
        <v>-1.5755413079234903</v>
      </c>
      <c r="R152" s="68">
        <f t="shared" si="53"/>
        <v>-1.6719557574067985</v>
      </c>
      <c r="S152" s="68">
        <f t="shared" si="53"/>
        <v>-1.4784999461319204</v>
      </c>
      <c r="T152" s="68">
        <f t="shared" si="53"/>
        <v>-1.7348999640903306</v>
      </c>
      <c r="U152" s="68">
        <f t="shared" si="53"/>
        <v>-1.1682050245383251</v>
      </c>
    </row>
    <row r="153" spans="2:21" ht="14.25" customHeight="1" x14ac:dyDescent="0.35">
      <c r="B153" s="5" t="s">
        <v>239</v>
      </c>
      <c r="C153" s="67">
        <f>C144+C150+C151</f>
        <v>0.53903102589229512</v>
      </c>
      <c r="D153" s="67">
        <f t="shared" ref="D153:U153" si="54">D144+D150+D151</f>
        <v>0.70893120171131763</v>
      </c>
      <c r="E153" s="67">
        <f t="shared" si="54"/>
        <v>0.71589756170400709</v>
      </c>
      <c r="F153" s="67">
        <f t="shared" si="54"/>
        <v>0.80310595772524729</v>
      </c>
      <c r="G153" s="67">
        <f t="shared" si="54"/>
        <v>0.84710154575603835</v>
      </c>
      <c r="H153" s="67">
        <f t="shared" si="54"/>
        <v>1.1499315346465506</v>
      </c>
      <c r="I153" s="67">
        <f t="shared" si="54"/>
        <v>0.90529953255728424</v>
      </c>
      <c r="J153" s="67">
        <f t="shared" si="54"/>
        <v>0.63188404150139255</v>
      </c>
      <c r="K153" s="67">
        <f t="shared" si="54"/>
        <v>0.94593007976331622</v>
      </c>
      <c r="L153" s="67">
        <f t="shared" si="54"/>
        <v>1.1204553211951682</v>
      </c>
      <c r="M153" s="67">
        <f t="shared" si="54"/>
        <v>1.3988908596985947</v>
      </c>
      <c r="N153" s="67">
        <f t="shared" si="54"/>
        <v>1.0454857406769287</v>
      </c>
      <c r="O153" s="67">
        <f t="shared" si="54"/>
        <v>1.6070212043975078</v>
      </c>
      <c r="P153" s="67">
        <f>P144+P150+P151</f>
        <v>1.8049668158408543</v>
      </c>
      <c r="Q153" s="67">
        <f t="shared" si="54"/>
        <v>2.1558278975058554</v>
      </c>
      <c r="R153" s="67">
        <f t="shared" si="54"/>
        <v>1.6230404942966608</v>
      </c>
      <c r="S153" s="67">
        <f t="shared" si="54"/>
        <v>1.8122430247614367</v>
      </c>
      <c r="T153" s="67">
        <f t="shared" si="54"/>
        <v>1.9209322231257584</v>
      </c>
      <c r="U153" s="67">
        <f t="shared" si="54"/>
        <v>1.6779230896201129</v>
      </c>
    </row>
  </sheetData>
  <mergeCells count="20">
    <mergeCell ref="M5:M6"/>
    <mergeCell ref="N5:N6"/>
    <mergeCell ref="O5:O6"/>
    <mergeCell ref="P5:P6"/>
    <mergeCell ref="H5:H6"/>
    <mergeCell ref="I5:I6"/>
    <mergeCell ref="J5:J6"/>
    <mergeCell ref="K5:K6"/>
    <mergeCell ref="L5:L6"/>
    <mergeCell ref="C5:C6"/>
    <mergeCell ref="D5:D6"/>
    <mergeCell ref="E5:E6"/>
    <mergeCell ref="F5:F6"/>
    <mergeCell ref="G5:G6"/>
    <mergeCell ref="R5:R6"/>
    <mergeCell ref="S5:S6"/>
    <mergeCell ref="T5:T6"/>
    <mergeCell ref="U5:U6"/>
    <mergeCell ref="O2:U3"/>
    <mergeCell ref="Q5:Q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B245-C5A4-4189-8EBE-E1A8BD3BAB8A}">
  <sheetPr>
    <tabColor rgb="FF1B7754"/>
    <outlinePr summaryRight="0"/>
  </sheetPr>
  <dimension ref="B2:U19"/>
  <sheetViews>
    <sheetView showGridLines="0" topLeftCell="B1" zoomScaleNormal="100" workbookViewId="0">
      <selection activeCell="O2" sqref="O2:U3"/>
    </sheetView>
  </sheetViews>
  <sheetFormatPr defaultColWidth="9.140625" defaultRowHeight="14.25" customHeight="1" x14ac:dyDescent="0.35"/>
  <cols>
    <col min="1" max="1" width="1.7109375" style="2" customWidth="1"/>
    <col min="2" max="2" width="55.5703125" style="2" customWidth="1"/>
    <col min="3" max="21" width="10.7109375" style="2" customWidth="1"/>
    <col min="22" max="16384" width="9.140625" style="2"/>
  </cols>
  <sheetData>
    <row r="2" spans="2:21" ht="14.25" customHeight="1" x14ac:dyDescent="0.35">
      <c r="O2" s="96" t="s">
        <v>224</v>
      </c>
      <c r="P2" s="96"/>
      <c r="Q2" s="96"/>
      <c r="R2" s="96"/>
      <c r="S2" s="96"/>
      <c r="T2" s="96"/>
      <c r="U2" s="96"/>
    </row>
    <row r="3" spans="2:21" ht="14.25" customHeight="1" x14ac:dyDescent="0.35">
      <c r="K3" s="61"/>
      <c r="O3" s="96"/>
      <c r="P3" s="96"/>
      <c r="Q3" s="96"/>
      <c r="R3" s="96"/>
      <c r="S3" s="96"/>
      <c r="T3" s="96"/>
      <c r="U3" s="96"/>
    </row>
    <row r="5" spans="2:21" s="11" customFormat="1" ht="14.25" customHeight="1" x14ac:dyDescent="0.25">
      <c r="B5" s="75" t="s">
        <v>8</v>
      </c>
      <c r="C5" s="95" t="s">
        <v>213</v>
      </c>
      <c r="D5" s="95" t="s">
        <v>214</v>
      </c>
      <c r="E5" s="95" t="s">
        <v>215</v>
      </c>
      <c r="F5" s="95" t="s">
        <v>24</v>
      </c>
      <c r="G5" s="95" t="s">
        <v>25</v>
      </c>
      <c r="H5" s="95" t="s">
        <v>87</v>
      </c>
      <c r="I5" s="95" t="s">
        <v>12</v>
      </c>
      <c r="J5" s="95" t="s">
        <v>26</v>
      </c>
      <c r="K5" s="95" t="s">
        <v>27</v>
      </c>
      <c r="L5" s="95" t="s">
        <v>28</v>
      </c>
      <c r="M5" s="95" t="s">
        <v>88</v>
      </c>
      <c r="N5" s="95" t="s">
        <v>13</v>
      </c>
      <c r="O5" s="95" t="s">
        <v>29</v>
      </c>
      <c r="P5" s="95" t="s">
        <v>194</v>
      </c>
      <c r="Q5" s="95" t="s">
        <v>197</v>
      </c>
      <c r="R5" s="95" t="s">
        <v>218</v>
      </c>
      <c r="S5" s="95" t="s">
        <v>217</v>
      </c>
      <c r="T5" s="95" t="s">
        <v>223</v>
      </c>
      <c r="U5" s="95" t="s">
        <v>226</v>
      </c>
    </row>
    <row r="6" spans="2:21" ht="14.25" customHeight="1" thickBot="1" x14ac:dyDescent="0.4">
      <c r="B6" s="76" t="s">
        <v>22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2:21" ht="14.25" customHeight="1" thickBot="1" x14ac:dyDescent="0.4">
      <c r="B7" s="9" t="s">
        <v>353</v>
      </c>
      <c r="C7" s="10">
        <v>320926.52</v>
      </c>
      <c r="D7" s="10">
        <v>433424</v>
      </c>
      <c r="E7" s="10">
        <v>939543.69299999997</v>
      </c>
      <c r="F7" s="10">
        <v>1208407.693</v>
      </c>
      <c r="G7" s="10">
        <v>1568699.9610000001</v>
      </c>
      <c r="H7" s="10">
        <v>1908777.8940000001</v>
      </c>
      <c r="I7" s="10">
        <v>939543.69299999997</v>
      </c>
      <c r="J7" s="10">
        <v>2190785.0870000003</v>
      </c>
      <c r="K7" s="10">
        <v>3438026.0870000003</v>
      </c>
      <c r="L7" s="10">
        <v>2621496.0870000003</v>
      </c>
      <c r="M7" s="10">
        <v>2765359.0870000003</v>
      </c>
      <c r="N7" s="10">
        <v>2190785.0870000003</v>
      </c>
      <c r="O7" s="10">
        <v>2879404.0870000003</v>
      </c>
      <c r="P7" s="10">
        <v>2921751.0870000003</v>
      </c>
      <c r="Q7" s="10">
        <v>2996223.0870000003</v>
      </c>
      <c r="R7" s="10">
        <v>3157775.0870000003</v>
      </c>
      <c r="S7" s="10">
        <v>2879404.0870000003</v>
      </c>
      <c r="T7" s="10">
        <v>3329098.0870000003</v>
      </c>
      <c r="U7" s="10">
        <v>3711837</v>
      </c>
    </row>
    <row r="8" spans="2:21" ht="14.25" customHeight="1" x14ac:dyDescent="0.35">
      <c r="B8" s="6" t="s">
        <v>354</v>
      </c>
      <c r="C8" s="6">
        <v>132190.48000000001</v>
      </c>
      <c r="D8" s="6">
        <v>525812.94099999999</v>
      </c>
      <c r="E8" s="6">
        <v>279621</v>
      </c>
      <c r="F8" s="6">
        <v>371024.16300000006</v>
      </c>
      <c r="G8" s="6">
        <v>350899.17700000003</v>
      </c>
      <c r="H8" s="6">
        <v>301360</v>
      </c>
      <c r="I8" s="6">
        <v>1303080.3940000001</v>
      </c>
      <c r="J8" s="6">
        <v>1292885</v>
      </c>
      <c r="K8" s="6">
        <v>-814885</v>
      </c>
      <c r="L8" s="6">
        <v>167390</v>
      </c>
      <c r="M8" s="6">
        <v>137232</v>
      </c>
      <c r="N8" s="6">
        <v>782622</v>
      </c>
      <c r="O8" s="6">
        <v>75074</v>
      </c>
      <c r="P8" s="6">
        <v>108758</v>
      </c>
      <c r="Q8" s="6">
        <v>196585</v>
      </c>
      <c r="R8" s="6">
        <v>206698</v>
      </c>
      <c r="S8" s="6">
        <v>587115</v>
      </c>
      <c r="T8" s="6">
        <v>419754</v>
      </c>
      <c r="U8" s="6">
        <v>639338</v>
      </c>
    </row>
    <row r="9" spans="2:21" ht="14.25" customHeight="1" x14ac:dyDescent="0.35">
      <c r="B9" s="7" t="s">
        <v>185</v>
      </c>
      <c r="C9" s="7">
        <v>128120.68400000001</v>
      </c>
      <c r="D9" s="6">
        <v>496033.77499999997</v>
      </c>
      <c r="E9" s="6">
        <v>277152</v>
      </c>
      <c r="F9" s="6">
        <v>371120.94600000005</v>
      </c>
      <c r="G9" s="6">
        <v>345214</v>
      </c>
      <c r="H9" s="6">
        <v>299876</v>
      </c>
      <c r="I9" s="6">
        <v>1293539</v>
      </c>
      <c r="J9" s="6">
        <v>1287344</v>
      </c>
      <c r="K9" s="6">
        <v>-837429</v>
      </c>
      <c r="L9" s="6">
        <v>165896</v>
      </c>
      <c r="M9" s="6">
        <v>133284</v>
      </c>
      <c r="N9" s="6">
        <v>749095</v>
      </c>
      <c r="O9" s="6">
        <v>68282</v>
      </c>
      <c r="P9" s="6">
        <v>98377</v>
      </c>
      <c r="Q9" s="6">
        <v>184397</v>
      </c>
      <c r="R9" s="6">
        <v>160104</v>
      </c>
      <c r="S9" s="6">
        <v>511160</v>
      </c>
      <c r="T9" s="6">
        <v>399509</v>
      </c>
      <c r="U9" s="6">
        <v>609469</v>
      </c>
    </row>
    <row r="10" spans="2:21" ht="14.25" customHeight="1" x14ac:dyDescent="0.35">
      <c r="B10" s="7" t="s">
        <v>186</v>
      </c>
      <c r="C10" s="7">
        <v>4069.7959999999994</v>
      </c>
      <c r="D10" s="6">
        <v>29779.165999999997</v>
      </c>
      <c r="E10" s="6">
        <v>2469</v>
      </c>
      <c r="F10" s="6">
        <v>-96.783000000000001</v>
      </c>
      <c r="G10" s="6">
        <v>5685.1770000000006</v>
      </c>
      <c r="H10" s="6">
        <v>1484</v>
      </c>
      <c r="I10" s="6">
        <v>9541.3940000000002</v>
      </c>
      <c r="J10" s="6">
        <v>5541</v>
      </c>
      <c r="K10" s="6">
        <v>-5205</v>
      </c>
      <c r="L10" s="6">
        <v>0</v>
      </c>
      <c r="M10" s="6">
        <v>0</v>
      </c>
      <c r="N10" s="6">
        <v>336</v>
      </c>
      <c r="O10" s="6">
        <v>4328</v>
      </c>
      <c r="P10" s="6">
        <v>2700</v>
      </c>
      <c r="Q10" s="6">
        <v>4251</v>
      </c>
      <c r="R10" s="6">
        <v>38085</v>
      </c>
      <c r="S10" s="6">
        <v>49364</v>
      </c>
      <c r="T10" s="6">
        <v>9112</v>
      </c>
      <c r="U10" s="6">
        <v>7314</v>
      </c>
    </row>
    <row r="11" spans="2:21" ht="14.25" customHeight="1" x14ac:dyDescent="0.35">
      <c r="B11" s="7" t="s">
        <v>227</v>
      </c>
      <c r="C11" s="7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27749</v>
      </c>
      <c r="L11" s="6">
        <v>1494</v>
      </c>
      <c r="M11" s="6">
        <v>3948</v>
      </c>
      <c r="N11" s="6">
        <v>33191</v>
      </c>
      <c r="O11" s="6">
        <v>2464</v>
      </c>
      <c r="P11" s="6">
        <v>7681</v>
      </c>
      <c r="Q11" s="6">
        <v>7937</v>
      </c>
      <c r="R11" s="6">
        <v>8509</v>
      </c>
      <c r="S11" s="6">
        <v>26591</v>
      </c>
      <c r="T11" s="6">
        <v>11133</v>
      </c>
      <c r="U11" s="6">
        <v>22555</v>
      </c>
    </row>
    <row r="12" spans="2:21" ht="14.25" customHeight="1" x14ac:dyDescent="0.35">
      <c r="B12" s="6" t="s">
        <v>256</v>
      </c>
      <c r="C12" s="6">
        <v>-19693</v>
      </c>
      <c r="D12" s="6">
        <v>-19693.248</v>
      </c>
      <c r="E12" s="6">
        <v>-10757</v>
      </c>
      <c r="F12" s="6">
        <v>-10731.894999999997</v>
      </c>
      <c r="G12" s="6">
        <v>-10821.244000000002</v>
      </c>
      <c r="H12" s="6">
        <v>-3960</v>
      </c>
      <c r="I12" s="6">
        <v>-45142</v>
      </c>
      <c r="J12" s="6">
        <v>-45142</v>
      </c>
      <c r="K12" s="6">
        <v>-1571</v>
      </c>
      <c r="L12" s="6">
        <v>-23527</v>
      </c>
      <c r="M12" s="6">
        <v>-23107</v>
      </c>
      <c r="N12" s="6">
        <v>-93347</v>
      </c>
      <c r="O12" s="6">
        <v>-32678</v>
      </c>
      <c r="P12" s="6">
        <v>-33770</v>
      </c>
      <c r="Q12" s="6">
        <v>-35033</v>
      </c>
      <c r="R12" s="6">
        <v>-35375</v>
      </c>
      <c r="S12" s="6">
        <v>-136856</v>
      </c>
      <c r="T12" s="6">
        <v>-35756</v>
      </c>
      <c r="U12" s="6">
        <v>-29418</v>
      </c>
    </row>
    <row r="13" spans="2:21" ht="14.25" customHeight="1" thickBot="1" x14ac:dyDescent="0.4">
      <c r="B13" s="6" t="s">
        <v>355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-6697</v>
      </c>
      <c r="J13" s="6">
        <v>-502</v>
      </c>
      <c r="K13" s="6">
        <v>-74</v>
      </c>
      <c r="L13" s="6">
        <v>0</v>
      </c>
      <c r="M13" s="6">
        <v>0</v>
      </c>
      <c r="N13" s="6">
        <v>-656</v>
      </c>
      <c r="O13" s="6">
        <v>-49</v>
      </c>
      <c r="P13" s="6">
        <v>-516</v>
      </c>
      <c r="Q13" s="6">
        <v>0</v>
      </c>
      <c r="R13" s="6">
        <v>0</v>
      </c>
      <c r="S13" s="6">
        <v>-565</v>
      </c>
      <c r="T13" s="6">
        <v>-1259</v>
      </c>
      <c r="U13" s="6">
        <v>-174173</v>
      </c>
    </row>
    <row r="14" spans="2:21" ht="14.25" customHeight="1" thickBot="1" x14ac:dyDescent="0.4">
      <c r="B14" s="9" t="s">
        <v>356</v>
      </c>
      <c r="C14" s="10">
        <v>433424</v>
      </c>
      <c r="D14" s="10">
        <v>939543.69299999997</v>
      </c>
      <c r="E14" s="10">
        <v>1208407.693</v>
      </c>
      <c r="F14" s="10">
        <v>1568699.9610000001</v>
      </c>
      <c r="G14" s="10">
        <v>1908777.8940000001</v>
      </c>
      <c r="H14" s="10">
        <v>2206177.8940000003</v>
      </c>
      <c r="I14" s="10">
        <v>2190785.0870000003</v>
      </c>
      <c r="J14" s="10">
        <v>3438026.0870000003</v>
      </c>
      <c r="K14" s="10">
        <v>2621496.0870000003</v>
      </c>
      <c r="L14" s="10">
        <v>2765359.0870000003</v>
      </c>
      <c r="M14" s="10">
        <v>2879484.0870000003</v>
      </c>
      <c r="N14" s="10">
        <v>2879404.0870000003</v>
      </c>
      <c r="O14" s="10">
        <v>2921751.0870000003</v>
      </c>
      <c r="P14" s="10">
        <v>2996223.0870000003</v>
      </c>
      <c r="Q14" s="10">
        <v>3157775.0870000003</v>
      </c>
      <c r="R14" s="10">
        <v>3329098.0870000003</v>
      </c>
      <c r="S14" s="10">
        <v>3329098.0870000003</v>
      </c>
      <c r="T14" s="10">
        <v>3711837.0870000003</v>
      </c>
      <c r="U14" s="10">
        <v>4147584</v>
      </c>
    </row>
    <row r="15" spans="2:21" ht="8.1" customHeight="1" x14ac:dyDescent="0.3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8"/>
      <c r="M15" s="28"/>
      <c r="N15" s="28"/>
      <c r="O15" s="28"/>
      <c r="P15" s="28"/>
      <c r="Q15" s="28"/>
      <c r="R15" s="28"/>
      <c r="U15" s="28"/>
    </row>
    <row r="16" spans="2:21" ht="8.1" customHeight="1" x14ac:dyDescent="0.35">
      <c r="B16" s="24" t="s">
        <v>187</v>
      </c>
      <c r="C16" s="24"/>
      <c r="D16" s="29"/>
      <c r="E16" s="29"/>
      <c r="F16" s="30"/>
      <c r="G16" s="29"/>
      <c r="H16" s="29"/>
      <c r="I16" s="29"/>
      <c r="J16" s="28"/>
      <c r="K16" s="21"/>
      <c r="L16" s="28"/>
      <c r="M16" s="28"/>
      <c r="N16" s="28"/>
      <c r="O16" s="28"/>
    </row>
    <row r="17" spans="2:15" ht="8.1" customHeight="1" x14ac:dyDescent="0.35">
      <c r="B17" s="24" t="s">
        <v>188</v>
      </c>
      <c r="C17" s="2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2:15" ht="8.1" customHeight="1" x14ac:dyDescent="0.35">
      <c r="B18" s="24" t="s">
        <v>189</v>
      </c>
      <c r="C18" s="2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2:15" ht="8.1" customHeight="1" x14ac:dyDescent="0.35">
      <c r="B19" s="24"/>
      <c r="C19" s="24"/>
      <c r="D19" s="29"/>
      <c r="E19" s="29"/>
      <c r="F19" s="30"/>
      <c r="G19" s="29"/>
      <c r="H19" s="29"/>
      <c r="I19" s="29"/>
      <c r="J19" s="28"/>
      <c r="K19" s="21"/>
      <c r="L19" s="28"/>
      <c r="M19" s="28"/>
      <c r="N19" s="28"/>
      <c r="O19" s="28"/>
    </row>
  </sheetData>
  <mergeCells count="20">
    <mergeCell ref="C5:C6"/>
    <mergeCell ref="M5:M6"/>
    <mergeCell ref="L5:L6"/>
    <mergeCell ref="D5:D6"/>
    <mergeCell ref="K5:K6"/>
    <mergeCell ref="E5:E6"/>
    <mergeCell ref="F5:F6"/>
    <mergeCell ref="G5:G6"/>
    <mergeCell ref="H5:H6"/>
    <mergeCell ref="J5:J6"/>
    <mergeCell ref="I5:I6"/>
    <mergeCell ref="O2:U3"/>
    <mergeCell ref="N5:N6"/>
    <mergeCell ref="S5:S6"/>
    <mergeCell ref="U5:U6"/>
    <mergeCell ref="P5:P6"/>
    <mergeCell ref="R5:R6"/>
    <mergeCell ref="T5:T6"/>
    <mergeCell ref="O5:O6"/>
    <mergeCell ref="Q5:Q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Results</vt:lpstr>
      <vt:lpstr>Balanço Patrimonial</vt:lpstr>
      <vt:lpstr>Demonstração dos Resultados</vt:lpstr>
      <vt:lpstr>Demonstração do Fluxo de Caixa</vt:lpstr>
      <vt:lpstr>Fluxo da Dívida Líquida</vt:lpstr>
      <vt:lpstr>Endividamento</vt:lpstr>
      <vt:lpstr>Dados Operacionais</vt:lpstr>
      <vt:lpstr>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2023-10-24T14:39:54Z</dcterms:modified>
</cp:coreProperties>
</file>