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defaultThemeVersion="202300"/>
  <mc:AlternateContent xmlns:mc="http://schemas.openxmlformats.org/markup-compatibility/2006">
    <mc:Choice Requires="x15">
      <x15ac:absPath xmlns:x15ac="http://schemas.microsoft.com/office/spreadsheetml/2010/11/ac" url="F:\RELACAO COM INVESTIDORES\3. Divulgação de resultados\2025.2T\"/>
    </mc:Choice>
  </mc:AlternateContent>
  <xr:revisionPtr revIDLastSave="0" documentId="13_ncr:1_{52E650CC-A84E-4990-9842-9C0DF2247389}" xr6:coauthVersionLast="47" xr6:coauthVersionMax="47" xr10:uidLastSave="{00000000-0000-0000-0000-000000000000}"/>
  <bookViews>
    <workbookView xWindow="28680" yWindow="-120" windowWidth="29040" windowHeight="15840" tabRatio="823" xr2:uid="{00000000-000D-0000-FFFF-FFFF00000000}"/>
  </bookViews>
  <sheets>
    <sheet name="Results" sheetId="9" r:id="rId1"/>
    <sheet name="Statements financial position" sheetId="2" r:id="rId2"/>
    <sheet name="Statement of income" sheetId="3" r:id="rId3"/>
    <sheet name="Statement of cash flow" sheetId="4" r:id="rId4"/>
    <sheet name="Net debt cash flow" sheetId="5" r:id="rId5"/>
    <sheet name="Debt" sheetId="6" r:id="rId6"/>
    <sheet name="Operational data" sheetId="7" r:id="rId7"/>
    <sheet name="Capex"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9" i="5" l="1"/>
  <c r="W34" i="6" l="1"/>
  <c r="W33" i="6"/>
  <c r="C42" i="4" l="1"/>
  <c r="AA15" i="8"/>
  <c r="Z15" i="8"/>
  <c r="Y15" i="8"/>
  <c r="X15" i="8"/>
  <c r="W15" i="8"/>
  <c r="V15" i="8"/>
  <c r="U15" i="8"/>
  <c r="T15" i="8"/>
  <c r="S15" i="8"/>
  <c r="R15" i="8"/>
  <c r="Q15" i="8"/>
  <c r="E15" i="8"/>
  <c r="F7" i="8" s="1"/>
  <c r="C9" i="8"/>
  <c r="C8" i="8"/>
  <c r="C15" i="8" s="1"/>
  <c r="D7" i="8" s="1"/>
  <c r="D15" i="8" s="1"/>
  <c r="T150" i="7"/>
  <c r="K147" i="7"/>
  <c r="H147" i="7"/>
  <c r="AA136" i="7"/>
  <c r="AA134" i="7"/>
  <c r="Z134" i="7"/>
  <c r="Y134" i="7"/>
  <c r="X134" i="7"/>
  <c r="W134" i="7"/>
  <c r="V134" i="7"/>
  <c r="U134" i="7"/>
  <c r="T134" i="7"/>
  <c r="S134" i="7"/>
  <c r="R134" i="7"/>
  <c r="Q134" i="7"/>
  <c r="P134" i="7"/>
  <c r="O134" i="7"/>
  <c r="N134" i="7"/>
  <c r="M134" i="7"/>
  <c r="L134" i="7"/>
  <c r="K134" i="7"/>
  <c r="J134" i="7"/>
  <c r="I134" i="7"/>
  <c r="H134" i="7"/>
  <c r="G134" i="7"/>
  <c r="F134" i="7"/>
  <c r="D134" i="7"/>
  <c r="C134" i="7"/>
  <c r="K133" i="7"/>
  <c r="AA129" i="7"/>
  <c r="AA152" i="7" s="1"/>
  <c r="Z129" i="7"/>
  <c r="Z152" i="7" s="1"/>
  <c r="Y129" i="7"/>
  <c r="Y152" i="7" s="1"/>
  <c r="X129" i="7"/>
  <c r="X152" i="7" s="1"/>
  <c r="W129" i="7"/>
  <c r="W152" i="7" s="1"/>
  <c r="V129" i="7"/>
  <c r="V152" i="7" s="1"/>
  <c r="U129" i="7"/>
  <c r="U152" i="7" s="1"/>
  <c r="T129" i="7"/>
  <c r="T152" i="7" s="1"/>
  <c r="S129" i="7"/>
  <c r="S152" i="7" s="1"/>
  <c r="R129" i="7"/>
  <c r="Q129" i="7"/>
  <c r="Q152" i="7" s="1"/>
  <c r="P129" i="7"/>
  <c r="O129" i="7"/>
  <c r="N129" i="7"/>
  <c r="M129" i="7"/>
  <c r="L129" i="7"/>
  <c r="K129" i="7"/>
  <c r="I129" i="7"/>
  <c r="I152" i="7" s="1"/>
  <c r="H129" i="7"/>
  <c r="G129" i="7"/>
  <c r="J129" i="7" s="1"/>
  <c r="F129" i="7"/>
  <c r="D129" i="7"/>
  <c r="C129" i="7"/>
  <c r="C152" i="7" s="1"/>
  <c r="AA127" i="7"/>
  <c r="Z127" i="7"/>
  <c r="Y127" i="7"/>
  <c r="Y130" i="7" s="1"/>
  <c r="Y131" i="7" s="1"/>
  <c r="X127" i="7"/>
  <c r="W127" i="7"/>
  <c r="V127" i="7"/>
  <c r="U127" i="7"/>
  <c r="T127" i="7"/>
  <c r="T128" i="7" s="1"/>
  <c r="S127" i="7"/>
  <c r="S128" i="7" s="1"/>
  <c r="R127" i="7"/>
  <c r="Q127" i="7"/>
  <c r="P127" i="7"/>
  <c r="O127" i="7"/>
  <c r="N127" i="7"/>
  <c r="M127" i="7"/>
  <c r="L127" i="7"/>
  <c r="K127" i="7"/>
  <c r="J127" i="7"/>
  <c r="I127" i="7"/>
  <c r="I130" i="7" s="1"/>
  <c r="I131" i="7" s="1"/>
  <c r="H127" i="7"/>
  <c r="H130" i="7" s="1"/>
  <c r="H131" i="7" s="1"/>
  <c r="G127" i="7"/>
  <c r="F127" i="7"/>
  <c r="F130" i="7" s="1"/>
  <c r="F131" i="7" s="1"/>
  <c r="D127" i="7"/>
  <c r="D130" i="7" s="1"/>
  <c r="D131" i="7" s="1"/>
  <c r="C127" i="7"/>
  <c r="AA120" i="7"/>
  <c r="Z120" i="7"/>
  <c r="Y120" i="7"/>
  <c r="X120" i="7"/>
  <c r="W120" i="7"/>
  <c r="V120" i="7"/>
  <c r="U120" i="7"/>
  <c r="T120" i="7"/>
  <c r="S120" i="7"/>
  <c r="R120" i="7"/>
  <c r="Q120" i="7"/>
  <c r="P120" i="7"/>
  <c r="O120" i="7"/>
  <c r="N120" i="7"/>
  <c r="M120" i="7"/>
  <c r="L120" i="7"/>
  <c r="K120" i="7"/>
  <c r="J120" i="7"/>
  <c r="I120" i="7"/>
  <c r="H120" i="7"/>
  <c r="G120" i="7"/>
  <c r="F120" i="7"/>
  <c r="D120" i="7"/>
  <c r="C120" i="7"/>
  <c r="AA119" i="7"/>
  <c r="Z119" i="7"/>
  <c r="Y119" i="7"/>
  <c r="X119" i="7"/>
  <c r="W119" i="7"/>
  <c r="V119" i="7"/>
  <c r="U119" i="7"/>
  <c r="T119" i="7"/>
  <c r="S119" i="7"/>
  <c r="R119" i="7"/>
  <c r="Q119" i="7"/>
  <c r="P119" i="7"/>
  <c r="O119" i="7"/>
  <c r="N119" i="7"/>
  <c r="M119" i="7"/>
  <c r="L119" i="7"/>
  <c r="K119" i="7"/>
  <c r="J119" i="7"/>
  <c r="I119" i="7"/>
  <c r="H119" i="7"/>
  <c r="G119" i="7"/>
  <c r="F119" i="7"/>
  <c r="D119" i="7"/>
  <c r="AA118" i="7"/>
  <c r="Z118" i="7"/>
  <c r="Y118" i="7"/>
  <c r="X118" i="7"/>
  <c r="W118" i="7"/>
  <c r="V118" i="7"/>
  <c r="U118" i="7"/>
  <c r="T118" i="7"/>
  <c r="S118" i="7"/>
  <c r="R118" i="7"/>
  <c r="Q118" i="7"/>
  <c r="P118" i="7"/>
  <c r="O118" i="7"/>
  <c r="N118" i="7"/>
  <c r="M118" i="7"/>
  <c r="L118" i="7"/>
  <c r="K118" i="7"/>
  <c r="J118" i="7"/>
  <c r="I118" i="7"/>
  <c r="H118" i="7"/>
  <c r="G118" i="7"/>
  <c r="F118" i="7"/>
  <c r="D118" i="7"/>
  <c r="C118" i="7"/>
  <c r="AA117" i="7"/>
  <c r="Z117" i="7"/>
  <c r="Y117" i="7"/>
  <c r="X117" i="7"/>
  <c r="W117" i="7"/>
  <c r="V117" i="7"/>
  <c r="U117" i="7"/>
  <c r="T117" i="7"/>
  <c r="S117" i="7"/>
  <c r="R117" i="7"/>
  <c r="Q117" i="7"/>
  <c r="P117" i="7"/>
  <c r="O117" i="7"/>
  <c r="N117" i="7"/>
  <c r="M117" i="7"/>
  <c r="L117" i="7"/>
  <c r="K117" i="7"/>
  <c r="J117" i="7"/>
  <c r="I117" i="7"/>
  <c r="H117" i="7"/>
  <c r="G117" i="7"/>
  <c r="F117" i="7"/>
  <c r="D117" i="7"/>
  <c r="AA116" i="7"/>
  <c r="Z116" i="7"/>
  <c r="Y116" i="7"/>
  <c r="X116" i="7"/>
  <c r="W116" i="7"/>
  <c r="V116" i="7"/>
  <c r="U116" i="7"/>
  <c r="T116" i="7"/>
  <c r="S116" i="7"/>
  <c r="R116" i="7"/>
  <c r="Q116" i="7"/>
  <c r="P116" i="7"/>
  <c r="O116" i="7"/>
  <c r="N116" i="7"/>
  <c r="M116" i="7"/>
  <c r="L116" i="7"/>
  <c r="K116" i="7"/>
  <c r="J116" i="7"/>
  <c r="I116" i="7"/>
  <c r="H116" i="7"/>
  <c r="G116" i="7"/>
  <c r="F116" i="7"/>
  <c r="D116" i="7"/>
  <c r="C116" i="7"/>
  <c r="AA114" i="7"/>
  <c r="Z114" i="7"/>
  <c r="Y114" i="7"/>
  <c r="X114" i="7"/>
  <c r="W114" i="7"/>
  <c r="V114" i="7"/>
  <c r="U114" i="7"/>
  <c r="T114" i="7"/>
  <c r="S114" i="7"/>
  <c r="R114" i="7"/>
  <c r="Q114" i="7"/>
  <c r="P114" i="7"/>
  <c r="N114" i="7"/>
  <c r="M114" i="7"/>
  <c r="L114" i="7"/>
  <c r="K114" i="7"/>
  <c r="J114" i="7"/>
  <c r="I114" i="7"/>
  <c r="H114" i="7"/>
  <c r="G114" i="7"/>
  <c r="F114" i="7"/>
  <c r="D114" i="7"/>
  <c r="AA113" i="7"/>
  <c r="Z113" i="7"/>
  <c r="Y113" i="7"/>
  <c r="X113" i="7"/>
  <c r="W113" i="7"/>
  <c r="V113" i="7"/>
  <c r="U113" i="7"/>
  <c r="T113" i="7"/>
  <c r="S113" i="7"/>
  <c r="R113" i="7"/>
  <c r="Q113" i="7"/>
  <c r="P113" i="7"/>
  <c r="N113" i="7"/>
  <c r="M113" i="7"/>
  <c r="L113" i="7"/>
  <c r="K113" i="7"/>
  <c r="J113" i="7"/>
  <c r="I113" i="7"/>
  <c r="H113" i="7"/>
  <c r="G113" i="7"/>
  <c r="F113" i="7"/>
  <c r="D113" i="7"/>
  <c r="K112" i="7"/>
  <c r="K111" i="7" s="1"/>
  <c r="C104" i="7"/>
  <c r="C102" i="7"/>
  <c r="C103" i="7" s="1"/>
  <c r="C101" i="7"/>
  <c r="C100" i="7"/>
  <c r="Y98" i="7"/>
  <c r="X98" i="7"/>
  <c r="Q98" i="7"/>
  <c r="P98" i="7"/>
  <c r="I98" i="7"/>
  <c r="H98" i="7"/>
  <c r="O97" i="7"/>
  <c r="O114" i="7" s="1"/>
  <c r="C97" i="7"/>
  <c r="O96" i="7"/>
  <c r="C96" i="7"/>
  <c r="C95" i="7" s="1"/>
  <c r="AA95" i="7"/>
  <c r="AA98" i="7" s="1"/>
  <c r="Z95" i="7"/>
  <c r="Z98" i="7" s="1"/>
  <c r="Y95" i="7"/>
  <c r="Y149" i="7" s="1"/>
  <c r="X95" i="7"/>
  <c r="W95" i="7"/>
  <c r="W98" i="7" s="1"/>
  <c r="V95" i="7"/>
  <c r="V98" i="7" s="1"/>
  <c r="U95" i="7"/>
  <c r="U98" i="7" s="1"/>
  <c r="T95" i="7"/>
  <c r="T98" i="7" s="1"/>
  <c r="S95" i="7"/>
  <c r="S98" i="7" s="1"/>
  <c r="R95" i="7"/>
  <c r="R98" i="7" s="1"/>
  <c r="Q95" i="7"/>
  <c r="P95" i="7"/>
  <c r="N95" i="7"/>
  <c r="N98" i="7" s="1"/>
  <c r="M95" i="7"/>
  <c r="L95" i="7"/>
  <c r="L98" i="7" s="1"/>
  <c r="K95" i="7"/>
  <c r="K98" i="7" s="1"/>
  <c r="J95" i="7"/>
  <c r="J149" i="7" s="1"/>
  <c r="I95" i="7"/>
  <c r="I147" i="7" s="1"/>
  <c r="G95" i="7"/>
  <c r="G98" i="7" s="1"/>
  <c r="F95" i="7"/>
  <c r="F98" i="7" s="1"/>
  <c r="D95" i="7"/>
  <c r="D98" i="7" s="1"/>
  <c r="C90" i="7"/>
  <c r="AA89" i="7"/>
  <c r="Z89" i="7"/>
  <c r="Y89" i="7"/>
  <c r="X89" i="7"/>
  <c r="W89" i="7"/>
  <c r="V89" i="7"/>
  <c r="U89" i="7"/>
  <c r="T89" i="7"/>
  <c r="S89" i="7"/>
  <c r="R89" i="7"/>
  <c r="Q89" i="7"/>
  <c r="P89" i="7"/>
  <c r="AA88" i="7"/>
  <c r="Z88" i="7"/>
  <c r="Y88" i="7"/>
  <c r="X88" i="7"/>
  <c r="W88" i="7"/>
  <c r="V88" i="7"/>
  <c r="U88" i="7"/>
  <c r="T88" i="7"/>
  <c r="S88" i="7"/>
  <c r="R88" i="7"/>
  <c r="Q88" i="7"/>
  <c r="P88" i="7"/>
  <c r="R87" i="7"/>
  <c r="R90" i="7" s="1"/>
  <c r="R147" i="7" s="1"/>
  <c r="V86" i="7"/>
  <c r="C86" i="7"/>
  <c r="C91" i="7" s="1"/>
  <c r="C92" i="7" s="1"/>
  <c r="AA84" i="7"/>
  <c r="AA86" i="7" s="1"/>
  <c r="Z84" i="7"/>
  <c r="Z86" i="7" s="1"/>
  <c r="Y84" i="7"/>
  <c r="X84" i="7"/>
  <c r="X86" i="7" s="1"/>
  <c r="W84" i="7"/>
  <c r="V84" i="7"/>
  <c r="U84" i="7"/>
  <c r="T84" i="7"/>
  <c r="S84" i="7"/>
  <c r="S86" i="7" s="1"/>
  <c r="R84" i="7"/>
  <c r="R86" i="7" s="1"/>
  <c r="Q84" i="7"/>
  <c r="P84" i="7"/>
  <c r="P86" i="7" s="1"/>
  <c r="AA83" i="7"/>
  <c r="Z83" i="7"/>
  <c r="Y83" i="7"/>
  <c r="Y86" i="7" s="1"/>
  <c r="X83" i="7"/>
  <c r="W83" i="7"/>
  <c r="W86" i="7" s="1"/>
  <c r="V83" i="7"/>
  <c r="U83" i="7"/>
  <c r="U86" i="7" s="1"/>
  <c r="T83" i="7"/>
  <c r="T86" i="7" s="1"/>
  <c r="S83" i="7"/>
  <c r="R83" i="7"/>
  <c r="Q83" i="7"/>
  <c r="Q86" i="7" s="1"/>
  <c r="P83" i="7"/>
  <c r="Y78" i="7"/>
  <c r="W78" i="7"/>
  <c r="V78" i="7"/>
  <c r="T78" i="7"/>
  <c r="Q78" i="7"/>
  <c r="AA77" i="7"/>
  <c r="AA78" i="7" s="1"/>
  <c r="Z77" i="7"/>
  <c r="Z78" i="7" s="1"/>
  <c r="Y77" i="7"/>
  <c r="Y80" i="7" s="1"/>
  <c r="X77" i="7"/>
  <c r="X80" i="7" s="1"/>
  <c r="W77" i="7"/>
  <c r="W80" i="7" s="1"/>
  <c r="V77" i="7"/>
  <c r="V80" i="7" s="1"/>
  <c r="U77" i="7"/>
  <c r="U80" i="7" s="1"/>
  <c r="T77" i="7"/>
  <c r="T80" i="7" s="1"/>
  <c r="S77" i="7"/>
  <c r="S78" i="7" s="1"/>
  <c r="R77" i="7"/>
  <c r="R78" i="7" s="1"/>
  <c r="Q77" i="7"/>
  <c r="Q80" i="7" s="1"/>
  <c r="P77" i="7"/>
  <c r="P80" i="7" s="1"/>
  <c r="C77" i="7"/>
  <c r="Y65" i="7"/>
  <c r="Q65" i="7"/>
  <c r="C65" i="7"/>
  <c r="AA60" i="7"/>
  <c r="AA65" i="7" s="1"/>
  <c r="Z60" i="7"/>
  <c r="Y60" i="7"/>
  <c r="X60" i="7"/>
  <c r="W60" i="7"/>
  <c r="V60" i="7"/>
  <c r="V65" i="7" s="1"/>
  <c r="U60" i="7"/>
  <c r="U65" i="7" s="1"/>
  <c r="T60" i="7"/>
  <c r="S60" i="7"/>
  <c r="S65" i="7" s="1"/>
  <c r="R60" i="7"/>
  <c r="Q60" i="7"/>
  <c r="P60" i="7"/>
  <c r="AA55" i="7"/>
  <c r="Z55" i="7"/>
  <c r="Z65" i="7" s="1"/>
  <c r="Z66" i="7" s="1"/>
  <c r="Z67" i="7" s="1"/>
  <c r="Y55" i="7"/>
  <c r="X55" i="7"/>
  <c r="X65" i="7" s="1"/>
  <c r="W55" i="7"/>
  <c r="W65" i="7" s="1"/>
  <c r="V55" i="7"/>
  <c r="U55" i="7"/>
  <c r="T55" i="7"/>
  <c r="T65" i="7" s="1"/>
  <c r="T87" i="7" s="1"/>
  <c r="T90" i="7" s="1"/>
  <c r="T147" i="7" s="1"/>
  <c r="S55" i="7"/>
  <c r="R55" i="7"/>
  <c r="R65" i="7" s="1"/>
  <c r="R66" i="7" s="1"/>
  <c r="R67" i="7" s="1"/>
  <c r="Q55" i="7"/>
  <c r="P55" i="7"/>
  <c r="P65" i="7" s="1"/>
  <c r="W51" i="7"/>
  <c r="W135" i="7" s="1"/>
  <c r="W49" i="7"/>
  <c r="O49" i="7"/>
  <c r="Y47" i="7"/>
  <c r="Y51" i="7" s="1"/>
  <c r="Y135" i="7" s="1"/>
  <c r="W47" i="7"/>
  <c r="T47" i="7"/>
  <c r="T51" i="7" s="1"/>
  <c r="T135" i="7" s="1"/>
  <c r="Q47" i="7"/>
  <c r="Q51" i="7" s="1"/>
  <c r="Q135" i="7" s="1"/>
  <c r="O47" i="7"/>
  <c r="O51" i="7" s="1"/>
  <c r="O135" i="7" s="1"/>
  <c r="L47" i="7"/>
  <c r="L51" i="7" s="1"/>
  <c r="L135" i="7" s="1"/>
  <c r="I47" i="7"/>
  <c r="I51" i="7" s="1"/>
  <c r="I135" i="7" s="1"/>
  <c r="G47" i="7"/>
  <c r="G51" i="7" s="1"/>
  <c r="G135" i="7" s="1"/>
  <c r="AA40" i="7"/>
  <c r="Z40" i="7"/>
  <c r="Y40" i="7"/>
  <c r="X40" i="7"/>
  <c r="W40" i="7"/>
  <c r="V40" i="7"/>
  <c r="U40" i="7"/>
  <c r="T40" i="7"/>
  <c r="S40" i="7"/>
  <c r="R40" i="7"/>
  <c r="Q40" i="7"/>
  <c r="P40" i="7"/>
  <c r="O40" i="7"/>
  <c r="N40" i="7"/>
  <c r="M40" i="7"/>
  <c r="L40" i="7"/>
  <c r="K40" i="7"/>
  <c r="I40" i="7"/>
  <c r="H40" i="7"/>
  <c r="G40" i="7"/>
  <c r="D40" i="7"/>
  <c r="C40" i="7"/>
  <c r="G37" i="7"/>
  <c r="F37" i="7"/>
  <c r="J37" i="7" s="1"/>
  <c r="J40" i="7" s="1"/>
  <c r="AA31" i="7"/>
  <c r="AA34" i="7" s="1"/>
  <c r="AA44" i="7" s="1"/>
  <c r="Z31" i="7"/>
  <c r="Z34" i="7" s="1"/>
  <c r="Z44" i="7" s="1"/>
  <c r="Y31" i="7"/>
  <c r="Y34" i="7" s="1"/>
  <c r="Y44" i="7" s="1"/>
  <c r="X31" i="7"/>
  <c r="X34" i="7" s="1"/>
  <c r="X44" i="7" s="1"/>
  <c r="W31" i="7"/>
  <c r="W34" i="7" s="1"/>
  <c r="W44" i="7" s="1"/>
  <c r="V31" i="7"/>
  <c r="V34" i="7" s="1"/>
  <c r="V44" i="7" s="1"/>
  <c r="U31" i="7"/>
  <c r="U34" i="7" s="1"/>
  <c r="U44" i="7" s="1"/>
  <c r="T31" i="7"/>
  <c r="S31" i="7"/>
  <c r="S34" i="7" s="1"/>
  <c r="S44" i="7" s="1"/>
  <c r="R31" i="7"/>
  <c r="Q31" i="7"/>
  <c r="Q34" i="7" s="1"/>
  <c r="Q44" i="7" s="1"/>
  <c r="P31" i="7"/>
  <c r="P34" i="7" s="1"/>
  <c r="P44" i="7" s="1"/>
  <c r="O31" i="7"/>
  <c r="O34" i="7" s="1"/>
  <c r="O44" i="7" s="1"/>
  <c r="N31" i="7"/>
  <c r="N34" i="7" s="1"/>
  <c r="N44" i="7" s="1"/>
  <c r="M31" i="7"/>
  <c r="M34" i="7" s="1"/>
  <c r="M44" i="7" s="1"/>
  <c r="L31" i="7"/>
  <c r="K31" i="7"/>
  <c r="K34" i="7" s="1"/>
  <c r="K44" i="7" s="1"/>
  <c r="J31" i="7"/>
  <c r="I31" i="7"/>
  <c r="I34" i="7" s="1"/>
  <c r="I44" i="7" s="1"/>
  <c r="H31" i="7"/>
  <c r="H34" i="7" s="1"/>
  <c r="H44" i="7" s="1"/>
  <c r="G31" i="7"/>
  <c r="G34" i="7" s="1"/>
  <c r="G44" i="7" s="1"/>
  <c r="F31" i="7"/>
  <c r="F34" i="7" s="1"/>
  <c r="D31" i="7"/>
  <c r="D34" i="7" s="1"/>
  <c r="D44" i="7" s="1"/>
  <c r="C30" i="7"/>
  <c r="C119" i="7" s="1"/>
  <c r="C29" i="7"/>
  <c r="C28" i="7"/>
  <c r="C27" i="7"/>
  <c r="AA26" i="7"/>
  <c r="AA144" i="7" s="1"/>
  <c r="Z26" i="7"/>
  <c r="Y26" i="7"/>
  <c r="X26" i="7"/>
  <c r="X47" i="7" s="1"/>
  <c r="W26" i="7"/>
  <c r="V26" i="7"/>
  <c r="V47" i="7" s="1"/>
  <c r="U26" i="7"/>
  <c r="T26" i="7"/>
  <c r="T144" i="7" s="1"/>
  <c r="S26" i="7"/>
  <c r="S47" i="7" s="1"/>
  <c r="R26" i="7"/>
  <c r="Q26" i="7"/>
  <c r="P26" i="7"/>
  <c r="P47" i="7" s="1"/>
  <c r="O26" i="7"/>
  <c r="N26" i="7"/>
  <c r="N47" i="7" s="1"/>
  <c r="M26" i="7"/>
  <c r="L26" i="7"/>
  <c r="L144" i="7" s="1"/>
  <c r="K26" i="7"/>
  <c r="J26" i="7"/>
  <c r="J34" i="7" s="1"/>
  <c r="J44" i="7" s="1"/>
  <c r="I26" i="7"/>
  <c r="H26" i="7"/>
  <c r="H47" i="7" s="1"/>
  <c r="G26" i="7"/>
  <c r="F26" i="7"/>
  <c r="F47" i="7" s="1"/>
  <c r="D26" i="7"/>
  <c r="C25" i="7"/>
  <c r="C114" i="7" s="1"/>
  <c r="C24" i="7"/>
  <c r="C113" i="7" s="1"/>
  <c r="AA23" i="7"/>
  <c r="AA143" i="7" s="1"/>
  <c r="AA142" i="7" s="1"/>
  <c r="AA145" i="7" s="1"/>
  <c r="Z23" i="7"/>
  <c r="Y23" i="7"/>
  <c r="X23" i="7"/>
  <c r="W23" i="7"/>
  <c r="V23" i="7"/>
  <c r="U23" i="7"/>
  <c r="T23" i="7"/>
  <c r="S23" i="7"/>
  <c r="S143" i="7" s="1"/>
  <c r="R23" i="7"/>
  <c r="Q23" i="7"/>
  <c r="P23" i="7"/>
  <c r="O23" i="7"/>
  <c r="N23" i="7"/>
  <c r="M23" i="7"/>
  <c r="L23" i="7"/>
  <c r="K23" i="7"/>
  <c r="K143" i="7" s="1"/>
  <c r="J23" i="7"/>
  <c r="I23" i="7"/>
  <c r="H23" i="7"/>
  <c r="G23" i="7"/>
  <c r="F23" i="7"/>
  <c r="D23" i="7"/>
  <c r="C23" i="7"/>
  <c r="O20" i="7"/>
  <c r="O19" i="7"/>
  <c r="O18" i="7"/>
  <c r="O17" i="7"/>
  <c r="N16" i="7"/>
  <c r="M16" i="7"/>
  <c r="L16" i="7"/>
  <c r="O16" i="7" s="1"/>
  <c r="K16" i="7"/>
  <c r="J16" i="7"/>
  <c r="I16" i="7"/>
  <c r="H16" i="7"/>
  <c r="G16" i="7"/>
  <c r="F16" i="7"/>
  <c r="D16" i="7"/>
  <c r="C16" i="7"/>
  <c r="AA15" i="7"/>
  <c r="Z15" i="7"/>
  <c r="Y15" i="7"/>
  <c r="X15" i="7"/>
  <c r="W15" i="7"/>
  <c r="V15" i="7"/>
  <c r="U15" i="7"/>
  <c r="T15" i="7"/>
  <c r="S15" i="7"/>
  <c r="Q15" i="7"/>
  <c r="O15" i="7"/>
  <c r="M15" i="7"/>
  <c r="L15" i="7"/>
  <c r="I15" i="7"/>
  <c r="G15" i="7"/>
  <c r="D15" i="7"/>
  <c r="C15" i="7"/>
  <c r="AA12" i="7"/>
  <c r="Z12" i="7"/>
  <c r="Z136" i="7" s="1"/>
  <c r="Y12" i="7"/>
  <c r="Y136" i="7" s="1"/>
  <c r="X12" i="7"/>
  <c r="X136" i="7" s="1"/>
  <c r="W12" i="7"/>
  <c r="W136" i="7" s="1"/>
  <c r="V12" i="7"/>
  <c r="V136" i="7" s="1"/>
  <c r="U12" i="7"/>
  <c r="U136" i="7" s="1"/>
  <c r="T12" i="7"/>
  <c r="T136" i="7" s="1"/>
  <c r="S12" i="7"/>
  <c r="S136" i="7" s="1"/>
  <c r="R12" i="7"/>
  <c r="R136" i="7" s="1"/>
  <c r="Q12" i="7"/>
  <c r="Q136" i="7" s="1"/>
  <c r="P12" i="7"/>
  <c r="P136" i="7" s="1"/>
  <c r="O12" i="7"/>
  <c r="O136" i="7" s="1"/>
  <c r="N12" i="7"/>
  <c r="N136" i="7" s="1"/>
  <c r="M12" i="7"/>
  <c r="M136" i="7" s="1"/>
  <c r="L12" i="7"/>
  <c r="L136" i="7" s="1"/>
  <c r="K12" i="7"/>
  <c r="K136" i="7" s="1"/>
  <c r="I12" i="7"/>
  <c r="I136" i="7" s="1"/>
  <c r="H12" i="7"/>
  <c r="H136" i="7" s="1"/>
  <c r="G12" i="7"/>
  <c r="G136" i="7" s="1"/>
  <c r="F12" i="7"/>
  <c r="F136" i="7" s="1"/>
  <c r="D12" i="7"/>
  <c r="D136" i="7" s="1"/>
  <c r="C12" i="7"/>
  <c r="C136" i="7" s="1"/>
  <c r="R11" i="7"/>
  <c r="R15" i="7" s="1"/>
  <c r="Q11" i="7"/>
  <c r="P11" i="7"/>
  <c r="P15" i="7" s="1"/>
  <c r="O11" i="7"/>
  <c r="N11" i="7"/>
  <c r="N15" i="7" s="1"/>
  <c r="M11" i="7"/>
  <c r="L11" i="7"/>
  <c r="L152" i="7" s="1"/>
  <c r="K11" i="7"/>
  <c r="K15" i="7" s="1"/>
  <c r="J11" i="7"/>
  <c r="J15" i="7" s="1"/>
  <c r="I11" i="7"/>
  <c r="H11" i="7"/>
  <c r="H15" i="7" s="1"/>
  <c r="G11" i="7"/>
  <c r="F11" i="7"/>
  <c r="F15" i="7" s="1"/>
  <c r="D11" i="7"/>
  <c r="C11" i="7"/>
  <c r="J10" i="7"/>
  <c r="J12" i="7" s="1"/>
  <c r="J136" i="7" s="1"/>
  <c r="C9" i="7"/>
  <c r="R34" i="6"/>
  <c r="Q34" i="6"/>
  <c r="P34" i="6"/>
  <c r="R33" i="6"/>
  <c r="Q33" i="6"/>
  <c r="P33" i="6"/>
  <c r="D31" i="6"/>
  <c r="V29" i="6"/>
  <c r="K29" i="6"/>
  <c r="P28" i="6"/>
  <c r="W27" i="6"/>
  <c r="W29" i="6" s="1"/>
  <c r="V27" i="6"/>
  <c r="U27" i="6"/>
  <c r="U29" i="6" s="1"/>
  <c r="T27" i="6"/>
  <c r="T29" i="6" s="1"/>
  <c r="S27" i="6"/>
  <c r="S29" i="6" s="1"/>
  <c r="R27" i="6"/>
  <c r="R29" i="6" s="1"/>
  <c r="Q27" i="6"/>
  <c r="Q29" i="6" s="1"/>
  <c r="P27" i="6"/>
  <c r="P29" i="6" s="1"/>
  <c r="O27" i="6"/>
  <c r="N27" i="6"/>
  <c r="M27" i="6"/>
  <c r="L27" i="6"/>
  <c r="K27" i="6"/>
  <c r="J27" i="6"/>
  <c r="J29" i="6" s="1"/>
  <c r="I27" i="6"/>
  <c r="H27" i="6"/>
  <c r="G27" i="6"/>
  <c r="F27" i="6"/>
  <c r="E27" i="6"/>
  <c r="D27" i="6"/>
  <c r="C27" i="6"/>
  <c r="W26" i="6"/>
  <c r="W28" i="6" s="1"/>
  <c r="V26" i="6"/>
  <c r="V28" i="6" s="1"/>
  <c r="U26" i="6"/>
  <c r="U28" i="6" s="1"/>
  <c r="T26" i="6"/>
  <c r="T28" i="6" s="1"/>
  <c r="S26" i="6"/>
  <c r="S28" i="6" s="1"/>
  <c r="R26" i="6"/>
  <c r="R28" i="6" s="1"/>
  <c r="Q26" i="6"/>
  <c r="Q28" i="6" s="1"/>
  <c r="P26" i="6"/>
  <c r="O26" i="6"/>
  <c r="N26" i="6"/>
  <c r="M26" i="6"/>
  <c r="L26" i="6"/>
  <c r="K26" i="6"/>
  <c r="J26" i="6"/>
  <c r="I26" i="6"/>
  <c r="H26" i="6"/>
  <c r="H28" i="6" s="1"/>
  <c r="G26" i="6"/>
  <c r="F26" i="6"/>
  <c r="E26" i="6"/>
  <c r="D26" i="6"/>
  <c r="C22" i="6"/>
  <c r="W21" i="6"/>
  <c r="W22" i="6" s="1"/>
  <c r="W24" i="6" s="1"/>
  <c r="V21" i="6"/>
  <c r="V23" i="6" s="1"/>
  <c r="U21" i="6"/>
  <c r="T21" i="6"/>
  <c r="T23" i="6" s="1"/>
  <c r="S21" i="6"/>
  <c r="S23" i="6" s="1"/>
  <c r="R21" i="6"/>
  <c r="Q21" i="6"/>
  <c r="Q23" i="6" s="1"/>
  <c r="P21" i="6"/>
  <c r="P23" i="6" s="1"/>
  <c r="O21" i="6"/>
  <c r="N21" i="6"/>
  <c r="M21" i="6"/>
  <c r="L21" i="6"/>
  <c r="K21" i="6"/>
  <c r="J21" i="6"/>
  <c r="I21" i="6"/>
  <c r="H21" i="6"/>
  <c r="C21" i="6"/>
  <c r="C14" i="6"/>
  <c r="J13" i="6"/>
  <c r="J15" i="6" s="1"/>
  <c r="H13" i="6"/>
  <c r="H15" i="6" s="1"/>
  <c r="G12" i="6"/>
  <c r="F12" i="6"/>
  <c r="E12" i="6"/>
  <c r="D12" i="6"/>
  <c r="C12" i="6"/>
  <c r="O11" i="6"/>
  <c r="N11" i="6"/>
  <c r="N34" i="6" s="1"/>
  <c r="M11" i="6"/>
  <c r="M13" i="6" s="1"/>
  <c r="M15" i="6" s="1"/>
  <c r="L11" i="6"/>
  <c r="L34" i="6" s="1"/>
  <c r="K11" i="6"/>
  <c r="K34" i="6" s="1"/>
  <c r="J11" i="6"/>
  <c r="I11" i="6"/>
  <c r="I13" i="6" s="1"/>
  <c r="I15" i="6" s="1"/>
  <c r="H11" i="6"/>
  <c r="H22" i="6" s="1"/>
  <c r="H24" i="6" s="1"/>
  <c r="G11" i="6"/>
  <c r="F11" i="6"/>
  <c r="F24" i="6" s="1"/>
  <c r="E11" i="6"/>
  <c r="E24" i="6" s="1"/>
  <c r="D11" i="6"/>
  <c r="D23" i="6" s="1"/>
  <c r="C8" i="6"/>
  <c r="C31" i="6" s="1"/>
  <c r="Z19" i="5"/>
  <c r="AQ18" i="5"/>
  <c r="AW17" i="5"/>
  <c r="AW19" i="5" s="1"/>
  <c r="AD17" i="5"/>
  <c r="AA17" i="5"/>
  <c r="Z17" i="5"/>
  <c r="Y17" i="5"/>
  <c r="Y19" i="5" s="1"/>
  <c r="X17" i="5"/>
  <c r="X19" i="5" s="1"/>
  <c r="W17" i="5"/>
  <c r="W19" i="5" s="1"/>
  <c r="V17" i="5"/>
  <c r="V19" i="5" s="1"/>
  <c r="U17" i="5"/>
  <c r="U19" i="5" s="1"/>
  <c r="T17" i="5"/>
  <c r="T19" i="5" s="1"/>
  <c r="S17" i="5"/>
  <c r="S19" i="5" s="1"/>
  <c r="R17" i="5"/>
  <c r="R19" i="5" s="1"/>
  <c r="Q17" i="5"/>
  <c r="Q19" i="5" s="1"/>
  <c r="P17" i="5"/>
  <c r="P19" i="5" s="1"/>
  <c r="AQ19" i="5" s="1"/>
  <c r="O17" i="5"/>
  <c r="O19" i="5" s="1"/>
  <c r="N17" i="5"/>
  <c r="N19" i="5" s="1"/>
  <c r="M17" i="5"/>
  <c r="M19" i="5" s="1"/>
  <c r="L17" i="5"/>
  <c r="L19" i="5" s="1"/>
  <c r="K17" i="5"/>
  <c r="K19" i="5" s="1"/>
  <c r="J17" i="5"/>
  <c r="J19" i="5" s="1"/>
  <c r="I17" i="5"/>
  <c r="I19" i="5" s="1"/>
  <c r="H17" i="5"/>
  <c r="H19" i="5" s="1"/>
  <c r="G17" i="5"/>
  <c r="G19" i="5" s="1"/>
  <c r="F17" i="5"/>
  <c r="F19" i="5" s="1"/>
  <c r="D17" i="5"/>
  <c r="D19" i="5" s="1"/>
  <c r="C17" i="5"/>
  <c r="C19" i="5" s="1"/>
  <c r="AV16" i="5"/>
  <c r="AU16" i="5"/>
  <c r="AT16" i="5"/>
  <c r="AS16" i="5"/>
  <c r="AR16" i="5"/>
  <c r="AQ16" i="5"/>
  <c r="AP16" i="5"/>
  <c r="AO16" i="5"/>
  <c r="AN16" i="5"/>
  <c r="AM16" i="5"/>
  <c r="AL16" i="5"/>
  <c r="AK16" i="5"/>
  <c r="AJ16" i="5"/>
  <c r="AI16" i="5"/>
  <c r="AD16" i="5"/>
  <c r="AC16" i="5"/>
  <c r="AV15" i="5"/>
  <c r="AU15" i="5"/>
  <c r="AT15" i="5"/>
  <c r="AS15" i="5"/>
  <c r="AR15" i="5"/>
  <c r="AQ15" i="5"/>
  <c r="AP15" i="5"/>
  <c r="AO15" i="5"/>
  <c r="AN15" i="5"/>
  <c r="AM15" i="5"/>
  <c r="AL15" i="5"/>
  <c r="AK15" i="5"/>
  <c r="AJ15" i="5"/>
  <c r="AI15" i="5"/>
  <c r="AD15" i="5"/>
  <c r="AC15" i="5"/>
  <c r="AV14" i="5"/>
  <c r="AU14" i="5"/>
  <c r="AT14" i="5"/>
  <c r="AS14" i="5"/>
  <c r="AR14" i="5"/>
  <c r="AQ14" i="5"/>
  <c r="AP14" i="5"/>
  <c r="AO14" i="5"/>
  <c r="AN14" i="5"/>
  <c r="AM14" i="5"/>
  <c r="AL14" i="5"/>
  <c r="AK14" i="5"/>
  <c r="AJ14" i="5"/>
  <c r="AI14" i="5"/>
  <c r="AD14" i="5"/>
  <c r="AC14" i="5"/>
  <c r="AV13" i="5"/>
  <c r="AU13" i="5"/>
  <c r="AT13" i="5"/>
  <c r="AS13" i="5"/>
  <c r="AR13" i="5"/>
  <c r="AQ13" i="5"/>
  <c r="AP13" i="5"/>
  <c r="AO13" i="5"/>
  <c r="AN13" i="5"/>
  <c r="AM13" i="5"/>
  <c r="AL13" i="5"/>
  <c r="AK13" i="5"/>
  <c r="AJ13" i="5"/>
  <c r="AI13" i="5"/>
  <c r="AD13" i="5"/>
  <c r="AC13" i="5"/>
  <c r="AV12" i="5"/>
  <c r="AU12" i="5"/>
  <c r="AT12" i="5"/>
  <c r="AS12" i="5"/>
  <c r="AR12" i="5"/>
  <c r="AQ12" i="5"/>
  <c r="AP12" i="5"/>
  <c r="AO12" i="5"/>
  <c r="AN12" i="5"/>
  <c r="AM12" i="5"/>
  <c r="AL12" i="5"/>
  <c r="AK12" i="5"/>
  <c r="AJ12" i="5"/>
  <c r="AI12" i="5"/>
  <c r="AD12" i="5"/>
  <c r="AC12" i="5"/>
  <c r="AV11" i="5"/>
  <c r="AA11" i="5"/>
  <c r="Z11" i="5"/>
  <c r="Y11" i="5"/>
  <c r="X11" i="5"/>
  <c r="W11" i="5"/>
  <c r="V11" i="5"/>
  <c r="U11" i="5"/>
  <c r="T11" i="5"/>
  <c r="S11" i="5"/>
  <c r="R11" i="5"/>
  <c r="Q11" i="5"/>
  <c r="P11" i="5"/>
  <c r="AQ11" i="5" s="1"/>
  <c r="O11" i="5"/>
  <c r="N11" i="5"/>
  <c r="M11" i="5"/>
  <c r="L11" i="5"/>
  <c r="K11" i="5"/>
  <c r="J11" i="5"/>
  <c r="I11" i="5"/>
  <c r="H11" i="5"/>
  <c r="G11" i="5"/>
  <c r="F11" i="5"/>
  <c r="D11" i="5"/>
  <c r="C11" i="5"/>
  <c r="AV10" i="5"/>
  <c r="AU10" i="5"/>
  <c r="AT10" i="5"/>
  <c r="AS10" i="5"/>
  <c r="AR10" i="5"/>
  <c r="AQ10" i="5"/>
  <c r="AP10" i="5"/>
  <c r="AO10" i="5"/>
  <c r="AN10" i="5"/>
  <c r="AM10" i="5"/>
  <c r="AL10" i="5"/>
  <c r="AK10" i="5"/>
  <c r="AJ10" i="5"/>
  <c r="AI10" i="5"/>
  <c r="AD10" i="5"/>
  <c r="AC10" i="5"/>
  <c r="AV9" i="5"/>
  <c r="AU9" i="5"/>
  <c r="AT9" i="5"/>
  <c r="AS9" i="5"/>
  <c r="AR9" i="5"/>
  <c r="AQ9" i="5"/>
  <c r="AP9" i="5"/>
  <c r="AO9" i="5"/>
  <c r="AN9" i="5"/>
  <c r="AM9" i="5"/>
  <c r="AL9" i="5"/>
  <c r="AK9" i="5"/>
  <c r="AJ9" i="5"/>
  <c r="AI9" i="5"/>
  <c r="AD9" i="5"/>
  <c r="AC9" i="5"/>
  <c r="AV8" i="5"/>
  <c r="AU8" i="5"/>
  <c r="AU11" i="5" s="1"/>
  <c r="AT8" i="5"/>
  <c r="AT11" i="5" s="1"/>
  <c r="AS8" i="5"/>
  <c r="AS11" i="5" s="1"/>
  <c r="AR8" i="5"/>
  <c r="AR11" i="5" s="1"/>
  <c r="AQ8" i="5"/>
  <c r="AP8" i="5"/>
  <c r="AP11" i="5" s="1"/>
  <c r="AO8" i="5"/>
  <c r="AO11" i="5" s="1"/>
  <c r="AN8" i="5"/>
  <c r="AN11" i="5" s="1"/>
  <c r="AM8" i="5"/>
  <c r="AM11" i="5" s="1"/>
  <c r="AL8" i="5"/>
  <c r="AL11" i="5" s="1"/>
  <c r="AK8" i="5"/>
  <c r="AK11" i="5" s="1"/>
  <c r="AJ8" i="5"/>
  <c r="AJ11" i="5" s="1"/>
  <c r="AI8" i="5"/>
  <c r="AI11" i="5" s="1"/>
  <c r="AD8" i="5"/>
  <c r="AD11" i="5" s="1"/>
  <c r="AC8" i="5"/>
  <c r="AC11" i="5" s="1"/>
  <c r="AV7" i="5"/>
  <c r="AU7" i="5"/>
  <c r="AU17" i="5" s="1"/>
  <c r="AT7" i="5"/>
  <c r="AT17" i="5" s="1"/>
  <c r="AS7" i="5"/>
  <c r="AR7" i="5"/>
  <c r="AR17" i="5" s="1"/>
  <c r="AQ7" i="5"/>
  <c r="AP7" i="5"/>
  <c r="AP17" i="5" s="1"/>
  <c r="AP19" i="5" s="1"/>
  <c r="AO7" i="5"/>
  <c r="AN7" i="5"/>
  <c r="AM7" i="5"/>
  <c r="AM17" i="5" s="1"/>
  <c r="AL7" i="5"/>
  <c r="AL17" i="5" s="1"/>
  <c r="AK7" i="5"/>
  <c r="AJ7" i="5"/>
  <c r="AJ17" i="5" s="1"/>
  <c r="AI7" i="5"/>
  <c r="AD7" i="5"/>
  <c r="AC7" i="5"/>
  <c r="AN71" i="4"/>
  <c r="X71" i="4"/>
  <c r="W71" i="4"/>
  <c r="AQ71" i="4" s="1"/>
  <c r="V71" i="4"/>
  <c r="AP71" i="4" s="1"/>
  <c r="U71" i="4"/>
  <c r="T71" i="4"/>
  <c r="S71" i="4"/>
  <c r="R71" i="4"/>
  <c r="Q71" i="4"/>
  <c r="P71" i="4"/>
  <c r="O71" i="4"/>
  <c r="N71" i="4"/>
  <c r="M71" i="4"/>
  <c r="L71" i="4"/>
  <c r="K71" i="4"/>
  <c r="J71" i="4"/>
  <c r="I71" i="4"/>
  <c r="H71" i="4"/>
  <c r="G71" i="4"/>
  <c r="F71" i="4"/>
  <c r="E71" i="4"/>
  <c r="D71" i="4"/>
  <c r="C71" i="4"/>
  <c r="AW66" i="4"/>
  <c r="AV66" i="4"/>
  <c r="AU66" i="4"/>
  <c r="AT66" i="4"/>
  <c r="AS66" i="4"/>
  <c r="AQ66" i="4"/>
  <c r="AP66" i="4"/>
  <c r="AO66" i="4"/>
  <c r="AL66" i="4"/>
  <c r="AM66" i="4" s="1"/>
  <c r="AN66" i="4" s="1"/>
  <c r="AK66" i="4"/>
  <c r="AJ66" i="4"/>
  <c r="AH66" i="4"/>
  <c r="AI66" i="4" s="1"/>
  <c r="AG66" i="4"/>
  <c r="AF66" i="4"/>
  <c r="AE66" i="4"/>
  <c r="AD66" i="4"/>
  <c r="AC66" i="4"/>
  <c r="AB66" i="4"/>
  <c r="AA66" i="4"/>
  <c r="Z66" i="4"/>
  <c r="AQ65" i="4"/>
  <c r="AP65" i="4"/>
  <c r="AN65" i="4"/>
  <c r="C65" i="4"/>
  <c r="AW64" i="4"/>
  <c r="AV64" i="4"/>
  <c r="AU64" i="4"/>
  <c r="AT64" i="4"/>
  <c r="AS64" i="4"/>
  <c r="AQ64" i="4"/>
  <c r="AP64" i="4"/>
  <c r="AO64" i="4"/>
  <c r="AM64" i="4"/>
  <c r="AL64" i="4"/>
  <c r="AK64" i="4"/>
  <c r="AJ64" i="4"/>
  <c r="AI64" i="4"/>
  <c r="AH64" i="4"/>
  <c r="AG64" i="4"/>
  <c r="AF64" i="4"/>
  <c r="AE64" i="4"/>
  <c r="AD64" i="4"/>
  <c r="AC64" i="4"/>
  <c r="AB64" i="4"/>
  <c r="AA64" i="4"/>
  <c r="Z64" i="4"/>
  <c r="AW63" i="4"/>
  <c r="AV63" i="4"/>
  <c r="AU63" i="4"/>
  <c r="AT63" i="4"/>
  <c r="AS63" i="4"/>
  <c r="AQ63" i="4"/>
  <c r="AP63" i="4"/>
  <c r="AO63" i="4"/>
  <c r="AM63" i="4"/>
  <c r="AL63" i="4"/>
  <c r="AK63" i="4"/>
  <c r="AJ63" i="4"/>
  <c r="AI63" i="4"/>
  <c r="AH63" i="4"/>
  <c r="AG63" i="4"/>
  <c r="AF63" i="4"/>
  <c r="AE63" i="4"/>
  <c r="AD63" i="4"/>
  <c r="AC63" i="4"/>
  <c r="AB63" i="4"/>
  <c r="AA63" i="4"/>
  <c r="Z63" i="4"/>
  <c r="AW62" i="4"/>
  <c r="AV62" i="4"/>
  <c r="AS62" i="4"/>
  <c r="AQ62" i="4"/>
  <c r="AP62" i="4"/>
  <c r="AO62" i="4"/>
  <c r="AL62" i="4"/>
  <c r="AM62" i="4" s="1"/>
  <c r="AK62" i="4"/>
  <c r="AJ62" i="4"/>
  <c r="AH62" i="4"/>
  <c r="AI62" i="4" s="1"/>
  <c r="AG62" i="4"/>
  <c r="AF62" i="4"/>
  <c r="AE62" i="4"/>
  <c r="AD62" i="4"/>
  <c r="AC62" i="4"/>
  <c r="AB62" i="4"/>
  <c r="AA62" i="4"/>
  <c r="Z62" i="4"/>
  <c r="AW61" i="4"/>
  <c r="AV61" i="4"/>
  <c r="AU61" i="4"/>
  <c r="AT61" i="4"/>
  <c r="AS61" i="4"/>
  <c r="AQ61" i="4"/>
  <c r="AP61" i="4"/>
  <c r="AO61" i="4"/>
  <c r="AL61" i="4"/>
  <c r="AM61" i="4" s="1"/>
  <c r="AK61" i="4"/>
  <c r="AJ61" i="4"/>
  <c r="AH61" i="4"/>
  <c r="AI61" i="4" s="1"/>
  <c r="AG61" i="4"/>
  <c r="AF61" i="4"/>
  <c r="AE61" i="4"/>
  <c r="AD61" i="4"/>
  <c r="AC61" i="4"/>
  <c r="AB61" i="4"/>
  <c r="AA61" i="4"/>
  <c r="Z61" i="4"/>
  <c r="AW60" i="4"/>
  <c r="AV60" i="4"/>
  <c r="AU60" i="4"/>
  <c r="AT60" i="4"/>
  <c r="AS60" i="4"/>
  <c r="AQ60" i="4"/>
  <c r="AP60" i="4"/>
  <c r="AO60" i="4"/>
  <c r="AM60" i="4"/>
  <c r="AL60" i="4"/>
  <c r="AK60" i="4"/>
  <c r="AJ60" i="4"/>
  <c r="AI60" i="4"/>
  <c r="AH60" i="4"/>
  <c r="AG60" i="4"/>
  <c r="AF60" i="4"/>
  <c r="AE60" i="4"/>
  <c r="AD60" i="4"/>
  <c r="AC60" i="4"/>
  <c r="AB60" i="4"/>
  <c r="AA60" i="4"/>
  <c r="Z60" i="4"/>
  <c r="AW59" i="4"/>
  <c r="AV59" i="4"/>
  <c r="AU59" i="4"/>
  <c r="AT59" i="4"/>
  <c r="AS59" i="4"/>
  <c r="AQ59" i="4"/>
  <c r="AP59" i="4"/>
  <c r="AO59" i="4"/>
  <c r="AM59" i="4"/>
  <c r="AL59" i="4"/>
  <c r="AK59" i="4"/>
  <c r="AJ59" i="4"/>
  <c r="AI59" i="4"/>
  <c r="AH59" i="4"/>
  <c r="AG59" i="4"/>
  <c r="AF59" i="4"/>
  <c r="AE59" i="4"/>
  <c r="AD59" i="4"/>
  <c r="AC59" i="4"/>
  <c r="AB59" i="4"/>
  <c r="AA59" i="4"/>
  <c r="Z59" i="4"/>
  <c r="AW58" i="4"/>
  <c r="AV58" i="4"/>
  <c r="AU58" i="4"/>
  <c r="AT58" i="4"/>
  <c r="AS58" i="4"/>
  <c r="AQ58" i="4"/>
  <c r="AP58" i="4"/>
  <c r="AO58" i="4"/>
  <c r="AM58" i="4"/>
  <c r="AL58" i="4"/>
  <c r="AK58" i="4"/>
  <c r="AJ58" i="4"/>
  <c r="AI58" i="4"/>
  <c r="AH58" i="4"/>
  <c r="AG58" i="4"/>
  <c r="AF58" i="4"/>
  <c r="AE58" i="4"/>
  <c r="AD58" i="4"/>
  <c r="AC58" i="4"/>
  <c r="AC65" i="4" s="1"/>
  <c r="AB58" i="4"/>
  <c r="AA58" i="4"/>
  <c r="Z58" i="4"/>
  <c r="AW57" i="4"/>
  <c r="AV57" i="4"/>
  <c r="AU57" i="4"/>
  <c r="AT57" i="4"/>
  <c r="AS57" i="4"/>
  <c r="AS65" i="4" s="1"/>
  <c r="AQ57" i="4"/>
  <c r="AP57" i="4"/>
  <c r="AO57" i="4"/>
  <c r="AM57" i="4"/>
  <c r="AL57" i="4"/>
  <c r="AK57" i="4"/>
  <c r="AJ57" i="4"/>
  <c r="AI57" i="4"/>
  <c r="AH57" i="4"/>
  <c r="AH65" i="4" s="1"/>
  <c r="AG57" i="4"/>
  <c r="AG65" i="4" s="1"/>
  <c r="AF57" i="4"/>
  <c r="AE57" i="4"/>
  <c r="AD57" i="4"/>
  <c r="AC57" i="4"/>
  <c r="AB57" i="4"/>
  <c r="AA57" i="4"/>
  <c r="AA65" i="4" s="1"/>
  <c r="Z57" i="4"/>
  <c r="Z65" i="4" s="1"/>
  <c r="AN55" i="4"/>
  <c r="X55" i="4"/>
  <c r="W55" i="4"/>
  <c r="AQ55" i="4" s="1"/>
  <c r="V55" i="4"/>
  <c r="AP55" i="4" s="1"/>
  <c r="C55" i="4"/>
  <c r="AW53" i="4"/>
  <c r="AV53" i="4"/>
  <c r="AU53" i="4"/>
  <c r="AT53" i="4"/>
  <c r="AS53" i="4"/>
  <c r="AQ53" i="4"/>
  <c r="AP53" i="4"/>
  <c r="AO53" i="4"/>
  <c r="AM53" i="4"/>
  <c r="AL53" i="4"/>
  <c r="AK53" i="4"/>
  <c r="AJ53" i="4"/>
  <c r="AI53" i="4"/>
  <c r="AH53" i="4"/>
  <c r="AG53" i="4"/>
  <c r="AF53" i="4"/>
  <c r="AE53" i="4"/>
  <c r="AD53" i="4"/>
  <c r="AC53" i="4"/>
  <c r="AB53" i="4"/>
  <c r="AA53" i="4"/>
  <c r="Z53" i="4"/>
  <c r="AW52" i="4"/>
  <c r="AV52" i="4"/>
  <c r="AU52" i="4"/>
  <c r="AT52" i="4"/>
  <c r="AS52" i="4"/>
  <c r="AQ52" i="4"/>
  <c r="AP52" i="4"/>
  <c r="AO52" i="4"/>
  <c r="AM52" i="4"/>
  <c r="AL52" i="4"/>
  <c r="AK52" i="4"/>
  <c r="AJ52" i="4"/>
  <c r="AI52" i="4"/>
  <c r="AH52" i="4"/>
  <c r="AG52" i="4"/>
  <c r="AF52" i="4"/>
  <c r="AE52" i="4"/>
  <c r="AD52" i="4"/>
  <c r="AC52" i="4"/>
  <c r="AB52" i="4"/>
  <c r="AA52" i="4"/>
  <c r="Z52" i="4"/>
  <c r="AW51" i="4"/>
  <c r="AV51" i="4"/>
  <c r="AU51" i="4"/>
  <c r="AT51" i="4"/>
  <c r="AS51" i="4"/>
  <c r="AQ51" i="4"/>
  <c r="AP51" i="4"/>
  <c r="AO51" i="4"/>
  <c r="AM51" i="4"/>
  <c r="AL51" i="4"/>
  <c r="AK51" i="4"/>
  <c r="AJ51" i="4"/>
  <c r="AI51" i="4"/>
  <c r="AH51" i="4"/>
  <c r="AG51" i="4"/>
  <c r="AF51" i="4"/>
  <c r="AE51" i="4"/>
  <c r="AD51" i="4"/>
  <c r="AC51" i="4"/>
  <c r="AB51" i="4"/>
  <c r="AA51" i="4"/>
  <c r="Z51" i="4"/>
  <c r="AW50" i="4"/>
  <c r="AV50" i="4"/>
  <c r="AU50" i="4"/>
  <c r="AT50" i="4"/>
  <c r="AS50" i="4"/>
  <c r="AQ50" i="4"/>
  <c r="AP50" i="4"/>
  <c r="AO50" i="4"/>
  <c r="AM50" i="4"/>
  <c r="AL50" i="4"/>
  <c r="AK50" i="4"/>
  <c r="AJ50" i="4"/>
  <c r="AI50" i="4"/>
  <c r="AH50" i="4"/>
  <c r="AG50" i="4"/>
  <c r="AF50" i="4"/>
  <c r="AE50" i="4"/>
  <c r="AD50" i="4"/>
  <c r="AC50" i="4"/>
  <c r="AB50" i="4"/>
  <c r="AA50" i="4"/>
  <c r="Z50" i="4"/>
  <c r="AW49" i="4"/>
  <c r="AV49" i="4"/>
  <c r="AU49" i="4"/>
  <c r="AT49" i="4"/>
  <c r="AS49" i="4"/>
  <c r="AQ49" i="4"/>
  <c r="AP49" i="4"/>
  <c r="AO49" i="4"/>
  <c r="AM49" i="4"/>
  <c r="AL49" i="4"/>
  <c r="AK49" i="4"/>
  <c r="AJ49" i="4"/>
  <c r="AI49" i="4"/>
  <c r="AH49" i="4"/>
  <c r="AG49" i="4"/>
  <c r="AF49" i="4"/>
  <c r="AE49" i="4"/>
  <c r="AD49" i="4"/>
  <c r="AC49" i="4"/>
  <c r="AB49" i="4"/>
  <c r="AA49" i="4"/>
  <c r="Z49" i="4"/>
  <c r="AW48" i="4"/>
  <c r="AV48" i="4"/>
  <c r="AU48" i="4"/>
  <c r="AS48" i="4"/>
  <c r="AQ48" i="4"/>
  <c r="AP48" i="4"/>
  <c r="AO48" i="4"/>
  <c r="AM48" i="4"/>
  <c r="AL48" i="4"/>
  <c r="AK48" i="4"/>
  <c r="AJ48" i="4"/>
  <c r="AI48" i="4"/>
  <c r="AH48" i="4"/>
  <c r="AG48" i="4"/>
  <c r="AF48" i="4"/>
  <c r="AE48" i="4"/>
  <c r="AD48" i="4"/>
  <c r="AC48" i="4"/>
  <c r="AB48" i="4"/>
  <c r="AA48" i="4"/>
  <c r="Z48" i="4"/>
  <c r="AW47" i="4"/>
  <c r="AV47" i="4"/>
  <c r="AU47" i="4"/>
  <c r="AT47" i="4"/>
  <c r="AS47" i="4"/>
  <c r="AQ47" i="4"/>
  <c r="AP47" i="4"/>
  <c r="AO47" i="4"/>
  <c r="AM47" i="4"/>
  <c r="AL47" i="4"/>
  <c r="AK47" i="4"/>
  <c r="AJ47" i="4"/>
  <c r="AI47" i="4"/>
  <c r="AH47" i="4"/>
  <c r="AG47" i="4"/>
  <c r="AF47" i="4"/>
  <c r="AE47" i="4"/>
  <c r="AD47" i="4"/>
  <c r="AC47" i="4"/>
  <c r="AB47" i="4"/>
  <c r="AA47" i="4"/>
  <c r="Z47" i="4"/>
  <c r="AW46" i="4"/>
  <c r="AV46" i="4"/>
  <c r="AS46" i="4"/>
  <c r="AQ46" i="4"/>
  <c r="AP46" i="4"/>
  <c r="AO46" i="4"/>
  <c r="AM46" i="4"/>
  <c r="AL46" i="4"/>
  <c r="AK46" i="4"/>
  <c r="AJ46" i="4"/>
  <c r="AI46" i="4"/>
  <c r="AH46" i="4"/>
  <c r="AG46" i="4"/>
  <c r="AF46" i="4"/>
  <c r="AE46" i="4"/>
  <c r="AD46" i="4"/>
  <c r="AC46" i="4"/>
  <c r="AB46" i="4"/>
  <c r="AA46" i="4"/>
  <c r="Z46" i="4"/>
  <c r="AW45" i="4"/>
  <c r="AV45" i="4"/>
  <c r="AS45" i="4"/>
  <c r="AQ45" i="4"/>
  <c r="AP45" i="4"/>
  <c r="AO45" i="4"/>
  <c r="AW44" i="4"/>
  <c r="AV44" i="4"/>
  <c r="AU44" i="4"/>
  <c r="AT44" i="4"/>
  <c r="AS44" i="4"/>
  <c r="AQ44" i="4"/>
  <c r="AP44" i="4"/>
  <c r="AO44" i="4"/>
  <c r="AM44" i="4"/>
  <c r="AL44" i="4"/>
  <c r="AK44" i="4"/>
  <c r="AJ44" i="4"/>
  <c r="AI44" i="4"/>
  <c r="AH44" i="4"/>
  <c r="AG44" i="4"/>
  <c r="AF44" i="4"/>
  <c r="AE44" i="4"/>
  <c r="AD44" i="4"/>
  <c r="AC44" i="4"/>
  <c r="AB44" i="4"/>
  <c r="AA44" i="4"/>
  <c r="Z44" i="4"/>
  <c r="AP42" i="4"/>
  <c r="AN42" i="4"/>
  <c r="AN67" i="4" s="1"/>
  <c r="X42" i="4"/>
  <c r="W42" i="4"/>
  <c r="AQ42" i="4" s="1"/>
  <c r="V42" i="4"/>
  <c r="AW39" i="4"/>
  <c r="AV39" i="4"/>
  <c r="AU39" i="4"/>
  <c r="AT39" i="4"/>
  <c r="AS39" i="4"/>
  <c r="AQ39" i="4"/>
  <c r="AP39" i="4"/>
  <c r="AO39" i="4"/>
  <c r="AM39" i="4"/>
  <c r="AL39" i="4"/>
  <c r="AK39" i="4"/>
  <c r="AJ39" i="4"/>
  <c r="AI39" i="4"/>
  <c r="AH39" i="4"/>
  <c r="AG39" i="4"/>
  <c r="AF39" i="4"/>
  <c r="AE39" i="4"/>
  <c r="AD39" i="4"/>
  <c r="AC39" i="4"/>
  <c r="AB39" i="4"/>
  <c r="AA39" i="4"/>
  <c r="Z39" i="4"/>
  <c r="AW38" i="4"/>
  <c r="AV38" i="4"/>
  <c r="AU38" i="4"/>
  <c r="AT38" i="4"/>
  <c r="AS38" i="4"/>
  <c r="AQ38" i="4"/>
  <c r="AP38" i="4"/>
  <c r="AO38" i="4"/>
  <c r="AM38" i="4"/>
  <c r="AL38" i="4"/>
  <c r="AK38" i="4"/>
  <c r="AJ38" i="4"/>
  <c r="AI38" i="4"/>
  <c r="AH38" i="4"/>
  <c r="AG38" i="4"/>
  <c r="AF38" i="4"/>
  <c r="AE38" i="4"/>
  <c r="AD38" i="4"/>
  <c r="AC38" i="4"/>
  <c r="AB38" i="4"/>
  <c r="AA38" i="4"/>
  <c r="Z38" i="4"/>
  <c r="AW37" i="4"/>
  <c r="AV37" i="4"/>
  <c r="AU37" i="4"/>
  <c r="AT37" i="4"/>
  <c r="AS37" i="4"/>
  <c r="AQ37" i="4"/>
  <c r="AP37" i="4"/>
  <c r="AO37" i="4"/>
  <c r="AM37" i="4"/>
  <c r="AL37" i="4"/>
  <c r="AK37" i="4"/>
  <c r="AJ37" i="4"/>
  <c r="AI37" i="4"/>
  <c r="AH37" i="4"/>
  <c r="AG37" i="4"/>
  <c r="AF37" i="4"/>
  <c r="AE37" i="4"/>
  <c r="AD37" i="4"/>
  <c r="AC37" i="4"/>
  <c r="AB37" i="4"/>
  <c r="AA37" i="4"/>
  <c r="Z37" i="4"/>
  <c r="AW36" i="4"/>
  <c r="AV36" i="4"/>
  <c r="AU36" i="4"/>
  <c r="AT36" i="4"/>
  <c r="AS36" i="4"/>
  <c r="AQ36" i="4"/>
  <c r="AP36" i="4"/>
  <c r="AO36" i="4"/>
  <c r="AM36" i="4"/>
  <c r="AL36" i="4"/>
  <c r="AK36" i="4"/>
  <c r="AJ36" i="4"/>
  <c r="AI36" i="4"/>
  <c r="AH36" i="4"/>
  <c r="AG36" i="4"/>
  <c r="AF36" i="4"/>
  <c r="AE36" i="4"/>
  <c r="AD36" i="4"/>
  <c r="AC36" i="4"/>
  <c r="AB36" i="4"/>
  <c r="AA36" i="4"/>
  <c r="Z36" i="4"/>
  <c r="AW35" i="4"/>
  <c r="AV35" i="4"/>
  <c r="AU35" i="4"/>
  <c r="AT35" i="4"/>
  <c r="AS35" i="4"/>
  <c r="AQ35" i="4"/>
  <c r="AP35" i="4"/>
  <c r="AO35" i="4"/>
  <c r="AM35" i="4"/>
  <c r="AL35" i="4"/>
  <c r="AK35" i="4"/>
  <c r="AJ35" i="4"/>
  <c r="AI35" i="4"/>
  <c r="AH35" i="4"/>
  <c r="AG35" i="4"/>
  <c r="AF35" i="4"/>
  <c r="AE35" i="4"/>
  <c r="AD35" i="4"/>
  <c r="AC35" i="4"/>
  <c r="AB35" i="4"/>
  <c r="AA35" i="4"/>
  <c r="Z35" i="4"/>
  <c r="AW34" i="4"/>
  <c r="AV34" i="4"/>
  <c r="AU34" i="4"/>
  <c r="AT34" i="4"/>
  <c r="AS34" i="4"/>
  <c r="AQ34" i="4"/>
  <c r="AP34" i="4"/>
  <c r="AO34" i="4"/>
  <c r="AM34" i="4"/>
  <c r="AL34" i="4"/>
  <c r="AK34" i="4"/>
  <c r="AJ34" i="4"/>
  <c r="AI34" i="4"/>
  <c r="AH34" i="4"/>
  <c r="AG34" i="4"/>
  <c r="AF34" i="4"/>
  <c r="AE34" i="4"/>
  <c r="AD34" i="4"/>
  <c r="AC34" i="4"/>
  <c r="AB34" i="4"/>
  <c r="AA34" i="4"/>
  <c r="Z34" i="4"/>
  <c r="AW33" i="4"/>
  <c r="AV33" i="4"/>
  <c r="AU33" i="4"/>
  <c r="AT33" i="4"/>
  <c r="AS33" i="4"/>
  <c r="AQ33" i="4"/>
  <c r="AP33" i="4"/>
  <c r="AO33" i="4"/>
  <c r="AM33" i="4"/>
  <c r="AL33" i="4"/>
  <c r="AK33" i="4"/>
  <c r="AJ33" i="4"/>
  <c r="AI33" i="4"/>
  <c r="AH33" i="4"/>
  <c r="AG33" i="4"/>
  <c r="AF33" i="4"/>
  <c r="AE33" i="4"/>
  <c r="AD33" i="4"/>
  <c r="AC33" i="4"/>
  <c r="AB33" i="4"/>
  <c r="AA33" i="4"/>
  <c r="Z33" i="4"/>
  <c r="AW32" i="4"/>
  <c r="AV32" i="4"/>
  <c r="AU32" i="4"/>
  <c r="AT32" i="4"/>
  <c r="AS32" i="4"/>
  <c r="AQ32" i="4"/>
  <c r="AP32" i="4"/>
  <c r="AO32" i="4"/>
  <c r="AM32" i="4"/>
  <c r="AL32" i="4"/>
  <c r="AK32" i="4"/>
  <c r="AJ32" i="4"/>
  <c r="AI32" i="4"/>
  <c r="AH32" i="4"/>
  <c r="AG32" i="4"/>
  <c r="AF32" i="4"/>
  <c r="AE32" i="4"/>
  <c r="AD32" i="4"/>
  <c r="AC32" i="4"/>
  <c r="AB32" i="4"/>
  <c r="AA32" i="4"/>
  <c r="Z32" i="4"/>
  <c r="AW31" i="4"/>
  <c r="AV31" i="4"/>
  <c r="AU31" i="4"/>
  <c r="AT31" i="4"/>
  <c r="AS31" i="4"/>
  <c r="AQ31" i="4"/>
  <c r="AP31" i="4"/>
  <c r="AO31" i="4"/>
  <c r="AM31" i="4"/>
  <c r="AL31" i="4"/>
  <c r="AK31" i="4"/>
  <c r="AJ31" i="4"/>
  <c r="AI31" i="4"/>
  <c r="AH31" i="4"/>
  <c r="AG31" i="4"/>
  <c r="AF31" i="4"/>
  <c r="AE31" i="4"/>
  <c r="AD31" i="4"/>
  <c r="AC31" i="4"/>
  <c r="AB31" i="4"/>
  <c r="AA31" i="4"/>
  <c r="Z31" i="4"/>
  <c r="AW30" i="4"/>
  <c r="AV30" i="4"/>
  <c r="AS30" i="4"/>
  <c r="AQ30" i="4"/>
  <c r="AP30" i="4"/>
  <c r="AO30" i="4"/>
  <c r="AM30" i="4"/>
  <c r="AL30" i="4"/>
  <c r="AK30" i="4"/>
  <c r="AJ30" i="4"/>
  <c r="AI30" i="4"/>
  <c r="AH30" i="4"/>
  <c r="AG30" i="4"/>
  <c r="AF30" i="4"/>
  <c r="AE30" i="4"/>
  <c r="AD30" i="4"/>
  <c r="AC30" i="4"/>
  <c r="AB30" i="4"/>
  <c r="AA30" i="4"/>
  <c r="Z30" i="4"/>
  <c r="AW29" i="4"/>
  <c r="AV29" i="4"/>
  <c r="AU29" i="4"/>
  <c r="AT29" i="4"/>
  <c r="AS29" i="4"/>
  <c r="AQ29" i="4"/>
  <c r="AP29" i="4"/>
  <c r="AO29" i="4"/>
  <c r="AM29" i="4"/>
  <c r="AL29" i="4"/>
  <c r="AK29" i="4"/>
  <c r="AJ29" i="4"/>
  <c r="AI29" i="4"/>
  <c r="AH29" i="4"/>
  <c r="AG29" i="4"/>
  <c r="AF29" i="4"/>
  <c r="AE29" i="4"/>
  <c r="AD29" i="4"/>
  <c r="AC29" i="4"/>
  <c r="AB29" i="4"/>
  <c r="AA29" i="4"/>
  <c r="Z29" i="4"/>
  <c r="AW28" i="4"/>
  <c r="AV28" i="4"/>
  <c r="AU28" i="4"/>
  <c r="AT28" i="4"/>
  <c r="AS28" i="4"/>
  <c r="AQ28" i="4"/>
  <c r="AP28" i="4"/>
  <c r="AO28" i="4"/>
  <c r="AM28" i="4"/>
  <c r="AL28" i="4"/>
  <c r="AK28" i="4"/>
  <c r="AJ28" i="4"/>
  <c r="AI28" i="4"/>
  <c r="AH28" i="4"/>
  <c r="AG28" i="4"/>
  <c r="AF28" i="4"/>
  <c r="AE28" i="4"/>
  <c r="AD28" i="4"/>
  <c r="AC28" i="4"/>
  <c r="AB28" i="4"/>
  <c r="AA28" i="4"/>
  <c r="Z28" i="4"/>
  <c r="AW27" i="4"/>
  <c r="AV27" i="4"/>
  <c r="AU27" i="4"/>
  <c r="AT27" i="4"/>
  <c r="AS27" i="4"/>
  <c r="AQ27" i="4"/>
  <c r="AP27" i="4"/>
  <c r="AO27" i="4"/>
  <c r="AM27" i="4"/>
  <c r="AL27" i="4"/>
  <c r="AK27" i="4"/>
  <c r="AJ27" i="4"/>
  <c r="AI27" i="4"/>
  <c r="AH27" i="4"/>
  <c r="AG27" i="4"/>
  <c r="AF27" i="4"/>
  <c r="AE27" i="4"/>
  <c r="AD27" i="4"/>
  <c r="AC27" i="4"/>
  <c r="AB27" i="4"/>
  <c r="AA27" i="4"/>
  <c r="Z27" i="4"/>
  <c r="AW26" i="4"/>
  <c r="AV26" i="4"/>
  <c r="AU26" i="4"/>
  <c r="AT26" i="4"/>
  <c r="AS26" i="4"/>
  <c r="AQ26" i="4"/>
  <c r="AP26" i="4"/>
  <c r="AO26" i="4"/>
  <c r="AM26" i="4"/>
  <c r="AL26" i="4"/>
  <c r="AK26" i="4"/>
  <c r="AJ26" i="4"/>
  <c r="AI26" i="4"/>
  <c r="AH26" i="4"/>
  <c r="AG26" i="4"/>
  <c r="AF26" i="4"/>
  <c r="AE26" i="4"/>
  <c r="AD26" i="4"/>
  <c r="AC26" i="4"/>
  <c r="AB26" i="4"/>
  <c r="AA26" i="4"/>
  <c r="Z26" i="4"/>
  <c r="AW25" i="4"/>
  <c r="AV25" i="4"/>
  <c r="AU25" i="4"/>
  <c r="AT25" i="4"/>
  <c r="AS25" i="4"/>
  <c r="AQ25" i="4"/>
  <c r="AP25" i="4"/>
  <c r="AO25" i="4"/>
  <c r="AM25" i="4"/>
  <c r="AL25" i="4"/>
  <c r="AK25" i="4"/>
  <c r="AJ25" i="4"/>
  <c r="AI25" i="4"/>
  <c r="AH25" i="4"/>
  <c r="AG25" i="4"/>
  <c r="AF25" i="4"/>
  <c r="AE25" i="4"/>
  <c r="AD25" i="4"/>
  <c r="AC25" i="4"/>
  <c r="AB25" i="4"/>
  <c r="AA25" i="4"/>
  <c r="Z25" i="4"/>
  <c r="AW24" i="4"/>
  <c r="AV24" i="4"/>
  <c r="AS24" i="4"/>
  <c r="AQ24" i="4"/>
  <c r="AP24" i="4"/>
  <c r="AO24" i="4"/>
  <c r="AM24" i="4"/>
  <c r="AL24" i="4"/>
  <c r="AK24" i="4"/>
  <c r="AJ24" i="4"/>
  <c r="AI24" i="4"/>
  <c r="AH24" i="4"/>
  <c r="AG24" i="4"/>
  <c r="AF24" i="4"/>
  <c r="AE24" i="4"/>
  <c r="AD24" i="4"/>
  <c r="AC24" i="4"/>
  <c r="AB24" i="4"/>
  <c r="AA24" i="4"/>
  <c r="Z24" i="4"/>
  <c r="AW23" i="4"/>
  <c r="AW71" i="4" s="1"/>
  <c r="AV23" i="4"/>
  <c r="AV71" i="4" s="1"/>
  <c r="AU23" i="4"/>
  <c r="AT23" i="4"/>
  <c r="AS23" i="4"/>
  <c r="AQ23" i="4"/>
  <c r="AP23" i="4"/>
  <c r="AO23" i="4"/>
  <c r="AM23" i="4"/>
  <c r="AL23" i="4"/>
  <c r="AL71" i="4" s="1"/>
  <c r="AK23" i="4"/>
  <c r="AK71" i="4" s="1"/>
  <c r="AJ23" i="4"/>
  <c r="AI23" i="4"/>
  <c r="AH23" i="4"/>
  <c r="AG23" i="4"/>
  <c r="AF23" i="4"/>
  <c r="AE23" i="4"/>
  <c r="AD23" i="4"/>
  <c r="AD71" i="4" s="1"/>
  <c r="AC23" i="4"/>
  <c r="AC71" i="4" s="1"/>
  <c r="AB23" i="4"/>
  <c r="AA23" i="4"/>
  <c r="Z23" i="4"/>
  <c r="AW22" i="4"/>
  <c r="AW21" i="4"/>
  <c r="AV21" i="4"/>
  <c r="AS21" i="4"/>
  <c r="AQ21" i="4"/>
  <c r="AP21" i="4"/>
  <c r="AO21" i="4"/>
  <c r="AM21" i="4"/>
  <c r="AL21" i="4"/>
  <c r="AK21" i="4"/>
  <c r="AJ21" i="4"/>
  <c r="AI21" i="4"/>
  <c r="AH21" i="4"/>
  <c r="AG21" i="4"/>
  <c r="AF21" i="4"/>
  <c r="AE21" i="4"/>
  <c r="AD21" i="4"/>
  <c r="AC21" i="4"/>
  <c r="AB21" i="4"/>
  <c r="AA21" i="4"/>
  <c r="Z21" i="4"/>
  <c r="AW20" i="4"/>
  <c r="AV20" i="4"/>
  <c r="AU20" i="4"/>
  <c r="AT20" i="4"/>
  <c r="AS20" i="4"/>
  <c r="AQ20" i="4"/>
  <c r="AP20" i="4"/>
  <c r="AO20" i="4"/>
  <c r="AM20" i="4"/>
  <c r="AL20" i="4"/>
  <c r="AK20" i="4"/>
  <c r="AJ20" i="4"/>
  <c r="AI20" i="4"/>
  <c r="AH20" i="4"/>
  <c r="AG20" i="4"/>
  <c r="AF20" i="4"/>
  <c r="AE20" i="4"/>
  <c r="AD20" i="4"/>
  <c r="AC20" i="4"/>
  <c r="AB20" i="4"/>
  <c r="AA20" i="4"/>
  <c r="Z20" i="4"/>
  <c r="AW19" i="4"/>
  <c r="AV19" i="4"/>
  <c r="AU19" i="4"/>
  <c r="AT19" i="4"/>
  <c r="AS19" i="4"/>
  <c r="AQ19" i="4"/>
  <c r="AP19" i="4"/>
  <c r="AO19" i="4"/>
  <c r="AM19" i="4"/>
  <c r="AL19" i="4"/>
  <c r="AK19" i="4"/>
  <c r="AJ19" i="4"/>
  <c r="AI19" i="4"/>
  <c r="AH19" i="4"/>
  <c r="AG19" i="4"/>
  <c r="AF19" i="4"/>
  <c r="AE19" i="4"/>
  <c r="AD19" i="4"/>
  <c r="AC19" i="4"/>
  <c r="AB19" i="4"/>
  <c r="AA19" i="4"/>
  <c r="Z19" i="4"/>
  <c r="AW18" i="4"/>
  <c r="AV18" i="4"/>
  <c r="AU18" i="4"/>
  <c r="AT18" i="4"/>
  <c r="AS18" i="4"/>
  <c r="AQ18" i="4"/>
  <c r="AP18" i="4"/>
  <c r="AO18" i="4"/>
  <c r="AM18" i="4"/>
  <c r="AL18" i="4"/>
  <c r="AK18" i="4"/>
  <c r="AJ18" i="4"/>
  <c r="AI18" i="4"/>
  <c r="AH18" i="4"/>
  <c r="AG18" i="4"/>
  <c r="AF18" i="4"/>
  <c r="AE18" i="4"/>
  <c r="AD18" i="4"/>
  <c r="AC18" i="4"/>
  <c r="AB18" i="4"/>
  <c r="AA18" i="4"/>
  <c r="Z18" i="4"/>
  <c r="AW17" i="4"/>
  <c r="AV17" i="4"/>
  <c r="AU17" i="4"/>
  <c r="AT17" i="4"/>
  <c r="AS17" i="4"/>
  <c r="AQ17" i="4"/>
  <c r="AP17" i="4"/>
  <c r="AO17" i="4"/>
  <c r="AM17" i="4"/>
  <c r="AL17" i="4"/>
  <c r="AK17" i="4"/>
  <c r="AJ17" i="4"/>
  <c r="AI17" i="4"/>
  <c r="AH17" i="4"/>
  <c r="AG17" i="4"/>
  <c r="AF17" i="4"/>
  <c r="AE17" i="4"/>
  <c r="AD17" i="4"/>
  <c r="AC17" i="4"/>
  <c r="AB17" i="4"/>
  <c r="AA17" i="4"/>
  <c r="Z17" i="4"/>
  <c r="AW16" i="4"/>
  <c r="AV16" i="4"/>
  <c r="AU16" i="4"/>
  <c r="AT16" i="4"/>
  <c r="AS16" i="4"/>
  <c r="AQ16" i="4"/>
  <c r="AP16" i="4"/>
  <c r="AO16" i="4"/>
  <c r="AM16" i="4"/>
  <c r="AL16" i="4"/>
  <c r="AK16" i="4"/>
  <c r="AJ16" i="4"/>
  <c r="AI16" i="4"/>
  <c r="AH16" i="4"/>
  <c r="AG16" i="4"/>
  <c r="AF16" i="4"/>
  <c r="AE16" i="4"/>
  <c r="AD16" i="4"/>
  <c r="AC16" i="4"/>
  <c r="AB16" i="4"/>
  <c r="AA16" i="4"/>
  <c r="Z16" i="4"/>
  <c r="AW15" i="4"/>
  <c r="AV15" i="4"/>
  <c r="AU15" i="4"/>
  <c r="AT15" i="4"/>
  <c r="AS15" i="4"/>
  <c r="AQ15" i="4"/>
  <c r="AP15" i="4"/>
  <c r="AO15" i="4"/>
  <c r="AM15" i="4"/>
  <c r="AL15" i="4"/>
  <c r="AK15" i="4"/>
  <c r="AJ15" i="4"/>
  <c r="AI15" i="4"/>
  <c r="AH15" i="4"/>
  <c r="AG15" i="4"/>
  <c r="AF15" i="4"/>
  <c r="AE15" i="4"/>
  <c r="AD15" i="4"/>
  <c r="AC15" i="4"/>
  <c r="AB15" i="4"/>
  <c r="AA15" i="4"/>
  <c r="Z15" i="4"/>
  <c r="AW14" i="4"/>
  <c r="AV14" i="4"/>
  <c r="AU14" i="4"/>
  <c r="AT14" i="4"/>
  <c r="AS14" i="4"/>
  <c r="AQ14" i="4"/>
  <c r="AP14" i="4"/>
  <c r="AO14" i="4"/>
  <c r="AM14" i="4"/>
  <c r="AL14" i="4"/>
  <c r="AK14" i="4"/>
  <c r="AJ14" i="4"/>
  <c r="AI14" i="4"/>
  <c r="AH14" i="4"/>
  <c r="AG14" i="4"/>
  <c r="AF14" i="4"/>
  <c r="AE14" i="4"/>
  <c r="AD14" i="4"/>
  <c r="AC14" i="4"/>
  <c r="AB14" i="4"/>
  <c r="AA14" i="4"/>
  <c r="Z14" i="4"/>
  <c r="AW13" i="4"/>
  <c r="AV13" i="4"/>
  <c r="AU13" i="4"/>
  <c r="AT13" i="4"/>
  <c r="AS13" i="4"/>
  <c r="AQ13" i="4"/>
  <c r="AP13" i="4"/>
  <c r="AO13" i="4"/>
  <c r="AM13" i="4"/>
  <c r="AL13" i="4"/>
  <c r="AK13" i="4"/>
  <c r="AJ13" i="4"/>
  <c r="AI13" i="4"/>
  <c r="AH13" i="4"/>
  <c r="AG13" i="4"/>
  <c r="AF13" i="4"/>
  <c r="AE13" i="4"/>
  <c r="AD13" i="4"/>
  <c r="AC13" i="4"/>
  <c r="AB13" i="4"/>
  <c r="AA13" i="4"/>
  <c r="Z13" i="4"/>
  <c r="AW12" i="4"/>
  <c r="AV12" i="4"/>
  <c r="AU12" i="4"/>
  <c r="AT12" i="4"/>
  <c r="AS12" i="4"/>
  <c r="AQ12" i="4"/>
  <c r="AP12" i="4"/>
  <c r="AO12" i="4"/>
  <c r="AM12" i="4"/>
  <c r="AL12" i="4"/>
  <c r="AK12" i="4"/>
  <c r="AJ12" i="4"/>
  <c r="AI12" i="4"/>
  <c r="AH12" i="4"/>
  <c r="AG12" i="4"/>
  <c r="AF12" i="4"/>
  <c r="AE12" i="4"/>
  <c r="AD12" i="4"/>
  <c r="AC12" i="4"/>
  <c r="AB12" i="4"/>
  <c r="AA12" i="4"/>
  <c r="Z12" i="4"/>
  <c r="AW11" i="4"/>
  <c r="AV11" i="4"/>
  <c r="AU11" i="4"/>
  <c r="AT11" i="4"/>
  <c r="AS11" i="4"/>
  <c r="AQ11" i="4"/>
  <c r="AP11" i="4"/>
  <c r="AO11" i="4"/>
  <c r="AM11" i="4"/>
  <c r="AL11" i="4"/>
  <c r="AK11" i="4"/>
  <c r="AJ11" i="4"/>
  <c r="AI11" i="4"/>
  <c r="AH11" i="4"/>
  <c r="AG11" i="4"/>
  <c r="AF11" i="4"/>
  <c r="AE11" i="4"/>
  <c r="AD11" i="4"/>
  <c r="AC11" i="4"/>
  <c r="AB11" i="4"/>
  <c r="AA11" i="4"/>
  <c r="Z11" i="4"/>
  <c r="AW10" i="4"/>
  <c r="AV10" i="4"/>
  <c r="AU10" i="4"/>
  <c r="AT10" i="4"/>
  <c r="AS10" i="4"/>
  <c r="AQ10" i="4"/>
  <c r="AP10" i="4"/>
  <c r="AO10" i="4"/>
  <c r="AM10" i="4"/>
  <c r="AL10" i="4"/>
  <c r="AK10" i="4"/>
  <c r="AJ10" i="4"/>
  <c r="AI10" i="4"/>
  <c r="AH10" i="4"/>
  <c r="AG10" i="4"/>
  <c r="AF10" i="4"/>
  <c r="AE10" i="4"/>
  <c r="AD10" i="4"/>
  <c r="AC10" i="4"/>
  <c r="AB10" i="4"/>
  <c r="AA10" i="4"/>
  <c r="Z10" i="4"/>
  <c r="AW9" i="4"/>
  <c r="AV9" i="4"/>
  <c r="AU9" i="4"/>
  <c r="AT9" i="4"/>
  <c r="AS9" i="4"/>
  <c r="AQ9" i="4"/>
  <c r="AA149" i="7" s="1"/>
  <c r="AP9" i="4"/>
  <c r="Z149" i="7" s="1"/>
  <c r="AO9" i="4"/>
  <c r="X149" i="7" s="1"/>
  <c r="AM9" i="4"/>
  <c r="V149" i="7" s="1"/>
  <c r="AL9" i="4"/>
  <c r="U149" i="7" s="1"/>
  <c r="AK9" i="4"/>
  <c r="S149" i="7" s="1"/>
  <c r="AJ9" i="4"/>
  <c r="R149" i="7" s="1"/>
  <c r="AI9" i="4"/>
  <c r="Q149" i="7" s="1"/>
  <c r="AH9" i="4"/>
  <c r="P149" i="7" s="1"/>
  <c r="AG9" i="4"/>
  <c r="N149" i="7" s="1"/>
  <c r="AF9" i="4"/>
  <c r="M149" i="7" s="1"/>
  <c r="AE9" i="4"/>
  <c r="L149" i="7" s="1"/>
  <c r="AD9" i="4"/>
  <c r="K149" i="7" s="1"/>
  <c r="AC9" i="4"/>
  <c r="I149" i="7" s="1"/>
  <c r="AB9" i="4"/>
  <c r="H149" i="7" s="1"/>
  <c r="AA9" i="4"/>
  <c r="G149" i="7" s="1"/>
  <c r="Z9" i="4"/>
  <c r="F149" i="7" s="1"/>
  <c r="AW7" i="4"/>
  <c r="AV7" i="4"/>
  <c r="AU7" i="4"/>
  <c r="AT7" i="4"/>
  <c r="AS7" i="4"/>
  <c r="AQ7" i="4"/>
  <c r="AP7" i="4"/>
  <c r="AO7" i="4"/>
  <c r="AO42" i="4" s="1"/>
  <c r="AM7" i="4"/>
  <c r="AL7" i="4"/>
  <c r="AK7" i="4"/>
  <c r="AJ7" i="4"/>
  <c r="AI7" i="4"/>
  <c r="AH7" i="4"/>
  <c r="AG7" i="4"/>
  <c r="AF7" i="4"/>
  <c r="AF42" i="4" s="1"/>
  <c r="AE7" i="4"/>
  <c r="AD7" i="4"/>
  <c r="AC7" i="4"/>
  <c r="AB7" i="4"/>
  <c r="AA7" i="4"/>
  <c r="Z7" i="4"/>
  <c r="AD5" i="4"/>
  <c r="AA30" i="3"/>
  <c r="Z30" i="3"/>
  <c r="Y30" i="3"/>
  <c r="X30" i="3"/>
  <c r="W30" i="3"/>
  <c r="V30" i="3"/>
  <c r="U30" i="3"/>
  <c r="T30" i="3"/>
  <c r="S30" i="3"/>
  <c r="R30" i="3"/>
  <c r="Q30" i="3"/>
  <c r="P30" i="3"/>
  <c r="O30" i="3"/>
  <c r="N30" i="3"/>
  <c r="M30" i="3"/>
  <c r="L30" i="3"/>
  <c r="K30" i="3"/>
  <c r="J30" i="3"/>
  <c r="I30" i="3"/>
  <c r="H30" i="3"/>
  <c r="G30" i="3"/>
  <c r="F30" i="3"/>
  <c r="E30" i="3"/>
  <c r="D30" i="3"/>
  <c r="C30" i="3"/>
  <c r="X23" i="3"/>
  <c r="N23" i="3"/>
  <c r="X22" i="3"/>
  <c r="N22" i="3"/>
  <c r="X21" i="3"/>
  <c r="N21" i="3"/>
  <c r="AA19" i="3"/>
  <c r="AA20" i="3" s="1"/>
  <c r="AA24" i="3" s="1"/>
  <c r="AA25" i="3" s="1"/>
  <c r="Z19" i="3"/>
  <c r="Y19" i="3"/>
  <c r="X19" i="3" s="1"/>
  <c r="W19" i="3"/>
  <c r="W20" i="3" s="1"/>
  <c r="W24" i="3" s="1"/>
  <c r="W25" i="3" s="1"/>
  <c r="V19" i="3"/>
  <c r="V20" i="3" s="1"/>
  <c r="V24" i="3" s="1"/>
  <c r="V25" i="3" s="1"/>
  <c r="U19" i="3"/>
  <c r="T19" i="3"/>
  <c r="R19" i="3"/>
  <c r="R20" i="3" s="1"/>
  <c r="R24" i="3" s="1"/>
  <c r="R25" i="3" s="1"/>
  <c r="Q19" i="3"/>
  <c r="P19" i="3"/>
  <c r="O19" i="3"/>
  <c r="M19" i="3"/>
  <c r="L19" i="3"/>
  <c r="K19" i="3"/>
  <c r="K20" i="3" s="1"/>
  <c r="K24" i="3" s="1"/>
  <c r="K25" i="3" s="1"/>
  <c r="J19" i="3"/>
  <c r="I19" i="3"/>
  <c r="H19" i="3"/>
  <c r="G19" i="3"/>
  <c r="F19" i="3"/>
  <c r="E19" i="3"/>
  <c r="D19" i="3"/>
  <c r="C19" i="3"/>
  <c r="C20" i="3" s="1"/>
  <c r="C24" i="3" s="1"/>
  <c r="C25" i="3" s="1"/>
  <c r="X18" i="3"/>
  <c r="S18" i="3"/>
  <c r="S19" i="3" s="1"/>
  <c r="N18" i="3"/>
  <c r="X17" i="3"/>
  <c r="S17" i="3"/>
  <c r="N17" i="3"/>
  <c r="X16" i="3"/>
  <c r="S16" i="3"/>
  <c r="N16" i="3"/>
  <c r="N19" i="3" s="1"/>
  <c r="AA15" i="3"/>
  <c r="AA27" i="3" s="1"/>
  <c r="AA28" i="3" s="1"/>
  <c r="T15" i="3"/>
  <c r="T27" i="3" s="1"/>
  <c r="T28" i="3" s="1"/>
  <c r="L15" i="3"/>
  <c r="L27" i="3" s="1"/>
  <c r="L28" i="3" s="1"/>
  <c r="K15" i="3"/>
  <c r="K27" i="3" s="1"/>
  <c r="K28" i="3" s="1"/>
  <c r="D15" i="3"/>
  <c r="D27" i="3" s="1"/>
  <c r="D28" i="3" s="1"/>
  <c r="C15" i="3"/>
  <c r="C27" i="3" s="1"/>
  <c r="C28" i="3" s="1"/>
  <c r="AA14" i="3"/>
  <c r="AA148" i="7" s="1"/>
  <c r="Z14" i="3"/>
  <c r="Z148" i="7" s="1"/>
  <c r="Y14" i="3"/>
  <c r="Y148" i="7" s="1"/>
  <c r="W14" i="3"/>
  <c r="W148" i="7" s="1"/>
  <c r="V14" i="3"/>
  <c r="V148" i="7" s="1"/>
  <c r="U14" i="3"/>
  <c r="U148" i="7" s="1"/>
  <c r="T14" i="3"/>
  <c r="T148" i="7" s="1"/>
  <c r="R14" i="3"/>
  <c r="R148" i="7" s="1"/>
  <c r="Q14" i="3"/>
  <c r="Q148" i="7" s="1"/>
  <c r="P14" i="3"/>
  <c r="P148" i="7" s="1"/>
  <c r="O14" i="3"/>
  <c r="O148" i="7" s="1"/>
  <c r="N14" i="3"/>
  <c r="N148" i="7" s="1"/>
  <c r="M14" i="3"/>
  <c r="M148" i="7" s="1"/>
  <c r="L14" i="3"/>
  <c r="L148" i="7" s="1"/>
  <c r="K14" i="3"/>
  <c r="K148" i="7" s="1"/>
  <c r="J14" i="3"/>
  <c r="J148" i="7" s="1"/>
  <c r="I14" i="3"/>
  <c r="I148" i="7" s="1"/>
  <c r="H14" i="3"/>
  <c r="H148" i="7" s="1"/>
  <c r="G14" i="3"/>
  <c r="G148" i="7" s="1"/>
  <c r="F14" i="3"/>
  <c r="F148" i="7" s="1"/>
  <c r="E14" i="3"/>
  <c r="D14" i="3"/>
  <c r="D148" i="7" s="1"/>
  <c r="C14" i="3"/>
  <c r="C148" i="7" s="1"/>
  <c r="X13" i="3"/>
  <c r="S13" i="3"/>
  <c r="X12" i="3"/>
  <c r="S12" i="3"/>
  <c r="X11" i="3"/>
  <c r="S11" i="3"/>
  <c r="AA10" i="3"/>
  <c r="X10" i="3"/>
  <c r="T10" i="3"/>
  <c r="S10" i="3"/>
  <c r="P10" i="3"/>
  <c r="L10" i="3"/>
  <c r="K10" i="3"/>
  <c r="H10" i="3"/>
  <c r="D10" i="3"/>
  <c r="C10" i="3"/>
  <c r="AA9" i="3"/>
  <c r="Z9" i="3"/>
  <c r="Z15" i="3" s="1"/>
  <c r="Z27" i="3" s="1"/>
  <c r="Z28" i="3" s="1"/>
  <c r="Y9" i="3"/>
  <c r="Y15" i="3" s="1"/>
  <c r="X9" i="3"/>
  <c r="W9" i="3"/>
  <c r="W15" i="3" s="1"/>
  <c r="W27" i="3" s="1"/>
  <c r="W28" i="3" s="1"/>
  <c r="V9" i="3"/>
  <c r="V15" i="3" s="1"/>
  <c r="V27" i="3" s="1"/>
  <c r="V28" i="3" s="1"/>
  <c r="U9" i="3"/>
  <c r="U15" i="3" s="1"/>
  <c r="T9" i="3"/>
  <c r="S9" i="3"/>
  <c r="R9" i="3"/>
  <c r="R15" i="3" s="1"/>
  <c r="R27" i="3" s="1"/>
  <c r="R28" i="3" s="1"/>
  <c r="Q9" i="3"/>
  <c r="Q15" i="3" s="1"/>
  <c r="P9" i="3"/>
  <c r="P15" i="3" s="1"/>
  <c r="O9" i="3"/>
  <c r="O15" i="3" s="1"/>
  <c r="O27" i="3" s="1"/>
  <c r="O28" i="3" s="1"/>
  <c r="N9" i="3"/>
  <c r="N15" i="3" s="1"/>
  <c r="N27" i="3" s="1"/>
  <c r="N28" i="3" s="1"/>
  <c r="M9" i="3"/>
  <c r="M15" i="3" s="1"/>
  <c r="L9" i="3"/>
  <c r="K9" i="3"/>
  <c r="J9" i="3"/>
  <c r="J15" i="3" s="1"/>
  <c r="J27" i="3" s="1"/>
  <c r="J28" i="3" s="1"/>
  <c r="I9" i="3"/>
  <c r="I15" i="3" s="1"/>
  <c r="H9" i="3"/>
  <c r="H15" i="3" s="1"/>
  <c r="G9" i="3"/>
  <c r="G15" i="3" s="1"/>
  <c r="G27" i="3" s="1"/>
  <c r="G28" i="3" s="1"/>
  <c r="F9" i="3"/>
  <c r="F15" i="3" s="1"/>
  <c r="F27" i="3" s="1"/>
  <c r="F28" i="3" s="1"/>
  <c r="E9" i="3"/>
  <c r="E15" i="3" s="1"/>
  <c r="D9" i="3"/>
  <c r="C9" i="3"/>
  <c r="W64" i="2"/>
  <c r="W65" i="2" s="1"/>
  <c r="V64" i="2"/>
  <c r="U64" i="2"/>
  <c r="U65" i="2" s="1"/>
  <c r="T64" i="2"/>
  <c r="T65" i="2" s="1"/>
  <c r="S64" i="2"/>
  <c r="R64" i="2"/>
  <c r="R65" i="2" s="1"/>
  <c r="W56" i="2"/>
  <c r="V56" i="2"/>
  <c r="V65" i="2" s="1"/>
  <c r="U56" i="2"/>
  <c r="T56" i="2"/>
  <c r="S56" i="2"/>
  <c r="R56" i="2"/>
  <c r="W47" i="2"/>
  <c r="V47" i="2"/>
  <c r="U47" i="2"/>
  <c r="T47" i="2"/>
  <c r="S47" i="2"/>
  <c r="S65" i="2" s="1"/>
  <c r="R47" i="2"/>
  <c r="W35" i="2"/>
  <c r="W36" i="2" s="1"/>
  <c r="T35" i="2"/>
  <c r="T36" i="2" s="1"/>
  <c r="W31" i="2"/>
  <c r="V31" i="2"/>
  <c r="V35" i="2" s="1"/>
  <c r="V36" i="2" s="1"/>
  <c r="U31" i="2"/>
  <c r="U35" i="2" s="1"/>
  <c r="U36" i="2" s="1"/>
  <c r="T31" i="2"/>
  <c r="S31" i="2"/>
  <c r="S35" i="2" s="1"/>
  <c r="S36" i="2" s="1"/>
  <c r="R31" i="2"/>
  <c r="R35" i="2" s="1"/>
  <c r="R36" i="2" s="1"/>
  <c r="Q31" i="2"/>
  <c r="P31" i="2"/>
  <c r="O31" i="2"/>
  <c r="N31" i="2"/>
  <c r="M31" i="2"/>
  <c r="L31" i="2"/>
  <c r="K31" i="2"/>
  <c r="J31" i="2"/>
  <c r="I31" i="2"/>
  <c r="H31" i="2"/>
  <c r="G31" i="2"/>
  <c r="F31" i="2"/>
  <c r="E31" i="2"/>
  <c r="D31" i="2"/>
  <c r="C31" i="2"/>
  <c r="W20" i="2"/>
  <c r="V20" i="2"/>
  <c r="U20" i="2"/>
  <c r="T20" i="2"/>
  <c r="S20" i="2"/>
  <c r="R20" i="2"/>
  <c r="AA130" i="7" l="1"/>
  <c r="AA131" i="7" s="1"/>
  <c r="X130" i="7"/>
  <c r="X131" i="7" s="1"/>
  <c r="V130" i="7"/>
  <c r="V131" i="7" s="1"/>
  <c r="U130" i="7"/>
  <c r="R130" i="7"/>
  <c r="R131" i="7" s="1"/>
  <c r="Q130" i="7"/>
  <c r="Q131" i="7" s="1"/>
  <c r="P130" i="7"/>
  <c r="P131" i="7" s="1"/>
  <c r="N130" i="7"/>
  <c r="N131" i="7" s="1"/>
  <c r="M130" i="7"/>
  <c r="M131" i="7" s="1"/>
  <c r="L130" i="7"/>
  <c r="L131" i="7" s="1"/>
  <c r="K130" i="7"/>
  <c r="K131" i="7" s="1"/>
  <c r="N13" i="6"/>
  <c r="N15" i="6" s="1"/>
  <c r="I28" i="6"/>
  <c r="M34" i="6"/>
  <c r="K28" i="6"/>
  <c r="L33" i="6"/>
  <c r="E28" i="6"/>
  <c r="M33" i="6"/>
  <c r="O130" i="7"/>
  <c r="W130" i="7"/>
  <c r="W131" i="7" s="1"/>
  <c r="G130" i="7"/>
  <c r="G131" i="7" s="1"/>
  <c r="Z130" i="7"/>
  <c r="Z131" i="7" s="1"/>
  <c r="J130" i="7"/>
  <c r="J131" i="7" s="1"/>
  <c r="AC17" i="5"/>
  <c r="AD19" i="5"/>
  <c r="Z42" i="4"/>
  <c r="AE71" i="4"/>
  <c r="AO71" i="4"/>
  <c r="AG71" i="4"/>
  <c r="AA42" i="4"/>
  <c r="AA67" i="4" s="1"/>
  <c r="AU71" i="4"/>
  <c r="Z55" i="4"/>
  <c r="Z67" i="4" s="1"/>
  <c r="AH55" i="4"/>
  <c r="AH67" i="4" s="1"/>
  <c r="AB65" i="4"/>
  <c r="AJ65" i="4"/>
  <c r="AT65" i="4"/>
  <c r="AM71" i="4"/>
  <c r="AI65" i="4"/>
  <c r="AB42" i="4"/>
  <c r="AJ42" i="4"/>
  <c r="AJ67" i="4" s="1"/>
  <c r="AU42" i="4"/>
  <c r="AU67" i="4" s="1"/>
  <c r="Z71" i="4"/>
  <c r="AA55" i="4"/>
  <c r="AU65" i="4"/>
  <c r="AF71" i="4"/>
  <c r="AK65" i="4"/>
  <c r="AT42" i="4"/>
  <c r="AT67" i="4" s="1"/>
  <c r="AC42" i="4"/>
  <c r="AK42" i="4"/>
  <c r="AK67" i="4" s="1"/>
  <c r="AH71" i="4"/>
  <c r="AA71" i="4"/>
  <c r="AI71" i="4"/>
  <c r="AS71" i="4"/>
  <c r="AT55" i="4"/>
  <c r="AV55" i="4"/>
  <c r="AD65" i="4"/>
  <c r="AL65" i="4"/>
  <c r="AV65" i="4"/>
  <c r="AH42" i="4"/>
  <c r="H146" i="7"/>
  <c r="AW42" i="4"/>
  <c r="AB71" i="4"/>
  <c r="AJ71" i="4"/>
  <c r="AT71" i="4"/>
  <c r="AC55" i="4"/>
  <c r="AK55" i="4"/>
  <c r="AE65" i="4"/>
  <c r="AM65" i="4"/>
  <c r="AW65" i="4"/>
  <c r="AF65" i="4"/>
  <c r="AO65" i="4"/>
  <c r="AG42" i="4"/>
  <c r="AA128" i="7"/>
  <c r="R146" i="7"/>
  <c r="K128" i="7"/>
  <c r="G13" i="6"/>
  <c r="G15" i="6" s="1"/>
  <c r="Q22" i="6"/>
  <c r="Q24" i="6" s="1"/>
  <c r="T22" i="6"/>
  <c r="T24" i="6" s="1"/>
  <c r="O23" i="6"/>
  <c r="V22" i="6"/>
  <c r="V24" i="6" s="1"/>
  <c r="W23" i="6"/>
  <c r="P22" i="6"/>
  <c r="P24" i="6" s="1"/>
  <c r="E13" i="6"/>
  <c r="E15" i="6" s="1"/>
  <c r="M23" i="6"/>
  <c r="J28" i="6"/>
  <c r="E29" i="6"/>
  <c r="M29" i="6"/>
  <c r="E34" i="6"/>
  <c r="E23" i="6"/>
  <c r="E33" i="6"/>
  <c r="G34" i="6"/>
  <c r="F13" i="6"/>
  <c r="F15" i="6" s="1"/>
  <c r="H23" i="6"/>
  <c r="I23" i="6"/>
  <c r="M28" i="6"/>
  <c r="H29" i="6"/>
  <c r="F29" i="6"/>
  <c r="I33" i="6"/>
  <c r="I34" i="6"/>
  <c r="I22" i="6"/>
  <c r="I24" i="6" s="1"/>
  <c r="F28" i="6"/>
  <c r="N28" i="6"/>
  <c r="I29" i="6"/>
  <c r="N22" i="6"/>
  <c r="N24" i="6" s="1"/>
  <c r="N29" i="6"/>
  <c r="K23" i="6"/>
  <c r="AI55" i="4"/>
  <c r="AB55" i="4"/>
  <c r="AJ55" i="4"/>
  <c r="AU55" i="4"/>
  <c r="AE55" i="4"/>
  <c r="AM55" i="4"/>
  <c r="AB67" i="4"/>
  <c r="AG55" i="4"/>
  <c r="AL55" i="4"/>
  <c r="AD55" i="4"/>
  <c r="AF55" i="4"/>
  <c r="AF67" i="4" s="1"/>
  <c r="AO55" i="4"/>
  <c r="C67" i="4"/>
  <c r="C69" i="4" s="1"/>
  <c r="AS55" i="4"/>
  <c r="AW55" i="4"/>
  <c r="AD42" i="4"/>
  <c r="AL42" i="4"/>
  <c r="AV42" i="4"/>
  <c r="AV67" i="4" s="1"/>
  <c r="AM42" i="4"/>
  <c r="AM67" i="4" s="1"/>
  <c r="AE42" i="4"/>
  <c r="W67" i="4"/>
  <c r="W69" i="4" s="1"/>
  <c r="X67" i="4"/>
  <c r="X69" i="4" s="1"/>
  <c r="AS42" i="4"/>
  <c r="AI42" i="4"/>
  <c r="E27" i="3"/>
  <c r="E28" i="3" s="1"/>
  <c r="E20" i="3"/>
  <c r="E24" i="3" s="1"/>
  <c r="E25" i="3" s="1"/>
  <c r="M27" i="3"/>
  <c r="M28" i="3" s="1"/>
  <c r="M20" i="3"/>
  <c r="M24" i="3" s="1"/>
  <c r="M25" i="3" s="1"/>
  <c r="U27" i="3"/>
  <c r="U28" i="3" s="1"/>
  <c r="U20" i="3"/>
  <c r="U24" i="3" s="1"/>
  <c r="U25" i="3" s="1"/>
  <c r="F20" i="3"/>
  <c r="F24" i="3" s="1"/>
  <c r="F25" i="3" s="1"/>
  <c r="O20" i="3"/>
  <c r="O24" i="3" s="1"/>
  <c r="O25" i="3" s="1"/>
  <c r="AW67" i="4"/>
  <c r="G20" i="3"/>
  <c r="G24" i="3" s="1"/>
  <c r="G25" i="3" s="1"/>
  <c r="Z20" i="3"/>
  <c r="Z24" i="3" s="1"/>
  <c r="Z25" i="3" s="1"/>
  <c r="H27" i="3"/>
  <c r="H28" i="3" s="1"/>
  <c r="H20" i="3"/>
  <c r="H24" i="3" s="1"/>
  <c r="P27" i="3"/>
  <c r="P28" i="3" s="1"/>
  <c r="P20" i="3"/>
  <c r="P24" i="3" s="1"/>
  <c r="P25" i="3" s="1"/>
  <c r="I27" i="3"/>
  <c r="I28" i="3" s="1"/>
  <c r="I20" i="3"/>
  <c r="I24" i="3" s="1"/>
  <c r="I25" i="3" s="1"/>
  <c r="Q20" i="3"/>
  <c r="Q24" i="3" s="1"/>
  <c r="Q25" i="3" s="1"/>
  <c r="Q27" i="3"/>
  <c r="Q28" i="3" s="1"/>
  <c r="Y20" i="3"/>
  <c r="Y24" i="3" s="1"/>
  <c r="Y25" i="3" s="1"/>
  <c r="Y27" i="3"/>
  <c r="Y28" i="3" s="1"/>
  <c r="N20" i="3"/>
  <c r="N24" i="3" s="1"/>
  <c r="N25" i="3" s="1"/>
  <c r="J20" i="3"/>
  <c r="J24" i="3" s="1"/>
  <c r="J25" i="3" s="1"/>
  <c r="AI67" i="4"/>
  <c r="R151" i="7"/>
  <c r="J10" i="3"/>
  <c r="R10" i="3"/>
  <c r="Z10" i="3"/>
  <c r="S14" i="3"/>
  <c r="AJ19" i="5"/>
  <c r="G24" i="6"/>
  <c r="D28" i="6"/>
  <c r="L28" i="6"/>
  <c r="G29" i="6"/>
  <c r="O29" i="6"/>
  <c r="G33" i="6"/>
  <c r="D34" i="6"/>
  <c r="H51" i="7"/>
  <c r="H135" i="7" s="1"/>
  <c r="H49" i="7"/>
  <c r="P51" i="7"/>
  <c r="P135" i="7" s="1"/>
  <c r="P49" i="7"/>
  <c r="X51" i="7"/>
  <c r="X135" i="7" s="1"/>
  <c r="X49" i="7"/>
  <c r="G49" i="7"/>
  <c r="V87" i="7"/>
  <c r="V90" i="7" s="1"/>
  <c r="V147" i="7" s="1"/>
  <c r="V146" i="7" s="1"/>
  <c r="V66" i="7"/>
  <c r="V67" i="7" s="1"/>
  <c r="Y66" i="7"/>
  <c r="Y67" i="7" s="1"/>
  <c r="Y87" i="7"/>
  <c r="Y90" i="7" s="1"/>
  <c r="Y147" i="7" s="1"/>
  <c r="Y146" i="7" s="1"/>
  <c r="O131" i="7"/>
  <c r="AK17" i="5"/>
  <c r="AK19" i="5" s="1"/>
  <c r="AS17" i="5"/>
  <c r="AS19" i="5" s="1"/>
  <c r="AM19" i="5"/>
  <c r="O22" i="6"/>
  <c r="O24" i="6" s="1"/>
  <c r="O13" i="6"/>
  <c r="O15" i="6" s="1"/>
  <c r="L23" i="6"/>
  <c r="T66" i="7"/>
  <c r="T67" i="7" s="1"/>
  <c r="Y91" i="7"/>
  <c r="Y92" i="7" s="1"/>
  <c r="V91" i="7"/>
  <c r="V92" i="7" s="1"/>
  <c r="AT19" i="5"/>
  <c r="R150" i="7"/>
  <c r="R144" i="7"/>
  <c r="R47" i="7"/>
  <c r="R34" i="7"/>
  <c r="R44" i="7" s="1"/>
  <c r="E10" i="3"/>
  <c r="M10" i="3"/>
  <c r="U10" i="3"/>
  <c r="AR19" i="5"/>
  <c r="G28" i="6"/>
  <c r="O28" i="6"/>
  <c r="C143" i="7"/>
  <c r="C112" i="7"/>
  <c r="L143" i="7"/>
  <c r="L142" i="7" s="1"/>
  <c r="L145" i="7" s="1"/>
  <c r="L112" i="7"/>
  <c r="T143" i="7"/>
  <c r="T142" i="7" s="1"/>
  <c r="T145" i="7" s="1"/>
  <c r="T112" i="7"/>
  <c r="K150" i="7"/>
  <c r="S51" i="7"/>
  <c r="S135" i="7" s="1"/>
  <c r="S137" i="7" s="1"/>
  <c r="S49" i="7"/>
  <c r="Z87" i="7"/>
  <c r="Z90" i="7" s="1"/>
  <c r="Z147" i="7" s="1"/>
  <c r="Z146" i="7" s="1"/>
  <c r="C147" i="7"/>
  <c r="C149" i="7"/>
  <c r="K146" i="7"/>
  <c r="K151" i="7" s="1"/>
  <c r="V67" i="4"/>
  <c r="F10" i="3"/>
  <c r="N10" i="3"/>
  <c r="V10" i="3"/>
  <c r="AN17" i="5"/>
  <c r="AN19" i="5" s="1"/>
  <c r="AV17" i="5"/>
  <c r="AV19" i="5" s="1"/>
  <c r="AU19" i="5"/>
  <c r="J34" i="6"/>
  <c r="J33" i="6"/>
  <c r="J22" i="6"/>
  <c r="J24" i="6" s="1"/>
  <c r="O33" i="6"/>
  <c r="T91" i="7"/>
  <c r="T92" i="7" s="1"/>
  <c r="J7" i="8"/>
  <c r="J15" i="8" s="1"/>
  <c r="K7" i="8" s="1"/>
  <c r="F15" i="8"/>
  <c r="G7" i="8" s="1"/>
  <c r="G15" i="8" s="1"/>
  <c r="H7" i="8" s="1"/>
  <c r="H15" i="8" s="1"/>
  <c r="I7" i="8" s="1"/>
  <c r="I15" i="8" s="1"/>
  <c r="U22" i="6"/>
  <c r="U24" i="6" s="1"/>
  <c r="U23" i="6"/>
  <c r="J150" i="7"/>
  <c r="J144" i="7"/>
  <c r="J47" i="7"/>
  <c r="Z150" i="7"/>
  <c r="Z144" i="7"/>
  <c r="Z47" i="7"/>
  <c r="G10" i="3"/>
  <c r="O10" i="3"/>
  <c r="W10" i="3"/>
  <c r="X14" i="3"/>
  <c r="X148" i="7" s="1"/>
  <c r="D20" i="3"/>
  <c r="D24" i="3" s="1"/>
  <c r="D25" i="3" s="1"/>
  <c r="L20" i="3"/>
  <c r="L24" i="3" s="1"/>
  <c r="L25" i="3" s="1"/>
  <c r="T20" i="3"/>
  <c r="T24" i="3" s="1"/>
  <c r="T25" i="3" s="1"/>
  <c r="AC19" i="5"/>
  <c r="AO17" i="5"/>
  <c r="AO19" i="5" s="1"/>
  <c r="C11" i="6"/>
  <c r="C23" i="6" s="1"/>
  <c r="C26" i="6"/>
  <c r="D150" i="7"/>
  <c r="D144" i="7"/>
  <c r="D47" i="7"/>
  <c r="M150" i="7"/>
  <c r="M144" i="7"/>
  <c r="M47" i="7"/>
  <c r="U150" i="7"/>
  <c r="U144" i="7"/>
  <c r="U47" i="7"/>
  <c r="C117" i="7"/>
  <c r="C26" i="7"/>
  <c r="W87" i="7"/>
  <c r="W90" i="7" s="1"/>
  <c r="W147" i="7" s="1"/>
  <c r="W66" i="7"/>
  <c r="W67" i="7" s="1"/>
  <c r="S87" i="7"/>
  <c r="S90" i="7" s="1"/>
  <c r="S147" i="7" s="1"/>
  <c r="S66" i="7"/>
  <c r="S67" i="7" s="1"/>
  <c r="AA87" i="7"/>
  <c r="AA90" i="7" s="1"/>
  <c r="AA147" i="7" s="1"/>
  <c r="AA146" i="7" s="1"/>
  <c r="AA66" i="7"/>
  <c r="C128" i="7"/>
  <c r="G137" i="7"/>
  <c r="O137" i="7"/>
  <c r="W137" i="7"/>
  <c r="AL19" i="5"/>
  <c r="L137" i="7"/>
  <c r="D13" i="6"/>
  <c r="D15" i="6" s="1"/>
  <c r="D29" i="6"/>
  <c r="L13" i="6"/>
  <c r="L15" i="6" s="1"/>
  <c r="L29" i="6"/>
  <c r="D33" i="6"/>
  <c r="O34" i="6"/>
  <c r="G143" i="7"/>
  <c r="G112" i="7"/>
  <c r="O112" i="7"/>
  <c r="W143" i="7"/>
  <c r="W112" i="7"/>
  <c r="F51" i="7"/>
  <c r="F135" i="7" s="1"/>
  <c r="F49" i="7"/>
  <c r="N51" i="7"/>
  <c r="N135" i="7" s="1"/>
  <c r="N49" i="7"/>
  <c r="V51" i="7"/>
  <c r="V135" i="7" s="1"/>
  <c r="V49" i="7"/>
  <c r="P66" i="7"/>
  <c r="P67" i="7" s="1"/>
  <c r="P87" i="7"/>
  <c r="P90" i="7" s="1"/>
  <c r="X66" i="7"/>
  <c r="X67" i="7" s="1"/>
  <c r="X87" i="7"/>
  <c r="X90" i="7" s="1"/>
  <c r="X147" i="7" s="1"/>
  <c r="S80" i="7"/>
  <c r="R91" i="7"/>
  <c r="R92" i="7" s="1"/>
  <c r="Z91" i="7"/>
  <c r="Z92" i="7" s="1"/>
  <c r="S142" i="7"/>
  <c r="S145" i="7" s="1"/>
  <c r="T137" i="7"/>
  <c r="I10" i="3"/>
  <c r="Q10" i="3"/>
  <c r="Y10" i="3"/>
  <c r="AI17" i="5"/>
  <c r="AI19" i="5" s="1"/>
  <c r="M22" i="6"/>
  <c r="M24" i="6" s="1"/>
  <c r="J23" i="6"/>
  <c r="R23" i="6"/>
  <c r="R22" i="6"/>
  <c r="R24" i="6" s="1"/>
  <c r="L22" i="6"/>
  <c r="L24" i="6" s="1"/>
  <c r="G23" i="6"/>
  <c r="D24" i="6"/>
  <c r="L34" i="7"/>
  <c r="L44" i="7" s="1"/>
  <c r="T34" i="7"/>
  <c r="T44" i="7" s="1"/>
  <c r="U87" i="7"/>
  <c r="U90" i="7" s="1"/>
  <c r="U147" i="7" s="1"/>
  <c r="U146" i="7" s="1"/>
  <c r="U66" i="7"/>
  <c r="U67" i="7" s="1"/>
  <c r="Q66" i="7"/>
  <c r="Q67" i="7" s="1"/>
  <c r="Q87" i="7"/>
  <c r="Q90" i="7" s="1"/>
  <c r="Q147" i="7" s="1"/>
  <c r="Q146" i="7" s="1"/>
  <c r="AA80" i="7"/>
  <c r="W91" i="7"/>
  <c r="W92" i="7" s="1"/>
  <c r="S91" i="7"/>
  <c r="S92" i="7" s="1"/>
  <c r="AA91" i="7"/>
  <c r="AA92" i="7" s="1"/>
  <c r="K152" i="7"/>
  <c r="K144" i="7"/>
  <c r="K142" i="7" s="1"/>
  <c r="K145" i="7" s="1"/>
  <c r="D143" i="7"/>
  <c r="D142" i="7" s="1"/>
  <c r="D145" i="7" s="1"/>
  <c r="D112" i="7"/>
  <c r="M143" i="7"/>
  <c r="M112" i="7"/>
  <c r="U143" i="7"/>
  <c r="U142" i="7" s="1"/>
  <c r="U145" i="7" s="1"/>
  <c r="U112" i="7"/>
  <c r="U78" i="7"/>
  <c r="O98" i="7"/>
  <c r="O113" i="7"/>
  <c r="O95" i="7"/>
  <c r="O143" i="7" s="1"/>
  <c r="O142" i="7" s="1"/>
  <c r="O145" i="7" s="1"/>
  <c r="AA112" i="7"/>
  <c r="U131" i="7"/>
  <c r="G152" i="7"/>
  <c r="O152" i="7"/>
  <c r="S130" i="7"/>
  <c r="S131" i="7" s="1"/>
  <c r="L150" i="7"/>
  <c r="AQ17" i="5"/>
  <c r="K22" i="6"/>
  <c r="K24" i="6" s="1"/>
  <c r="S22" i="6"/>
  <c r="S24" i="6" s="1"/>
  <c r="F23" i="6"/>
  <c r="N23" i="6"/>
  <c r="F33" i="6"/>
  <c r="N33" i="6"/>
  <c r="F34" i="6"/>
  <c r="F143" i="7"/>
  <c r="F112" i="7"/>
  <c r="N143" i="7"/>
  <c r="N142" i="7" s="1"/>
  <c r="N145" i="7" s="1"/>
  <c r="N112" i="7"/>
  <c r="V143" i="7"/>
  <c r="V142" i="7" s="1"/>
  <c r="V145" i="7" s="1"/>
  <c r="V112" i="7"/>
  <c r="F40" i="7"/>
  <c r="F44" i="7" s="1"/>
  <c r="R80" i="7"/>
  <c r="Z80" i="7"/>
  <c r="M98" i="7"/>
  <c r="M147" i="7"/>
  <c r="M146" i="7" s="1"/>
  <c r="M151" i="7" s="1"/>
  <c r="L128" i="7"/>
  <c r="H152" i="7"/>
  <c r="P152" i="7"/>
  <c r="T130" i="7"/>
  <c r="T131" i="7" s="1"/>
  <c r="F137" i="7"/>
  <c r="N137" i="7"/>
  <c r="V137" i="7"/>
  <c r="S150" i="7"/>
  <c r="H33" i="6"/>
  <c r="H34" i="6"/>
  <c r="H143" i="7"/>
  <c r="H112" i="7"/>
  <c r="P143" i="7"/>
  <c r="P112" i="7"/>
  <c r="X143" i="7"/>
  <c r="X112" i="7"/>
  <c r="F150" i="7"/>
  <c r="F144" i="7"/>
  <c r="N150" i="7"/>
  <c r="N144" i="7"/>
  <c r="V150" i="7"/>
  <c r="V144" i="7"/>
  <c r="P78" i="7"/>
  <c r="X78" i="7"/>
  <c r="J152" i="7"/>
  <c r="R152" i="7"/>
  <c r="H137" i="7"/>
  <c r="P137" i="7"/>
  <c r="X137" i="7"/>
  <c r="AA150" i="7"/>
  <c r="I143" i="7"/>
  <c r="I112" i="7"/>
  <c r="Q143" i="7"/>
  <c r="Q112" i="7"/>
  <c r="Y143" i="7"/>
  <c r="Y112" i="7"/>
  <c r="G150" i="7"/>
  <c r="G144" i="7"/>
  <c r="O150" i="7"/>
  <c r="O144" i="7"/>
  <c r="W150" i="7"/>
  <c r="W144" i="7"/>
  <c r="I49" i="7"/>
  <c r="Q49" i="7"/>
  <c r="Y49" i="7"/>
  <c r="I137" i="7"/>
  <c r="Q137" i="7"/>
  <c r="Y137" i="7"/>
  <c r="S144" i="7"/>
  <c r="T149" i="7"/>
  <c r="T146" i="7" s="1"/>
  <c r="T151" i="7" s="1"/>
  <c r="T153" i="7" s="1"/>
  <c r="K13" i="6"/>
  <c r="K15" i="6" s="1"/>
  <c r="J143" i="7"/>
  <c r="J142" i="7" s="1"/>
  <c r="J145" i="7" s="1"/>
  <c r="J112" i="7"/>
  <c r="R143" i="7"/>
  <c r="R142" i="7" s="1"/>
  <c r="R145" i="7" s="1"/>
  <c r="R112" i="7"/>
  <c r="Z143" i="7"/>
  <c r="Z142" i="7" s="1"/>
  <c r="Z145" i="7" s="1"/>
  <c r="Z112" i="7"/>
  <c r="H150" i="7"/>
  <c r="H151" i="7" s="1"/>
  <c r="H144" i="7"/>
  <c r="P150" i="7"/>
  <c r="P144" i="7"/>
  <c r="X150" i="7"/>
  <c r="X144" i="7"/>
  <c r="I146" i="7"/>
  <c r="I151" i="7" s="1"/>
  <c r="I153" i="7" s="1"/>
  <c r="C130" i="7"/>
  <c r="C131" i="7" s="1"/>
  <c r="K33" i="6"/>
  <c r="I150" i="7"/>
  <c r="I144" i="7"/>
  <c r="Q150" i="7"/>
  <c r="Q144" i="7"/>
  <c r="Y150" i="7"/>
  <c r="Y144" i="7"/>
  <c r="K47" i="7"/>
  <c r="AA47" i="7"/>
  <c r="S112" i="7"/>
  <c r="D152" i="7"/>
  <c r="M152" i="7"/>
  <c r="L147" i="7"/>
  <c r="L146" i="7" s="1"/>
  <c r="L151" i="7" s="1"/>
  <c r="L153" i="7" s="1"/>
  <c r="L49" i="7"/>
  <c r="T49" i="7"/>
  <c r="C98" i="7"/>
  <c r="F152" i="7"/>
  <c r="N152" i="7"/>
  <c r="J98" i="7"/>
  <c r="D128" i="7"/>
  <c r="M128" i="7"/>
  <c r="U128" i="7"/>
  <c r="D147" i="7"/>
  <c r="D149" i="7"/>
  <c r="F128" i="7"/>
  <c r="N128" i="7"/>
  <c r="V128" i="7"/>
  <c r="F147" i="7"/>
  <c r="F146" i="7" s="1"/>
  <c r="F151" i="7" s="1"/>
  <c r="N147" i="7"/>
  <c r="N146" i="7" s="1"/>
  <c r="G128" i="7"/>
  <c r="O128" i="7"/>
  <c r="W128" i="7"/>
  <c r="G147" i="7"/>
  <c r="G146" i="7" s="1"/>
  <c r="G151" i="7" s="1"/>
  <c r="G153" i="7" s="1"/>
  <c r="W149" i="7"/>
  <c r="H128" i="7"/>
  <c r="P128" i="7"/>
  <c r="X128" i="7"/>
  <c r="I128" i="7"/>
  <c r="Q128" i="7"/>
  <c r="Y128" i="7"/>
  <c r="J128" i="7"/>
  <c r="R128" i="7"/>
  <c r="Z128" i="7"/>
  <c r="J147" i="7"/>
  <c r="J146" i="7" s="1"/>
  <c r="J151" i="7" s="1"/>
  <c r="J153" i="7" l="1"/>
  <c r="H153" i="7"/>
  <c r="K153" i="7"/>
  <c r="F153" i="7"/>
  <c r="K154" i="7"/>
  <c r="AD67" i="4"/>
  <c r="D146" i="7"/>
  <c r="D151" i="7" s="1"/>
  <c r="D153" i="7" s="1"/>
  <c r="AC67" i="4"/>
  <c r="AG67" i="4"/>
  <c r="AE67" i="4"/>
  <c r="AO67" i="4"/>
  <c r="C146" i="7"/>
  <c r="C24" i="6"/>
  <c r="C28" i="6"/>
  <c r="AS67" i="4"/>
  <c r="AL67" i="4"/>
  <c r="AQ67" i="4"/>
  <c r="R153" i="7"/>
  <c r="N151" i="7"/>
  <c r="N153" i="7" s="1"/>
  <c r="Z133" i="7"/>
  <c r="Z111" i="7"/>
  <c r="Q142" i="7"/>
  <c r="Q145" i="7" s="1"/>
  <c r="N133" i="7"/>
  <c r="N138" i="7" s="1"/>
  <c r="N111" i="7"/>
  <c r="W142" i="7"/>
  <c r="W145" i="7" s="1"/>
  <c r="M51" i="7"/>
  <c r="M135" i="7" s="1"/>
  <c r="M137" i="7" s="1"/>
  <c r="M49" i="7"/>
  <c r="C34" i="6"/>
  <c r="C13" i="6"/>
  <c r="C29" i="6"/>
  <c r="L111" i="7"/>
  <c r="L133" i="7"/>
  <c r="L138" i="7" s="1"/>
  <c r="L139" i="7" s="1"/>
  <c r="Y151" i="7"/>
  <c r="Y153" i="7" s="1"/>
  <c r="I139" i="7"/>
  <c r="P147" i="7"/>
  <c r="P146" i="7" s="1"/>
  <c r="P151" i="7" s="1"/>
  <c r="P153" i="7" s="1"/>
  <c r="P91" i="7"/>
  <c r="P92" i="7" s="1"/>
  <c r="O133" i="7"/>
  <c r="O138" i="7" s="1"/>
  <c r="O111" i="7"/>
  <c r="L154" i="7"/>
  <c r="T154" i="7"/>
  <c r="M153" i="7"/>
  <c r="V139" i="7"/>
  <c r="R133" i="7"/>
  <c r="R111" i="7"/>
  <c r="W146" i="7"/>
  <c r="W151" i="7" s="1"/>
  <c r="W153" i="7" s="1"/>
  <c r="Z151" i="7"/>
  <c r="Z153" i="7" s="1"/>
  <c r="C111" i="7"/>
  <c r="C133" i="7"/>
  <c r="C33" i="6"/>
  <c r="W133" i="7"/>
  <c r="W138" i="7" s="1"/>
  <c r="W111" i="7"/>
  <c r="I133" i="7"/>
  <c r="I138" i="7" s="1"/>
  <c r="I111" i="7"/>
  <c r="X133" i="7"/>
  <c r="X138" i="7" s="1"/>
  <c r="X139" i="7" s="1"/>
  <c r="X111" i="7"/>
  <c r="U151" i="7"/>
  <c r="U153" i="7" s="1"/>
  <c r="F133" i="7"/>
  <c r="F138" i="7" s="1"/>
  <c r="F111" i="7"/>
  <c r="N139" i="7"/>
  <c r="S133" i="7"/>
  <c r="S138" i="7" s="1"/>
  <c r="S139" i="7" s="1"/>
  <c r="S111" i="7"/>
  <c r="R154" i="7"/>
  <c r="P133" i="7"/>
  <c r="P138" i="7" s="1"/>
  <c r="P111" i="7"/>
  <c r="F142" i="7"/>
  <c r="F145" i="7" s="1"/>
  <c r="F154" i="7" s="1"/>
  <c r="M133" i="7"/>
  <c r="M138" i="7" s="1"/>
  <c r="M139" i="7" s="1"/>
  <c r="M111" i="7"/>
  <c r="G133" i="7"/>
  <c r="G138" i="7" s="1"/>
  <c r="G139" i="7" s="1"/>
  <c r="G111" i="7"/>
  <c r="C47" i="7"/>
  <c r="C150" i="7"/>
  <c r="C151" i="7" s="1"/>
  <c r="C153" i="7" s="1"/>
  <c r="C34" i="7"/>
  <c r="C44" i="7" s="1"/>
  <c r="C144" i="7"/>
  <c r="D51" i="7"/>
  <c r="D135" i="7" s="1"/>
  <c r="D137" i="7" s="1"/>
  <c r="D49" i="7"/>
  <c r="C142" i="7"/>
  <c r="C145" i="7" s="1"/>
  <c r="Q91" i="7"/>
  <c r="Q92" i="7" s="1"/>
  <c r="V151" i="7"/>
  <c r="V153" i="7" s="1"/>
  <c r="S148" i="7"/>
  <c r="S146" i="7" s="1"/>
  <c r="S151" i="7" s="1"/>
  <c r="S15" i="3"/>
  <c r="V154" i="7"/>
  <c r="U133" i="7"/>
  <c r="U111" i="7"/>
  <c r="X142" i="7"/>
  <c r="X145" i="7" s="1"/>
  <c r="F139" i="7"/>
  <c r="AA51" i="7"/>
  <c r="AA135" i="7" s="1"/>
  <c r="AA137" i="7" s="1"/>
  <c r="AA49" i="7"/>
  <c r="P142" i="7"/>
  <c r="P145" i="7" s="1"/>
  <c r="AA133" i="7"/>
  <c r="AA138" i="7" s="1"/>
  <c r="AA139" i="7" s="1"/>
  <c r="AA111" i="7"/>
  <c r="M142" i="7"/>
  <c r="M145" i="7" s="1"/>
  <c r="M154" i="7" s="1"/>
  <c r="G142" i="7"/>
  <c r="G145" i="7" s="1"/>
  <c r="G154" i="7" s="1"/>
  <c r="U91" i="7"/>
  <c r="U92" i="7" s="1"/>
  <c r="Z51" i="7"/>
  <c r="Z135" i="7" s="1"/>
  <c r="Z137" i="7" s="1"/>
  <c r="Z49" i="7"/>
  <c r="C54" i="7"/>
  <c r="C66" i="7" s="1"/>
  <c r="C67" i="7" s="1"/>
  <c r="R51" i="7"/>
  <c r="R135" i="7" s="1"/>
  <c r="R137" i="7" s="1"/>
  <c r="R49" i="7"/>
  <c r="J51" i="7"/>
  <c r="J135" i="7" s="1"/>
  <c r="J137" i="7" s="1"/>
  <c r="J49" i="7"/>
  <c r="P139" i="7"/>
  <c r="I142" i="7"/>
  <c r="I145" i="7" s="1"/>
  <c r="I154" i="7" s="1"/>
  <c r="J133" i="7"/>
  <c r="J138" i="7" s="1"/>
  <c r="J139" i="7" s="1"/>
  <c r="J111" i="7"/>
  <c r="W139" i="7"/>
  <c r="K51" i="7"/>
  <c r="K135" i="7" s="1"/>
  <c r="K137" i="7" s="1"/>
  <c r="K138" i="7" s="1"/>
  <c r="K139" i="7" s="1"/>
  <c r="K49" i="7"/>
  <c r="J154" i="7"/>
  <c r="Y133" i="7"/>
  <c r="Y138" i="7" s="1"/>
  <c r="Y139" i="7" s="1"/>
  <c r="Y111" i="7"/>
  <c r="H133" i="7"/>
  <c r="H138" i="7" s="1"/>
  <c r="H139" i="7" s="1"/>
  <c r="H111" i="7"/>
  <c r="O149" i="7"/>
  <c r="O147" i="7"/>
  <c r="D133" i="7"/>
  <c r="D138" i="7" s="1"/>
  <c r="D139" i="7" s="1"/>
  <c r="D111" i="7"/>
  <c r="X146" i="7"/>
  <c r="X151" i="7" s="1"/>
  <c r="X153" i="7" s="1"/>
  <c r="U51" i="7"/>
  <c r="U135" i="7" s="1"/>
  <c r="U137" i="7" s="1"/>
  <c r="U49" i="7"/>
  <c r="K15" i="8"/>
  <c r="L7" i="8" s="1"/>
  <c r="L15" i="8" s="1"/>
  <c r="M7" i="8" s="1"/>
  <c r="M15" i="8" s="1"/>
  <c r="N7" i="8" s="1"/>
  <c r="N15" i="8" s="1"/>
  <c r="P7" i="8" s="1"/>
  <c r="P15" i="8" s="1"/>
  <c r="O7" i="8"/>
  <c r="O15" i="8" s="1"/>
  <c r="X15" i="3"/>
  <c r="Q133" i="7"/>
  <c r="Q138" i="7" s="1"/>
  <c r="Q111" i="7"/>
  <c r="Q139" i="7"/>
  <c r="O139" i="7"/>
  <c r="Y142" i="7"/>
  <c r="Y145" i="7" s="1"/>
  <c r="H142" i="7"/>
  <c r="H145" i="7" s="1"/>
  <c r="H154" i="7" s="1"/>
  <c r="V133" i="7"/>
  <c r="V138" i="7" s="1"/>
  <c r="V111" i="7"/>
  <c r="D154" i="7"/>
  <c r="Q151" i="7"/>
  <c r="Q153" i="7" s="1"/>
  <c r="AA151" i="7"/>
  <c r="X91" i="7"/>
  <c r="X92" i="7" s="1"/>
  <c r="V69" i="4"/>
  <c r="AP67" i="4"/>
  <c r="T133" i="7"/>
  <c r="T138" i="7" s="1"/>
  <c r="T139" i="7" s="1"/>
  <c r="T111" i="7"/>
  <c r="O146" i="7" l="1"/>
  <c r="O151" i="7" s="1"/>
  <c r="O153" i="7" s="1"/>
  <c r="Y154" i="7"/>
  <c r="N154" i="7"/>
  <c r="P154" i="7"/>
  <c r="Q154" i="7"/>
  <c r="S153" i="7"/>
  <c r="S154" i="7"/>
  <c r="AA153" i="7"/>
  <c r="AA154" i="7"/>
  <c r="U138" i="7"/>
  <c r="U139" i="7" s="1"/>
  <c r="C154" i="7"/>
  <c r="C138" i="7"/>
  <c r="C139" i="7" s="1"/>
  <c r="Z138" i="7"/>
  <c r="Z139" i="7" s="1"/>
  <c r="W154" i="7"/>
  <c r="X27" i="3"/>
  <c r="X28" i="3" s="1"/>
  <c r="X20" i="3"/>
  <c r="X24" i="3" s="1"/>
  <c r="X25" i="3" s="1"/>
  <c r="S27" i="3"/>
  <c r="S28" i="3" s="1"/>
  <c r="S20" i="3"/>
  <c r="S24" i="3" s="1"/>
  <c r="S25" i="3" s="1"/>
  <c r="Z154" i="7"/>
  <c r="U154" i="7"/>
  <c r="X154" i="7"/>
  <c r="C51" i="7"/>
  <c r="C135" i="7" s="1"/>
  <c r="C137" i="7" s="1"/>
  <c r="C49" i="7"/>
  <c r="R138" i="7"/>
  <c r="R139" i="7" s="1"/>
  <c r="C15" i="6"/>
  <c r="C17" i="6"/>
  <c r="O154" i="7"/>
  <c r="C18" i="6" l="1"/>
</calcChain>
</file>

<file path=xl/sharedStrings.xml><?xml version="1.0" encoding="utf-8"?>
<sst xmlns="http://schemas.openxmlformats.org/spreadsheetml/2006/main" count="567" uniqueCount="387">
  <si>
    <t xml:space="preserve"> </t>
  </si>
  <si>
    <t>FS Indústria de Biocombustíveis Ltda (“FS Ltda") and FS I Indústria de Etanol S.A. (“FS S.A.”) 
(combined as "Company" or "FS") announce their consolidated results.</t>
  </si>
  <si>
    <t>Statements of financial position</t>
  </si>
  <si>
    <t>FY18</t>
  </si>
  <si>
    <t>FY19</t>
  </si>
  <si>
    <t>FY20</t>
  </si>
  <si>
    <t>1Q21</t>
  </si>
  <si>
    <t>2Q21</t>
  </si>
  <si>
    <t>3Q21</t>
  </si>
  <si>
    <t>FY21</t>
  </si>
  <si>
    <t>1Q22</t>
  </si>
  <si>
    <t>2Q22</t>
  </si>
  <si>
    <t>3Q22</t>
  </si>
  <si>
    <t>FY22</t>
  </si>
  <si>
    <t>1Q23</t>
  </si>
  <si>
    <t>2Q23</t>
  </si>
  <si>
    <t>3Q23</t>
  </si>
  <si>
    <t>FY23</t>
  </si>
  <si>
    <t>1Q24</t>
  </si>
  <si>
    <t>2Q24</t>
  </si>
  <si>
    <t>3Q24</t>
  </si>
  <si>
    <t>FY24</t>
  </si>
  <si>
    <t>1Q25</t>
  </si>
  <si>
    <t>2Q25</t>
  </si>
  <si>
    <t>(in BRL thousands)</t>
  </si>
  <si>
    <t>Cash and cash equivalents</t>
  </si>
  <si>
    <t>Financial investments</t>
  </si>
  <si>
    <t xml:space="preserve">Restricted cash </t>
  </si>
  <si>
    <t>Trade and other receivables</t>
  </si>
  <si>
    <t>Trade and other receivables related parties</t>
  </si>
  <si>
    <t>Inventories</t>
  </si>
  <si>
    <t>Advances to suppliers</t>
  </si>
  <si>
    <t>Income tax and social contribution</t>
  </si>
  <si>
    <t>Recoverable taxes</t>
  </si>
  <si>
    <t>Prepaid expenses</t>
  </si>
  <si>
    <t>Biological assets</t>
  </si>
  <si>
    <t>Derivative financial instrument</t>
  </si>
  <si>
    <t>Other credits</t>
  </si>
  <si>
    <t>Total current assets</t>
  </si>
  <si>
    <t xml:space="preserve">Trade and other receivables </t>
  </si>
  <si>
    <t>Restricted cash</t>
  </si>
  <si>
    <t xml:space="preserve">Recoverable taxes </t>
  </si>
  <si>
    <t>Derivative financial instruments</t>
  </si>
  <si>
    <t>Deferred taxes assets</t>
  </si>
  <si>
    <t>Related parties loans</t>
  </si>
  <si>
    <t>Judicial deposits</t>
  </si>
  <si>
    <t>Total long-term assets</t>
  </si>
  <si>
    <t>Investments</t>
  </si>
  <si>
    <t>Property, plant and equipment</t>
  </si>
  <si>
    <t>Intangible assets</t>
  </si>
  <si>
    <t>Total non-current assets</t>
  </si>
  <si>
    <t>Total Assets</t>
  </si>
  <si>
    <t>Trade payables</t>
  </si>
  <si>
    <t>Loans and borrowings</t>
  </si>
  <si>
    <t>Advances from customers</t>
  </si>
  <si>
    <t>Lease payables</t>
  </si>
  <si>
    <t>Income tax and social contribution payable</t>
  </si>
  <si>
    <t>Taxes and contributions payable</t>
  </si>
  <si>
    <t>Payroll and related changes</t>
  </si>
  <si>
    <t>Dividends payable</t>
  </si>
  <si>
    <t>Total current liabilities</t>
  </si>
  <si>
    <t>Loans with related parties</t>
  </si>
  <si>
    <t>Deferred taxes liabilities</t>
  </si>
  <si>
    <t>Provision for contingencies</t>
  </si>
  <si>
    <t>Total non-current liabilities</t>
  </si>
  <si>
    <t>Capital</t>
  </si>
  <si>
    <t>Net parent investment</t>
  </si>
  <si>
    <t>Capital reserve</t>
  </si>
  <si>
    <t>Tax incentive reserve</t>
  </si>
  <si>
    <t>Retained earnings</t>
  </si>
  <si>
    <t>Cumulative translation adjustment</t>
  </si>
  <si>
    <t>Other comprehensive results</t>
  </si>
  <si>
    <t>Total equity</t>
  </si>
  <si>
    <t>Total liabilities and equity</t>
  </si>
  <si>
    <t>FS Indústria de Biocombustíveis Ltda (“FS Ltda") and FS I Indústria de Etanol S.A. (“FS S.A.”) (combined as "Company" or "FS") announce their consolidated results.</t>
  </si>
  <si>
    <t>Statement of income</t>
  </si>
  <si>
    <t>4Q21</t>
  </si>
  <si>
    <t>4Q22</t>
  </si>
  <si>
    <t>4Q23</t>
  </si>
  <si>
    <t>4Q24</t>
  </si>
  <si>
    <t>Operational net revenue</t>
  </si>
  <si>
    <t xml:space="preserve">Cost of goods sold </t>
  </si>
  <si>
    <t>Gross profit</t>
  </si>
  <si>
    <t>gross margin</t>
  </si>
  <si>
    <t>Selling expenses</t>
  </si>
  <si>
    <t>Administrative expenses</t>
  </si>
  <si>
    <t>Other results</t>
  </si>
  <si>
    <t>Operational income/(expenses)</t>
  </si>
  <si>
    <t>Profit before net finance costs and taxes</t>
  </si>
  <si>
    <t>Finance income</t>
  </si>
  <si>
    <t>Finance expenses</t>
  </si>
  <si>
    <t>Foreign exchange rate variations, net</t>
  </si>
  <si>
    <t>Net finance costs</t>
  </si>
  <si>
    <t>Profit (loss) before income and social contribuiton taxes</t>
  </si>
  <si>
    <t>Current income and social contribution taxes</t>
  </si>
  <si>
    <t>Deferred income and social contribution taxes</t>
  </si>
  <si>
    <t>Income tax incentives</t>
  </si>
  <si>
    <t>Net profit  / (loss) for the period</t>
  </si>
  <si>
    <t>net margin</t>
  </si>
  <si>
    <t>EBIT</t>
  </si>
  <si>
    <t>ebit margin</t>
  </si>
  <si>
    <t>EBITDA</t>
  </si>
  <si>
    <t>ebitda margin</t>
  </si>
  <si>
    <t>Statement of cash flow</t>
  </si>
  <si>
    <t>6M21</t>
  </si>
  <si>
    <t>9M21</t>
  </si>
  <si>
    <t>6M22</t>
  </si>
  <si>
    <t>9M22</t>
  </si>
  <si>
    <t>6M23</t>
  </si>
  <si>
    <t>9M23</t>
  </si>
  <si>
    <t>6M24</t>
  </si>
  <si>
    <t>9M24</t>
  </si>
  <si>
    <t>6M25</t>
  </si>
  <si>
    <t>FY20
vs FY19</t>
  </si>
  <si>
    <t>FY21
vs FY20</t>
  </si>
  <si>
    <t>FY22
vs FY21</t>
  </si>
  <si>
    <t>FY23
vs FY22</t>
  </si>
  <si>
    <t>FY24
vs FY23</t>
  </si>
  <si>
    <t>Adjustment for:</t>
  </si>
  <si>
    <t xml:space="preserve">Depreciation and amortization </t>
  </si>
  <si>
    <t>Income from financial investments and restricted cash</t>
  </si>
  <si>
    <t>Current and deferred income tax and social contribution</t>
  </si>
  <si>
    <t>Foreign exchange rate (gains) or losses</t>
  </si>
  <si>
    <t>Adjustment to fair value of derivatives</t>
  </si>
  <si>
    <t>Adjustments to present value - biological assets</t>
  </si>
  <si>
    <t xml:space="preserve">Adjustments to present value </t>
  </si>
  <si>
    <t>Interest and amortization of transaction cost</t>
  </si>
  <si>
    <t xml:space="preserve">Provision for interest on loans with related parties </t>
  </si>
  <si>
    <t>Adjustment to fair value - Cbios</t>
  </si>
  <si>
    <t>Allowance of expected credit losses</t>
  </si>
  <si>
    <t>Results on the sale of assets</t>
  </si>
  <si>
    <t>Changes in:</t>
  </si>
  <si>
    <t>Trade receivables</t>
  </si>
  <si>
    <t xml:space="preserve">Inventories </t>
  </si>
  <si>
    <t xml:space="preserve">Recoverables taxes </t>
  </si>
  <si>
    <t>Loan with related parties</t>
  </si>
  <si>
    <t>Prepaid expanses</t>
  </si>
  <si>
    <t>Other assets</t>
  </si>
  <si>
    <t xml:space="preserve">Advances to suppliers </t>
  </si>
  <si>
    <t xml:space="preserve">Trade payables </t>
  </si>
  <si>
    <t xml:space="preserve">Advance from customers </t>
  </si>
  <si>
    <t xml:space="preserve">Payroll and related charges </t>
  </si>
  <si>
    <t xml:space="preserve">Taxes and contributions payable </t>
  </si>
  <si>
    <t>Other payables</t>
  </si>
  <si>
    <t>Interest payment on loans and borrowings</t>
  </si>
  <si>
    <t>Interest payment on suppliers and other financial obligations</t>
  </si>
  <si>
    <t>Interest redeemed from short term investments</t>
  </si>
  <si>
    <t>Interest redeemed from restricted cash</t>
  </si>
  <si>
    <t xml:space="preserve">Income tax paid </t>
  </si>
  <si>
    <t xml:space="preserve">Net cash (used in) generated from operation activities (a) </t>
  </si>
  <si>
    <t xml:space="preserve">Cash flow from investing activities </t>
  </si>
  <si>
    <t>Acquisition of property, plant and equipment</t>
  </si>
  <si>
    <t>Proceeds from sale of property, plant and equipment</t>
  </si>
  <si>
    <t>Proceeds from sale of biological assets</t>
  </si>
  <si>
    <t>Interest and charges paid over capitalized interest</t>
  </si>
  <si>
    <t xml:space="preserve">Acquisition of intangible assets </t>
  </si>
  <si>
    <t>Loans from related parties</t>
  </si>
  <si>
    <t>Purchase of financial investments and increase in restricted cash</t>
  </si>
  <si>
    <t>Redeemed financial investments and restricted cash</t>
  </si>
  <si>
    <t xml:space="preserve">Biologic assets </t>
  </si>
  <si>
    <t xml:space="preserve">Investments in parent company </t>
  </si>
  <si>
    <t xml:space="preserve">Net cash generated from investing activities (b) </t>
  </si>
  <si>
    <t xml:space="preserve">Cash flow from financing activities </t>
  </si>
  <si>
    <t>Loans received, net of transaction costs</t>
  </si>
  <si>
    <t>Repayment of loans and borrowings</t>
  </si>
  <si>
    <t>Foreign currency translation effect</t>
  </si>
  <si>
    <t>Dividends paid</t>
  </si>
  <si>
    <t xml:space="preserve">Lease paid </t>
  </si>
  <si>
    <t xml:space="preserve">Capital increase </t>
  </si>
  <si>
    <t xml:space="preserve">Derivative financial instruments paid </t>
  </si>
  <si>
    <t xml:space="preserve">Loans paid to related parties </t>
  </si>
  <si>
    <t xml:space="preserve">Net cash used in financing activities (c) </t>
  </si>
  <si>
    <t>Foreign currency translation adjustment</t>
  </si>
  <si>
    <t xml:space="preserve">(Decrease) increase in cash and cash equivalents (d) = (a) + (b) + (c) </t>
  </si>
  <si>
    <t xml:space="preserve">Cash and cash equivalents at the beginning of the period </t>
  </si>
  <si>
    <t xml:space="preserve">Cash and cash equivalents at the end of the period </t>
  </si>
  <si>
    <t>Changes in Working Capital</t>
  </si>
  <si>
    <t>Net Debt Cash Flow</t>
  </si>
  <si>
    <t>1Q21 ¹</t>
  </si>
  <si>
    <t>2Q21 ¹</t>
  </si>
  <si>
    <t>3Q21 ¹</t>
  </si>
  <si>
    <t>4Q21 ¹</t>
  </si>
  <si>
    <t>1Q21 LTM¹</t>
  </si>
  <si>
    <t>2Q21 LTM¹</t>
  </si>
  <si>
    <t>3Q21 LTM¹</t>
  </si>
  <si>
    <t>1Q22 LTM</t>
  </si>
  <si>
    <t>2Q22 LTM</t>
  </si>
  <si>
    <t>3Q22 LTM</t>
  </si>
  <si>
    <t>1Q23 LTM</t>
  </si>
  <si>
    <t>2Q23 LTM</t>
  </si>
  <si>
    <t>3Q23 LTM</t>
  </si>
  <si>
    <t>1Q24 LTM</t>
  </si>
  <si>
    <t>2Q24 LTM</t>
  </si>
  <si>
    <t>3Q24 LTM</t>
  </si>
  <si>
    <t>1Q25 LTM</t>
  </si>
  <si>
    <t>2Q25 LTM</t>
  </si>
  <si>
    <t>Net Debt BoP</t>
  </si>
  <si>
    <t>Working Capital</t>
  </si>
  <si>
    <t>Income Taxes paid</t>
  </si>
  <si>
    <t>CFO</t>
  </si>
  <si>
    <t>Capex</t>
  </si>
  <si>
    <t>Net Interest</t>
  </si>
  <si>
    <t xml:space="preserve">Impact from FX, Derivatives and Others  </t>
  </si>
  <si>
    <t>Dividends Paid / Tax Distribution</t>
  </si>
  <si>
    <t xml:space="preserve">Loans with related parties </t>
  </si>
  <si>
    <t>Net Debt EoP</t>
  </si>
  <si>
    <t>Change in Net Debt</t>
  </si>
  <si>
    <t>¹ In 1Q21, 2Q21, 3Q21 and 4Q21 there was a change in the allocation criteria between the "Working Capital + Others" line and "FX and Derivat. Impact" line.</t>
  </si>
  <si>
    <t>Debt</t>
  </si>
  <si>
    <t>12M18</t>
  </si>
  <si>
    <t>12M19</t>
  </si>
  <si>
    <t>12M20</t>
  </si>
  <si>
    <t>Project Finance</t>
  </si>
  <si>
    <t>Other working capital lines</t>
  </si>
  <si>
    <t>Gross debt</t>
  </si>
  <si>
    <t>Total cash 4</t>
  </si>
  <si>
    <t>Net debt</t>
  </si>
  <si>
    <t>EBITDA (LTM)</t>
  </si>
  <si>
    <t>Net debt / EBITDA (LTM)</t>
  </si>
  <si>
    <t>Readily Marketable Inventories - RMI</t>
  </si>
  <si>
    <t>Net debt adjusted by RMI</t>
  </si>
  <si>
    <t xml:space="preserve">Net debt adjusted by RMI / EBITDA (LTM) </t>
  </si>
  <si>
    <t>Debt profile</t>
  </si>
  <si>
    <t>Short-term debt</t>
  </si>
  <si>
    <t>Long-term debt</t>
  </si>
  <si>
    <t>Short term (%)</t>
  </si>
  <si>
    <t>Long term (%)</t>
  </si>
  <si>
    <t>Working capital debt</t>
  </si>
  <si>
    <t>Project Finance (%)</t>
  </si>
  <si>
    <t>Working capital debt (%)</t>
  </si>
  <si>
    <t>Foreign currency</t>
  </si>
  <si>
    <t>National currency</t>
  </si>
  <si>
    <t>Foreign currency (%)</t>
  </si>
  <si>
    <t>National currency (%)</t>
  </si>
  <si>
    <t>4 Includes cash and cash equivalents, financial investments, and restricted cash (short-term and long-term).</t>
  </si>
  <si>
    <t>Operational data</t>
  </si>
  <si>
    <t>12M21¹</t>
  </si>
  <si>
    <t>12M22</t>
  </si>
  <si>
    <t>12M23</t>
  </si>
  <si>
    <t>12M24</t>
  </si>
  <si>
    <t>Production</t>
  </si>
  <si>
    <t>Corn crushed (tons)</t>
  </si>
  <si>
    <t>Biomass consumption (m³)</t>
  </si>
  <si>
    <t>Anhydrous total produced (m³)</t>
  </si>
  <si>
    <t>Ethanol produced (m³)</t>
  </si>
  <si>
    <t>Ethanol production yield (Ltr/ton)</t>
  </si>
  <si>
    <t>Anhydrous produced (m³)</t>
  </si>
  <si>
    <t>Hydrous produced (m³)</t>
  </si>
  <si>
    <t>% anhydrous volume produced</t>
  </si>
  <si>
    <t xml:space="preserve">DDGs produced (tons) </t>
  </si>
  <si>
    <t>DDG High-protein (tons)</t>
  </si>
  <si>
    <t>DDG High-fiber (tons)</t>
  </si>
  <si>
    <t>Wetcake (tons)</t>
  </si>
  <si>
    <t>Corn oil produced (tons)</t>
  </si>
  <si>
    <t>Net revenue from industrial segments</t>
  </si>
  <si>
    <t>Ethanol segment</t>
  </si>
  <si>
    <t>Anhydrous ethanol</t>
  </si>
  <si>
    <t>Hydrous ethanol</t>
  </si>
  <si>
    <t>Animal nutrition segment</t>
  </si>
  <si>
    <t>DDG High-protein</t>
  </si>
  <si>
    <t>DDG High-fiber</t>
  </si>
  <si>
    <t>Wetcake</t>
  </si>
  <si>
    <t>Corn oil</t>
  </si>
  <si>
    <t>Energy co-generation</t>
  </si>
  <si>
    <t>Energy</t>
  </si>
  <si>
    <t>Steam</t>
  </si>
  <si>
    <t>Total segment revenue</t>
  </si>
  <si>
    <t>Net revenue from marketing segments</t>
  </si>
  <si>
    <t>Corn Marketing</t>
  </si>
  <si>
    <t>Ethanol commercialization</t>
  </si>
  <si>
    <t>Energy resale</t>
  </si>
  <si>
    <t>Total net revenue from segments</t>
  </si>
  <si>
    <t xml:space="preserve">Reclassification - Freight on sales </t>
  </si>
  <si>
    <t>Total net revenue</t>
  </si>
  <si>
    <t>Animal nutrition + P&amp;L corn comercialization coverate ratio vs corn cost</t>
  </si>
  <si>
    <t>Net revenue Animal nutrition segment (a)</t>
  </si>
  <si>
    <t>P&amp;L corn marketing (b)</t>
  </si>
  <si>
    <t>Animal nutrition + P&amp;L corn comercialization (c = a + b)</t>
  </si>
  <si>
    <t xml:space="preserve"> Production cost - corn (d) </t>
  </si>
  <si>
    <t xml:space="preserve"> Coverage rate (e) = (c / d) ¹</t>
  </si>
  <si>
    <t>Cost of industrial product sold</t>
  </si>
  <si>
    <t xml:space="preserve">Net revenue from industrial segments (a) </t>
  </si>
  <si>
    <t xml:space="preserve">Variable cost (b) </t>
  </si>
  <si>
    <t xml:space="preserve"> Cost of corn crushed</t>
  </si>
  <si>
    <t>Inventory adjustment</t>
  </si>
  <si>
    <t xml:space="preserve"> Biomass costs </t>
  </si>
  <si>
    <t xml:space="preserve"> Chemicals and enzymes </t>
  </si>
  <si>
    <t xml:space="preserve">Fixed cost (c) </t>
  </si>
  <si>
    <t xml:space="preserve"> Maintenance </t>
  </si>
  <si>
    <t xml:space="preserve"> Labor </t>
  </si>
  <si>
    <t xml:space="preserve"> Depreciation </t>
  </si>
  <si>
    <t xml:space="preserve"> Other production costs </t>
  </si>
  <si>
    <t xml:space="preserve">Cost of industrial product sold (d) = (b) + (c) </t>
  </si>
  <si>
    <t>Gross profit of industrial product sold (e) = (a) + (d)</t>
  </si>
  <si>
    <t xml:space="preserve">Gross margin of industrial product sold (f) = (e) / (a) </t>
  </si>
  <si>
    <t xml:space="preserve"> Corn Crushed cost - in BRL per sac </t>
  </si>
  <si>
    <t xml:space="preserve"> Biomass cost - in BRL per m³ </t>
  </si>
  <si>
    <t>Cost of marketing good sold</t>
  </si>
  <si>
    <t xml:space="preserve">Net revenue from marketing segments (g) </t>
  </si>
  <si>
    <t xml:space="preserve">Cost of marketing goods sold (h) </t>
  </si>
  <si>
    <t xml:space="preserve">Cost of goods sold (Corn) </t>
  </si>
  <si>
    <t xml:space="preserve">Cost of goods sold (Ethanol) </t>
  </si>
  <si>
    <t xml:space="preserve">Cost of goods sold (Energy) </t>
  </si>
  <si>
    <t>Gross profit of marketing segments (i) = (g) + (h)</t>
  </si>
  <si>
    <t>Gross margin of marketing segments (j) = (i) / (g)</t>
  </si>
  <si>
    <t>P&amp;L MTM corn marketing contracted volumes (k)</t>
  </si>
  <si>
    <t>Gross profit of marketing segments with MTM (l) = (i) + (k)</t>
  </si>
  <si>
    <t>Total Cost</t>
  </si>
  <si>
    <t>Reclassification - Freight on sales (total) (m)</t>
  </si>
  <si>
    <t>Net revenue (n) = (a) + (g) + (m)</t>
  </si>
  <si>
    <t xml:space="preserve">Cost of industrial product sold (d) </t>
  </si>
  <si>
    <t>P&amp;L MTM corn marketing contrated volumes (k)</t>
  </si>
  <si>
    <t>Total cost (o) = (d) + (h) + (k)</t>
  </si>
  <si>
    <t>Gross profit (p) = (n) + (o)</t>
  </si>
  <si>
    <t>Gross margin (q) = (p) / (n)</t>
  </si>
  <si>
    <t>Volume sales</t>
  </si>
  <si>
    <t>Ethanol sold (m3)</t>
  </si>
  <si>
    <t>Anhydrous ethanol sold (m3)</t>
  </si>
  <si>
    <t>Hydrous ethanol sold (m3)</t>
  </si>
  <si>
    <t>% anhydrous volume sold</t>
  </si>
  <si>
    <t>Animal nutrition</t>
  </si>
  <si>
    <t>Total DDGs (tons)</t>
  </si>
  <si>
    <t>Corn oil (tons)</t>
  </si>
  <si>
    <t>Energy cogenaration (MWh)</t>
  </si>
  <si>
    <t>Energy resale (MWh)</t>
  </si>
  <si>
    <t>Corn resale (tons)</t>
  </si>
  <si>
    <t>Prices</t>
  </si>
  <si>
    <t>ESALQ Hydrous SP (BRL/ltr)</t>
  </si>
  <si>
    <t>Basis (BRL/ltr)</t>
  </si>
  <si>
    <t>Ethanol sold (BRL/ltr)</t>
  </si>
  <si>
    <t>Anhydrous ethanol sold (BRL/ltr)</t>
  </si>
  <si>
    <t>Hydrous ethanol sold (BRL/ltr)</t>
  </si>
  <si>
    <t>DDG High-protein (BRL/tons)</t>
  </si>
  <si>
    <t>DDG High-fiber (BRL/tons)</t>
  </si>
  <si>
    <t>Wetcake (BRL/tons)</t>
  </si>
  <si>
    <t>Corn oil (BRL/tons)</t>
  </si>
  <si>
    <t>Energy cogeneration (BRL/MWh)</t>
  </si>
  <si>
    <t>Corn marketing (BRL/tons)</t>
  </si>
  <si>
    <t>Cost of corn crushed (BRL/sac)</t>
  </si>
  <si>
    <t>Cost of biomass (BRL/m³)</t>
  </si>
  <si>
    <t>Cost of corn marketing (BRL/sac)</t>
  </si>
  <si>
    <t>Financial highlights</t>
  </si>
  <si>
    <t>EBITDA (BRL/ltr)</t>
  </si>
  <si>
    <t>Maintenance capex</t>
  </si>
  <si>
    <t>EBITDA minus maintenance capex</t>
  </si>
  <si>
    <t>EBITDA minus maintenance capex (BRL/ltr)</t>
  </si>
  <si>
    <t>Ethanol sold (BRL/ltr) (a)</t>
  </si>
  <si>
    <t>Cost of corn (BRL/sac)</t>
  </si>
  <si>
    <t>Animal coverage rate (%)</t>
  </si>
  <si>
    <t>Yield (Ltr/ton)</t>
  </si>
  <si>
    <t>Corn cost adjusted by animal nutrition (BRL/ltr) (b) ²</t>
  </si>
  <si>
    <t>Crush spread (BRL/ltr) (c) = (a-b)</t>
  </si>
  <si>
    <t>Delta: EBITDA vs crush spread (BRL/ltr)</t>
  </si>
  <si>
    <t xml:space="preserve">Corn  ethanol production cost </t>
  </si>
  <si>
    <t>Net Revenue³</t>
  </si>
  <si>
    <t>Ethanol³</t>
  </si>
  <si>
    <t>Animal Nutrition and other segments ³,6</t>
  </si>
  <si>
    <t>Revenue ex-Animal Nutrition and other segments 6</t>
  </si>
  <si>
    <t>Total net cost (a)</t>
  </si>
  <si>
    <t>Cost of goods sold ³</t>
  </si>
  <si>
    <t>Selling, administrative and general expenses 4</t>
  </si>
  <si>
    <t>Depreciation and amortization 5</t>
  </si>
  <si>
    <t>Net revenue from animal nutrition and other segments (b) 6</t>
  </si>
  <si>
    <t>Cash costs (+) expenses (-) anim. nutr. / others (c) = (a + b) 6</t>
  </si>
  <si>
    <t>Maintenance CAPEX (d)</t>
  </si>
  <si>
    <t>Corn ethanol production cost (e) = (c + d)</t>
  </si>
  <si>
    <t>EBITDA minus Maintenance CAPEX</t>
  </si>
  <si>
    <t>¹ As of 1Q22, we started to consider the corn commercialization business segment and changed the formula for the animal nutrition coverage ratio.</t>
  </si>
  <si>
    <t>² 16.67 conversion sac to ton</t>
  </si>
  <si>
    <t>³ The items (3) and (5) are divided by ethanol sold, and the Items (4), (b) and (d) are divided by ethanol produced. (6) Other segments include: energy co-generation, corn marketing and others.</t>
  </si>
  <si>
    <t>Property, Plant, and Equipment - beginning of period (a)</t>
  </si>
  <si>
    <t>Capex: (e) = (b) + (c) + (d)</t>
  </si>
  <si>
    <t>Growth capex ² (b)</t>
  </si>
  <si>
    <t>Maintenance capex ³ (c)</t>
  </si>
  <si>
    <t>Biological assets capex (d)</t>
  </si>
  <si>
    <t>Rights of use (f)</t>
  </si>
  <si>
    <t>Depreciation (g)</t>
  </si>
  <si>
    <t>Assets sale and disposals (h)</t>
  </si>
  <si>
    <t>Property, plant and equipment - end of period (i) = (a) + (e) + (f) + (g) + (h)</t>
  </si>
  <si>
    <t>¹ Includes acquisitions and transfers.</t>
  </si>
  <si>
    <t>² Growth Capex is calculated as the sum of additions, acquisitions disposals and transfers for the following line items in the note to the financial statements entitled “Property, plant and equipment”: Land, Construction in progress, Advances to suppliers, Right of use, Bearer plant, buildings, machinery and equipment and installations.</t>
  </si>
  <si>
    <t>³ Maintenance Capex is calculated as the sum of additions, acquisitions, disposals and transfers for the following line items in the note to the financial statements entitled “Property, plant and equipment”: Buildings, Machinery and equipment, Furniture and computers, Vehicles, and Installations.</t>
  </si>
  <si>
    <t>¹ Initial issue of USD 680.0 million Senior Secured Green Notes due in 2025 ("FS Green Bond 2025") by the subsidiary FS Luxembourg s.à.r.l., ("FS Lux"). Balance on August 26th, 2024 of BRL 101.3 million. Initial issue of USD 500.0 million Senior Green Notes due in 2031 ("FS Green Bond 2031") also by the subsidiary FS Luxembourg s.à.r.l., ("FS Lux"). Balance on November 25th, 2024 of BRL 500.0 million.</t>
  </si>
  <si>
    <t>² Issuance of USD 594.2 million of CPRF (Cédula de Produtor Rural Financeira) by FS, in connection with the Bond issued. No current balance position.</t>
  </si>
  <si>
    <t>³ Certificates of receivables were "CRA", that means "Certificate of Agribusiness Receivables" and "CRI", that means "Certificate of Real Estate Receivables".</t>
  </si>
  <si>
    <t>Senior Secured Green Notes (Bond) and CPRF 1,2</t>
  </si>
  <si>
    <t>Certificate of Agribusiness and/or Real Estate Receivables (CRA/CRI)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</si>
</sst>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m/d/yyyy"/>
    <numFmt numFmtId="165" formatCode="* #,##0;* \(#,##0\);* &quot;—&quot;;_(@_)"/>
    <numFmt numFmtId="166" formatCode="#,##0;\(#,##0\);&quot;—&quot;;_(@_)"/>
    <numFmt numFmtId="167" formatCode="#0;\(#0\);&quot;—&quot;;_(@_)"/>
    <numFmt numFmtId="168" formatCode="#0.0_)%;\(#0.0\)%;&quot;-&quot;_)\%;_(@_)"/>
    <numFmt numFmtId="169" formatCode="* #,##0.00;* \(#,##0.00\);* &quot;—&quot;;_(@_)"/>
    <numFmt numFmtId="170" formatCode="#,##0.0;&quot;-&quot;#,##0.0;&quot;—&quot;;_(@_)"/>
    <numFmt numFmtId="171" formatCode="#,##0;&quot;-&quot;#,##0;&quot;—&quot;;_(@_)"/>
    <numFmt numFmtId="172" formatCode="#0.0%;&quot;-&quot;#0.0%;&quot;-&quot;\%;_(@_)"/>
    <numFmt numFmtId="173" formatCode="#0.#######################;&quot;-&quot;#0.#######################;#0.#######################;_(@_)"/>
    <numFmt numFmtId="174" formatCode="* #,##0.000;* \(#,##0.000\);* &quot;—&quot;;_(@_)"/>
    <numFmt numFmtId="175" formatCode="#,##0.000;\(#,##0.000\);&quot;—&quot;;_(@_)"/>
    <numFmt numFmtId="176" formatCode="#,##0.0;\(#,##0.0\);&quot;—&quot;;_(@_)"/>
    <numFmt numFmtId="177" formatCode="* #,##0.0;* \(#,##0.0\);* &quot;—&quot;;_(@_)"/>
  </numFmts>
  <fonts count="19" x14ac:knownFonts="1">
    <font>
      <sz val="10"/>
      <name val="Arial"/>
    </font>
    <font>
      <sz val="11"/>
      <color theme="1"/>
      <name val="Aptos Narrow"/>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sz val="8"/>
      <color rgb="FF5C6062"/>
      <name val="Montserrat"/>
    </font>
    <font>
      <sz val="11"/>
      <color rgb="FF000000"/>
      <name val="Montserrat"/>
    </font>
    <font>
      <b/>
      <sz val="8"/>
      <color rgb="FFFFFFFF"/>
      <name val="Montserrat"/>
    </font>
    <font>
      <i/>
      <sz val="8"/>
      <color rgb="FFFFFFFF"/>
      <name val="Montserrat"/>
    </font>
    <font>
      <sz val="7"/>
      <color rgb="FF5C6062"/>
      <name val="Montserrat"/>
    </font>
    <font>
      <b/>
      <sz val="7"/>
      <color rgb="FF5C6062"/>
      <name val="Montserrat"/>
    </font>
    <font>
      <sz val="8"/>
      <color rgb="FFFF0000"/>
      <name val="Montserrat"/>
    </font>
    <font>
      <sz val="8"/>
      <color rgb="FF000000"/>
      <name val="Montserrat"/>
    </font>
    <font>
      <b/>
      <sz val="11"/>
      <color rgb="FF000000"/>
      <name val="Montserrat"/>
    </font>
    <font>
      <i/>
      <sz val="7"/>
      <color rgb="FF5C6062"/>
      <name val="Montserrat"/>
    </font>
    <font>
      <sz val="7"/>
      <color rgb="FF000000"/>
      <name val="Montserrat"/>
    </font>
  </fonts>
  <fills count="4">
    <fill>
      <patternFill patternType="none"/>
    </fill>
    <fill>
      <patternFill patternType="gray125"/>
    </fill>
    <fill>
      <patternFill patternType="solid">
        <fgColor rgb="FF1B7754"/>
        <bgColor indexed="64"/>
      </patternFill>
    </fill>
    <fill>
      <patternFill patternType="solid">
        <fgColor rgb="FFFFFFFF"/>
        <bgColor indexed="64"/>
      </patternFill>
    </fill>
  </fills>
  <borders count="4">
    <border>
      <left/>
      <right/>
      <top/>
      <bottom/>
      <diagonal/>
    </border>
    <border>
      <left/>
      <right/>
      <top/>
      <bottom style="medium">
        <color rgb="FFA8D08D"/>
      </bottom>
      <diagonal/>
    </border>
    <border>
      <left/>
      <right/>
      <top style="medium">
        <color rgb="FFA8D08D"/>
      </top>
      <bottom style="medium">
        <color rgb="FFA8D08D"/>
      </bottom>
      <diagonal/>
    </border>
    <border>
      <left/>
      <right/>
      <top style="medium">
        <color rgb="FFA8D08D"/>
      </top>
      <bottom/>
      <diagonal/>
    </border>
  </borders>
  <cellStyleXfs count="7">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1" fillId="0" borderId="0"/>
  </cellStyleXfs>
  <cellXfs count="105">
    <xf numFmtId="0" fontId="0" fillId="0" borderId="0" xfId="0"/>
    <xf numFmtId="0" fontId="2" fillId="0" borderId="0" xfId="1">
      <alignment wrapText="1"/>
    </xf>
    <xf numFmtId="0" fontId="7" fillId="0" borderId="0" xfId="0" applyFont="1" applyAlignment="1">
      <alignment wrapText="1"/>
    </xf>
    <xf numFmtId="0" fontId="8" fillId="0" borderId="0" xfId="0" applyFont="1" applyAlignment="1">
      <alignment vertical="center" wrapText="1"/>
    </xf>
    <xf numFmtId="0" fontId="9" fillId="0" borderId="0" xfId="0" applyFont="1" applyAlignment="1">
      <alignment wrapText="1"/>
    </xf>
    <xf numFmtId="0" fontId="10" fillId="2" borderId="0" xfId="0" applyFont="1" applyFill="1" applyAlignment="1">
      <alignment horizontal="center" vertical="center" wrapText="1"/>
    </xf>
    <xf numFmtId="0" fontId="11" fillId="2" borderId="0" xfId="0" applyFont="1" applyFill="1" applyAlignment="1">
      <alignment horizontal="center"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horizontal="right" vertical="center" wrapText="1"/>
    </xf>
    <xf numFmtId="0" fontId="12" fillId="0" borderId="0" xfId="0" applyFont="1" applyAlignment="1">
      <alignment horizontal="right" vertical="center" wrapText="1"/>
    </xf>
    <xf numFmtId="167" fontId="12" fillId="0" borderId="0" xfId="0" applyNumberFormat="1" applyFont="1" applyAlignment="1">
      <alignment horizontal="right" vertical="center" wrapText="1"/>
    </xf>
    <xf numFmtId="0" fontId="9" fillId="0" borderId="3" xfId="0" applyFont="1" applyBorder="1" applyAlignment="1">
      <alignment wrapText="1"/>
    </xf>
    <xf numFmtId="0" fontId="14" fillId="0" borderId="0" xfId="0" applyFont="1" applyAlignment="1">
      <alignment wrapText="1"/>
    </xf>
    <xf numFmtId="0" fontId="15" fillId="0" borderId="0" xfId="0" applyFont="1" applyAlignment="1">
      <alignment wrapText="1"/>
    </xf>
    <xf numFmtId="0" fontId="16" fillId="0" borderId="0" xfId="0" applyFont="1" applyAlignment="1">
      <alignment wrapText="1"/>
    </xf>
    <xf numFmtId="0" fontId="17" fillId="0" borderId="0" xfId="0" applyFont="1" applyAlignment="1">
      <alignment horizontal="right" vertical="center" wrapText="1"/>
    </xf>
    <xf numFmtId="168" fontId="17" fillId="0" borderId="0" xfId="0" applyNumberFormat="1" applyFont="1" applyAlignment="1">
      <alignment horizontal="right" wrapText="1"/>
    </xf>
    <xf numFmtId="0" fontId="12" fillId="0" borderId="0" xfId="0" applyFont="1" applyAlignment="1">
      <alignment horizontal="left" vertical="center" wrapText="1" indent="2"/>
    </xf>
    <xf numFmtId="168" fontId="17" fillId="0" borderId="0" xfId="0" applyNumberFormat="1" applyFont="1" applyAlignment="1">
      <alignment horizontal="right" vertical="center" wrapText="1"/>
    </xf>
    <xf numFmtId="0" fontId="18" fillId="0" borderId="0" xfId="0" applyFont="1" applyAlignment="1">
      <alignment wrapText="1"/>
    </xf>
    <xf numFmtId="0" fontId="18" fillId="0" borderId="0" xfId="0" applyFont="1" applyAlignment="1">
      <alignment vertical="center" wrapText="1"/>
    </xf>
    <xf numFmtId="0" fontId="12" fillId="0" borderId="0" xfId="0" applyFont="1" applyAlignment="1">
      <alignment horizontal="left" wrapText="1"/>
    </xf>
    <xf numFmtId="166" fontId="9" fillId="0" borderId="0" xfId="0" applyNumberFormat="1" applyFont="1" applyAlignment="1">
      <alignment wrapText="1"/>
    </xf>
    <xf numFmtId="0" fontId="12" fillId="3" borderId="0" xfId="0" applyFont="1" applyFill="1" applyAlignment="1">
      <alignment horizontal="right" vertical="center" wrapText="1"/>
    </xf>
    <xf numFmtId="0" fontId="13" fillId="0" borderId="0" xfId="0" applyFont="1" applyAlignment="1">
      <alignment horizontal="right" vertical="center" wrapText="1"/>
    </xf>
    <xf numFmtId="0" fontId="12" fillId="0" borderId="3" xfId="0" applyFont="1" applyBorder="1" applyAlignment="1">
      <alignment horizontal="justify" vertical="center" wrapText="1"/>
    </xf>
    <xf numFmtId="0" fontId="2" fillId="0" borderId="3" xfId="0" applyFont="1" applyBorder="1" applyAlignment="1">
      <alignment wrapText="1"/>
    </xf>
    <xf numFmtId="0" fontId="13" fillId="0" borderId="0" xfId="0" applyFont="1" applyAlignment="1">
      <alignment horizontal="left" vertical="center" wrapText="1" indent="1"/>
    </xf>
    <xf numFmtId="0" fontId="12" fillId="0" borderId="3" xfId="0" applyFont="1" applyBorder="1" applyAlignment="1">
      <alignment horizontal="left" vertical="center" wrapText="1" indent="2"/>
    </xf>
    <xf numFmtId="0" fontId="12" fillId="0" borderId="3" xfId="0" applyFont="1" applyBorder="1" applyAlignment="1">
      <alignment vertical="center" wrapText="1"/>
    </xf>
    <xf numFmtId="0" fontId="13" fillId="0" borderId="0" xfId="0" applyFont="1" applyAlignment="1">
      <alignment vertical="center" wrapText="1"/>
    </xf>
    <xf numFmtId="0" fontId="18" fillId="0" borderId="1" xfId="0" applyFont="1" applyBorder="1" applyAlignment="1">
      <alignment wrapText="1"/>
    </xf>
    <xf numFmtId="0" fontId="13" fillId="0" borderId="2" xfId="0" applyFont="1" applyBorder="1" applyAlignment="1">
      <alignment vertical="center" wrapText="1"/>
    </xf>
    <xf numFmtId="0" fontId="12" fillId="0" borderId="0" xfId="0" applyFont="1" applyAlignment="1">
      <alignment horizontal="left" wrapText="1" indent="2"/>
    </xf>
    <xf numFmtId="0" fontId="12" fillId="3" borderId="0" xfId="0" applyFont="1" applyFill="1" applyAlignment="1">
      <alignment vertical="center" wrapText="1"/>
    </xf>
    <xf numFmtId="0" fontId="17" fillId="3" borderId="0" xfId="0" applyFont="1" applyFill="1" applyAlignment="1">
      <alignment horizontal="center" vertical="center" wrapText="1"/>
    </xf>
    <xf numFmtId="0" fontId="9" fillId="0" borderId="0" xfId="0" applyFont="1" applyAlignment="1">
      <alignment horizontal="center" wrapText="1"/>
    </xf>
    <xf numFmtId="0" fontId="11" fillId="2" borderId="1" xfId="0" applyFont="1" applyFill="1" applyBorder="1" applyAlignment="1">
      <alignment horizontal="center" vertical="center" wrapText="1"/>
    </xf>
    <xf numFmtId="0" fontId="18" fillId="0" borderId="1" xfId="0" applyFont="1" applyBorder="1" applyAlignment="1">
      <alignment vertical="center" wrapText="1"/>
    </xf>
    <xf numFmtId="0" fontId="13" fillId="0" borderId="3" xfId="0" applyFont="1" applyBorder="1" applyAlignment="1">
      <alignment horizontal="left" vertical="center" wrapText="1"/>
    </xf>
    <xf numFmtId="172" fontId="13" fillId="0" borderId="0" xfId="0" applyNumberFormat="1" applyFont="1" applyAlignment="1">
      <alignment horizontal="right" vertical="center" wrapText="1"/>
    </xf>
    <xf numFmtId="0" fontId="17" fillId="0" borderId="0" xfId="0" applyFont="1" applyAlignment="1">
      <alignment horizontal="left" vertical="center" wrapText="1"/>
    </xf>
    <xf numFmtId="172" fontId="17" fillId="0" borderId="0" xfId="0" applyNumberFormat="1" applyFont="1" applyAlignment="1">
      <alignment horizontal="right" vertical="center" wrapText="1"/>
    </xf>
    <xf numFmtId="173" fontId="13" fillId="0" borderId="0" xfId="0" applyNumberFormat="1" applyFont="1" applyAlignment="1">
      <alignment horizontal="right" vertical="center" wrapText="1"/>
    </xf>
    <xf numFmtId="173" fontId="13" fillId="3" borderId="0" xfId="0" applyNumberFormat="1" applyFont="1" applyFill="1" applyAlignment="1">
      <alignment horizontal="right" vertical="center" wrapText="1"/>
    </xf>
    <xf numFmtId="0" fontId="12" fillId="0" borderId="0" xfId="0" applyFont="1" applyAlignment="1">
      <alignment horizontal="left" vertical="center" wrapText="1" indent="1"/>
    </xf>
    <xf numFmtId="0" fontId="9" fillId="0" borderId="1" xfId="0" applyFont="1" applyBorder="1" applyAlignment="1">
      <alignment wrapText="1"/>
    </xf>
    <xf numFmtId="172" fontId="12" fillId="0" borderId="0" xfId="0" applyNumberFormat="1" applyFont="1" applyAlignment="1">
      <alignment horizontal="right" vertical="center" wrapText="1"/>
    </xf>
    <xf numFmtId="0" fontId="12" fillId="0" borderId="1" xfId="0" applyFont="1" applyBorder="1" applyAlignment="1">
      <alignment horizontal="left" vertical="center" wrapText="1"/>
    </xf>
    <xf numFmtId="0" fontId="18" fillId="0" borderId="3" xfId="0" applyFont="1" applyBorder="1" applyAlignment="1">
      <alignment wrapText="1"/>
    </xf>
    <xf numFmtId="0" fontId="1" fillId="0" borderId="0" xfId="6"/>
    <xf numFmtId="165" fontId="12" fillId="0" borderId="0" xfId="0" applyNumberFormat="1" applyFont="1" applyAlignment="1">
      <alignment horizontal="right" vertical="center" wrapText="1"/>
    </xf>
    <xf numFmtId="166" fontId="12" fillId="0" borderId="0" xfId="0" applyNumberFormat="1" applyFont="1" applyAlignment="1">
      <alignment horizontal="right" vertical="center" wrapText="1"/>
    </xf>
    <xf numFmtId="165" fontId="13" fillId="0" borderId="0" xfId="0" applyNumberFormat="1" applyFont="1" applyAlignment="1">
      <alignment horizontal="right" vertical="center" wrapText="1"/>
    </xf>
    <xf numFmtId="165" fontId="13" fillId="0" borderId="1" xfId="0" applyNumberFormat="1" applyFont="1" applyBorder="1" applyAlignment="1">
      <alignment horizontal="right" vertical="center" wrapText="1"/>
    </xf>
    <xf numFmtId="165" fontId="13" fillId="0" borderId="2" xfId="0" applyNumberFormat="1" applyFont="1" applyBorder="1" applyAlignment="1">
      <alignment horizontal="right" vertical="center" wrapText="1"/>
    </xf>
    <xf numFmtId="165" fontId="13" fillId="0" borderId="0" xfId="0" applyNumberFormat="1" applyFont="1" applyAlignment="1">
      <alignment horizontal="right" wrapText="1"/>
    </xf>
    <xf numFmtId="0" fontId="18" fillId="0" borderId="0" xfId="0" applyFont="1" applyAlignment="1">
      <alignment horizontal="right" vertical="center" wrapText="1"/>
    </xf>
    <xf numFmtId="0" fontId="7" fillId="0" borderId="0" xfId="0" applyFont="1" applyAlignment="1">
      <alignment horizontal="right" vertical="center" wrapText="1"/>
    </xf>
    <xf numFmtId="0" fontId="7" fillId="0" borderId="0" xfId="0" applyFont="1" applyAlignment="1">
      <alignment horizontal="right" wrapText="1"/>
    </xf>
    <xf numFmtId="165" fontId="12" fillId="0" borderId="1" xfId="0" applyNumberFormat="1" applyFont="1" applyBorder="1" applyAlignment="1">
      <alignment horizontal="right" vertical="center" wrapText="1"/>
    </xf>
    <xf numFmtId="166" fontId="12" fillId="0" borderId="1" xfId="0" applyNumberFormat="1" applyFont="1" applyBorder="1" applyAlignment="1">
      <alignment horizontal="right" vertical="center" wrapText="1" indent="2"/>
    </xf>
    <xf numFmtId="165" fontId="12" fillId="0" borderId="3" xfId="0" applyNumberFormat="1" applyFont="1" applyBorder="1" applyAlignment="1">
      <alignment horizontal="right" vertical="center" wrapText="1"/>
    </xf>
    <xf numFmtId="0" fontId="7" fillId="0" borderId="3" xfId="0" applyFont="1" applyBorder="1" applyAlignment="1">
      <alignment horizontal="right" wrapText="1"/>
    </xf>
    <xf numFmtId="0" fontId="12" fillId="0" borderId="0" xfId="0" applyFont="1" applyAlignment="1">
      <alignment vertical="center"/>
    </xf>
    <xf numFmtId="165" fontId="12" fillId="3" borderId="0" xfId="0" applyNumberFormat="1" applyFont="1" applyFill="1" applyAlignment="1">
      <alignment horizontal="right" vertical="center" wrapText="1"/>
    </xf>
    <xf numFmtId="169" fontId="13" fillId="0" borderId="0" xfId="0" applyNumberFormat="1" applyFont="1" applyAlignment="1">
      <alignment horizontal="right" vertical="center" wrapText="1"/>
    </xf>
    <xf numFmtId="166" fontId="12" fillId="3" borderId="0" xfId="0" applyNumberFormat="1" applyFont="1" applyFill="1" applyAlignment="1">
      <alignment horizontal="right" vertical="center" wrapText="1"/>
    </xf>
    <xf numFmtId="169" fontId="13" fillId="3" borderId="0" xfId="0" applyNumberFormat="1" applyFont="1" applyFill="1" applyAlignment="1">
      <alignment horizontal="right" vertical="center" wrapText="1"/>
    </xf>
    <xf numFmtId="0" fontId="18" fillId="0" borderId="1" xfId="0" applyFont="1" applyBorder="1" applyAlignment="1">
      <alignment horizontal="right" wrapText="1"/>
    </xf>
    <xf numFmtId="0" fontId="13" fillId="0" borderId="2" xfId="0" applyFont="1" applyBorder="1" applyAlignment="1">
      <alignment horizontal="right" vertical="center" wrapText="1"/>
    </xf>
    <xf numFmtId="166" fontId="12" fillId="0" borderId="3" xfId="0" applyNumberFormat="1" applyFont="1" applyBorder="1" applyAlignment="1">
      <alignment horizontal="right" vertical="center" wrapText="1"/>
    </xf>
    <xf numFmtId="170" fontId="12" fillId="0" borderId="0" xfId="0" applyNumberFormat="1" applyFont="1" applyAlignment="1">
      <alignment horizontal="right" vertical="center" wrapText="1"/>
    </xf>
    <xf numFmtId="0" fontId="12" fillId="0" borderId="0" xfId="0" applyFont="1" applyAlignment="1">
      <alignment horizontal="right" wrapText="1"/>
    </xf>
    <xf numFmtId="171" fontId="12" fillId="0" borderId="0" xfId="0" applyNumberFormat="1" applyFont="1" applyAlignment="1">
      <alignment horizontal="right" vertical="center" wrapText="1"/>
    </xf>
    <xf numFmtId="0" fontId="12" fillId="0" borderId="0" xfId="0" applyFont="1" applyAlignment="1">
      <alignment horizontal="right" wrapText="1" indent="2"/>
    </xf>
    <xf numFmtId="0" fontId="17" fillId="3" borderId="0" xfId="0" applyFont="1" applyFill="1" applyAlignment="1">
      <alignment horizontal="right" vertical="center" wrapText="1"/>
    </xf>
    <xf numFmtId="171" fontId="12" fillId="0" borderId="3" xfId="0" applyNumberFormat="1" applyFont="1" applyBorder="1" applyAlignment="1">
      <alignment horizontal="right" vertical="center" wrapText="1"/>
    </xf>
    <xf numFmtId="172" fontId="17" fillId="3" borderId="0" xfId="0" applyNumberFormat="1" applyFont="1" applyFill="1" applyAlignment="1">
      <alignment horizontal="right" vertical="center" wrapText="1"/>
    </xf>
    <xf numFmtId="0" fontId="18" fillId="0" borderId="1" xfId="0" applyFont="1" applyBorder="1" applyAlignment="1">
      <alignment horizontal="right" vertical="center" wrapText="1"/>
    </xf>
    <xf numFmtId="165" fontId="13" fillId="0" borderId="3" xfId="0" applyNumberFormat="1" applyFont="1" applyBorder="1" applyAlignment="1">
      <alignment horizontal="right" vertical="center" wrapText="1"/>
    </xf>
    <xf numFmtId="0" fontId="13" fillId="0" borderId="1" xfId="0" applyFont="1" applyBorder="1" applyAlignment="1">
      <alignment horizontal="right" vertical="center" wrapText="1"/>
    </xf>
    <xf numFmtId="166" fontId="13" fillId="0" borderId="0" xfId="0" applyNumberFormat="1" applyFont="1" applyAlignment="1">
      <alignment horizontal="right" vertical="center" wrapText="1"/>
    </xf>
    <xf numFmtId="174" fontId="12" fillId="0" borderId="0" xfId="0" applyNumberFormat="1" applyFont="1" applyAlignment="1">
      <alignment horizontal="right" vertical="center" wrapText="1"/>
    </xf>
    <xf numFmtId="174" fontId="13" fillId="0" borderId="3" xfId="0" applyNumberFormat="1" applyFont="1" applyBorder="1" applyAlignment="1">
      <alignment horizontal="right" vertical="center" wrapText="1"/>
    </xf>
    <xf numFmtId="174" fontId="13" fillId="0" borderId="0" xfId="0" applyNumberFormat="1" applyFont="1" applyAlignment="1">
      <alignment horizontal="right" vertical="center" wrapText="1"/>
    </xf>
    <xf numFmtId="175" fontId="12" fillId="0" borderId="0" xfId="0" applyNumberFormat="1" applyFont="1" applyAlignment="1">
      <alignment horizontal="right" vertical="center" wrapText="1"/>
    </xf>
    <xf numFmtId="176" fontId="12" fillId="0" borderId="0" xfId="0" applyNumberFormat="1" applyFont="1" applyAlignment="1">
      <alignment horizontal="right" vertical="center" wrapText="1"/>
    </xf>
    <xf numFmtId="177" fontId="13" fillId="0" borderId="0" xfId="0" applyNumberFormat="1" applyFont="1" applyAlignment="1">
      <alignment horizontal="right" vertical="center" wrapText="1"/>
    </xf>
    <xf numFmtId="0" fontId="9" fillId="0" borderId="1" xfId="0" applyFont="1" applyBorder="1" applyAlignment="1">
      <alignment horizontal="right" vertical="center" wrapText="1"/>
    </xf>
    <xf numFmtId="0" fontId="9" fillId="0" borderId="1" xfId="0" applyFont="1" applyBorder="1" applyAlignment="1">
      <alignment horizontal="right" wrapText="1"/>
    </xf>
    <xf numFmtId="0" fontId="9" fillId="0" borderId="0" xfId="0" applyFont="1" applyAlignment="1">
      <alignment horizontal="right" wrapText="1"/>
    </xf>
    <xf numFmtId="177" fontId="12" fillId="0" borderId="0" xfId="0" applyNumberFormat="1" applyFont="1" applyAlignment="1">
      <alignment horizontal="right" vertical="center" wrapText="1"/>
    </xf>
    <xf numFmtId="166" fontId="12" fillId="0" borderId="1" xfId="0" applyNumberFormat="1" applyFont="1" applyBorder="1" applyAlignment="1">
      <alignment horizontal="right" vertical="center" wrapText="1"/>
    </xf>
    <xf numFmtId="164" fontId="10" fillId="2" borderId="0" xfId="0" applyNumberFormat="1" applyFont="1" applyFill="1" applyAlignment="1">
      <alignment horizontal="center" vertical="center" wrapText="1"/>
    </xf>
    <xf numFmtId="0" fontId="8" fillId="0" borderId="0" xfId="0" applyFont="1" applyAlignment="1">
      <alignment horizontal="right" vertical="center" wrapText="1"/>
    </xf>
    <xf numFmtId="0" fontId="0" fillId="0" borderId="0" xfId="0"/>
    <xf numFmtId="0" fontId="0" fillId="0" borderId="0" xfId="0" applyAlignment="1">
      <alignment horizontal="right"/>
    </xf>
    <xf numFmtId="0" fontId="10" fillId="2" borderId="0" xfId="0" applyFont="1" applyFill="1" applyAlignment="1">
      <alignment horizontal="center" vertical="center" wrapText="1"/>
    </xf>
    <xf numFmtId="164" fontId="10" fillId="2" borderId="1" xfId="0" applyNumberFormat="1" applyFont="1" applyFill="1" applyBorder="1" applyAlignment="1">
      <alignment horizontal="center" vertical="center" wrapText="1"/>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6" xr:uid="{E132D8B7-78F1-4916-B3D6-2DB75EAF6C8A}"/>
    <cellStyle name="Table (Normal)" xfId="1" xr:uid="{00000000-0005-0000-0000-000001000000}"/>
  </cellStyles>
  <dxfs count="0"/>
  <tableStyles count="0"/>
  <colors>
    <mruColors>
      <color rgb="FF1B77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hyperlink" Target="#'Statement of cash flow'!A1"/><Relationship Id="rId7" Type="http://schemas.openxmlformats.org/officeDocument/2006/relationships/hyperlink" Target="#'Net debt cash flow'!A1"/><Relationship Id="rId2" Type="http://schemas.openxmlformats.org/officeDocument/2006/relationships/hyperlink" Target="#'Statement of income'!A1"/><Relationship Id="rId1" Type="http://schemas.openxmlformats.org/officeDocument/2006/relationships/hyperlink" Target="#'Statements financial position'!A1"/><Relationship Id="rId6" Type="http://schemas.openxmlformats.org/officeDocument/2006/relationships/hyperlink" Target="#Capex!A1"/><Relationship Id="rId5" Type="http://schemas.openxmlformats.org/officeDocument/2006/relationships/hyperlink" Target="#Debt!A1"/><Relationship Id="rId4" Type="http://schemas.openxmlformats.org/officeDocument/2006/relationships/hyperlink" Target="#'Operational data'!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293072</xdr:colOff>
      <xdr:row>1</xdr:row>
      <xdr:rowOff>86416</xdr:rowOff>
    </xdr:from>
    <xdr:to>
      <xdr:col>13</xdr:col>
      <xdr:colOff>335573</xdr:colOff>
      <xdr:row>3</xdr:row>
      <xdr:rowOff>16491</xdr:rowOff>
    </xdr:to>
    <xdr:sp macro="" textlink="">
      <xdr:nvSpPr>
        <xdr:cNvPr id="2" name="Retângulo: Cantos Arredondados 1">
          <a:hlinkClick xmlns:r="http://schemas.openxmlformats.org/officeDocument/2006/relationships" r:id="rId1"/>
          <a:extLst>
            <a:ext uri="{FF2B5EF4-FFF2-40B4-BE49-F238E27FC236}">
              <a16:creationId xmlns:a16="http://schemas.microsoft.com/office/drawing/2014/main" id="{0C106169-7261-4A25-8498-774A54D8DB52}"/>
            </a:ext>
          </a:extLst>
        </xdr:cNvPr>
        <xdr:cNvSpPr/>
      </xdr:nvSpPr>
      <xdr:spPr>
        <a:xfrm>
          <a:off x="6677997" y="264216"/>
          <a:ext cx="1950676" cy="29520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ea typeface="+mn-ea"/>
              <a:cs typeface="Times New Roman" panose="02020603050405020304" pitchFamily="18" charset="0"/>
            </a:rPr>
            <a:t>Statements of financial position</a:t>
          </a:r>
        </a:p>
      </xdr:txBody>
    </xdr:sp>
    <xdr:clientData/>
  </xdr:twoCellAnchor>
  <xdr:twoCellAnchor>
    <xdr:from>
      <xdr:col>10</xdr:col>
      <xdr:colOff>296247</xdr:colOff>
      <xdr:row>3</xdr:row>
      <xdr:rowOff>102637</xdr:rowOff>
    </xdr:from>
    <xdr:to>
      <xdr:col>13</xdr:col>
      <xdr:colOff>335744</xdr:colOff>
      <xdr:row>5</xdr:row>
      <xdr:rowOff>39062</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F57371C9-8FF3-481E-804A-AA3D1CABB5A1}"/>
            </a:ext>
          </a:extLst>
        </xdr:cNvPr>
        <xdr:cNvSpPr/>
      </xdr:nvSpPr>
      <xdr:spPr>
        <a:xfrm>
          <a:off x="6674822" y="648737"/>
          <a:ext cx="1954022" cy="29520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rgbClr val="1B7754"/>
              </a:solidFill>
              <a:latin typeface="Montserrat" panose="00000500000000000000" pitchFamily="2" charset="0"/>
              <a:ea typeface="+mn-ea"/>
              <a:cs typeface="Times New Roman" panose="02020603050405020304" pitchFamily="18" charset="0"/>
            </a:rPr>
            <a:t>Statement of income</a:t>
          </a:r>
          <a:endParaRPr lang="pt-BR" sz="800" b="1">
            <a:solidFill>
              <a:srgbClr val="1B7754"/>
            </a:solidFill>
            <a:latin typeface="Montserrat" panose="00000500000000000000" pitchFamily="2" charset="0"/>
            <a:ea typeface="+mn-ea"/>
            <a:cs typeface="Times New Roman" panose="02020603050405020304" pitchFamily="18" charset="0"/>
          </a:endParaRPr>
        </a:p>
      </xdr:txBody>
    </xdr:sp>
    <xdr:clientData/>
  </xdr:twoCellAnchor>
  <xdr:twoCellAnchor>
    <xdr:from>
      <xdr:col>10</xdr:col>
      <xdr:colOff>293072</xdr:colOff>
      <xdr:row>5</xdr:row>
      <xdr:rowOff>125208</xdr:rowOff>
    </xdr:from>
    <xdr:to>
      <xdr:col>13</xdr:col>
      <xdr:colOff>332569</xdr:colOff>
      <xdr:row>7</xdr:row>
      <xdr:rowOff>58458</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762E96EA-E822-4A28-8F18-1BDD882DBA86}"/>
            </a:ext>
          </a:extLst>
        </xdr:cNvPr>
        <xdr:cNvSpPr/>
      </xdr:nvSpPr>
      <xdr:spPr>
        <a:xfrm>
          <a:off x="6677997" y="1026908"/>
          <a:ext cx="1954022" cy="29837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Statement of cash flow</a:t>
          </a:r>
        </a:p>
      </xdr:txBody>
    </xdr:sp>
    <xdr:clientData/>
  </xdr:twoCellAnchor>
  <xdr:twoCellAnchor>
    <xdr:from>
      <xdr:col>10</xdr:col>
      <xdr:colOff>293072</xdr:colOff>
      <xdr:row>12</xdr:row>
      <xdr:rowOff>21471</xdr:rowOff>
    </xdr:from>
    <xdr:to>
      <xdr:col>13</xdr:col>
      <xdr:colOff>326219</xdr:colOff>
      <xdr:row>13</xdr:row>
      <xdr:rowOff>135696</xdr:rowOff>
    </xdr:to>
    <xdr:sp macro="" textlink="">
      <xdr:nvSpPr>
        <xdr:cNvPr id="5" name="Retângulo: Cantos Arredondados 4">
          <a:hlinkClick xmlns:r="http://schemas.openxmlformats.org/officeDocument/2006/relationships" r:id="rId4"/>
          <a:extLst>
            <a:ext uri="{FF2B5EF4-FFF2-40B4-BE49-F238E27FC236}">
              <a16:creationId xmlns:a16="http://schemas.microsoft.com/office/drawing/2014/main" id="{1D44ACDA-DBE8-44D2-B657-3F8174F3ED39}"/>
            </a:ext>
          </a:extLst>
        </xdr:cNvPr>
        <xdr:cNvSpPr/>
      </xdr:nvSpPr>
      <xdr:spPr>
        <a:xfrm>
          <a:off x="6677997" y="2193171"/>
          <a:ext cx="1944497" cy="29520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Operational data</a:t>
          </a:r>
        </a:p>
      </xdr:txBody>
    </xdr:sp>
    <xdr:clientData/>
  </xdr:twoCellAnchor>
  <xdr:twoCellAnchor>
    <xdr:from>
      <xdr:col>10</xdr:col>
      <xdr:colOff>293072</xdr:colOff>
      <xdr:row>9</xdr:row>
      <xdr:rowOff>173525</xdr:rowOff>
    </xdr:from>
    <xdr:to>
      <xdr:col>13</xdr:col>
      <xdr:colOff>326219</xdr:colOff>
      <xdr:row>11</xdr:row>
      <xdr:rowOff>106775</xdr:rowOff>
    </xdr:to>
    <xdr:sp macro="" textlink="">
      <xdr:nvSpPr>
        <xdr:cNvPr id="6" name="Retângulo: Cantos Arredondados 5">
          <a:hlinkClick xmlns:r="http://schemas.openxmlformats.org/officeDocument/2006/relationships" r:id="rId5"/>
          <a:extLst>
            <a:ext uri="{FF2B5EF4-FFF2-40B4-BE49-F238E27FC236}">
              <a16:creationId xmlns:a16="http://schemas.microsoft.com/office/drawing/2014/main" id="{0236C246-F801-4A33-9901-C1E76B05D1C4}"/>
            </a:ext>
          </a:extLst>
        </xdr:cNvPr>
        <xdr:cNvSpPr/>
      </xdr:nvSpPr>
      <xdr:spPr>
        <a:xfrm>
          <a:off x="6677997" y="1802300"/>
          <a:ext cx="1944497" cy="29202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Debt</a:t>
          </a:r>
        </a:p>
      </xdr:txBody>
    </xdr:sp>
    <xdr:clientData/>
  </xdr:twoCellAnchor>
  <xdr:twoCellAnchor>
    <xdr:from>
      <xdr:col>10</xdr:col>
      <xdr:colOff>296247</xdr:colOff>
      <xdr:row>14</xdr:row>
      <xdr:rowOff>59915</xdr:rowOff>
    </xdr:from>
    <xdr:to>
      <xdr:col>13</xdr:col>
      <xdr:colOff>335744</xdr:colOff>
      <xdr:row>15</xdr:row>
      <xdr:rowOff>174140</xdr:rowOff>
    </xdr:to>
    <xdr:sp macro="" textlink="">
      <xdr:nvSpPr>
        <xdr:cNvPr id="7" name="Retângulo: Cantos Arredondados 6">
          <a:hlinkClick xmlns:r="http://schemas.openxmlformats.org/officeDocument/2006/relationships" r:id="rId6"/>
          <a:extLst>
            <a:ext uri="{FF2B5EF4-FFF2-40B4-BE49-F238E27FC236}">
              <a16:creationId xmlns:a16="http://schemas.microsoft.com/office/drawing/2014/main" id="{15F4F87A-284A-4428-A989-E244A5F50940}"/>
            </a:ext>
          </a:extLst>
        </xdr:cNvPr>
        <xdr:cNvSpPr/>
      </xdr:nvSpPr>
      <xdr:spPr>
        <a:xfrm>
          <a:off x="6674822" y="2593565"/>
          <a:ext cx="1954022" cy="29520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Capex</a:t>
          </a:r>
        </a:p>
      </xdr:txBody>
    </xdr:sp>
    <xdr:clientData/>
  </xdr:twoCellAnchor>
  <xdr:twoCellAnchor>
    <xdr:from>
      <xdr:col>0</xdr:col>
      <xdr:colOff>178374</xdr:colOff>
      <xdr:row>11</xdr:row>
      <xdr:rowOff>169100</xdr:rowOff>
    </xdr:from>
    <xdr:to>
      <xdr:col>3</xdr:col>
      <xdr:colOff>620877</xdr:colOff>
      <xdr:row>16</xdr:row>
      <xdr:rowOff>26200</xdr:rowOff>
    </xdr:to>
    <xdr:sp macro="" textlink="">
      <xdr:nvSpPr>
        <xdr:cNvPr id="8" name="Retângulo 7">
          <a:extLst>
            <a:ext uri="{FF2B5EF4-FFF2-40B4-BE49-F238E27FC236}">
              <a16:creationId xmlns:a16="http://schemas.microsoft.com/office/drawing/2014/main" id="{1708D436-CB09-454B-AA70-98DD0CFFDFC1}"/>
            </a:ext>
          </a:extLst>
        </xdr:cNvPr>
        <xdr:cNvSpPr/>
      </xdr:nvSpPr>
      <xdr:spPr>
        <a:xfrm>
          <a:off x="181549" y="2159825"/>
          <a:ext cx="2350678" cy="765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700">
              <a:solidFill>
                <a:schemeClr val="bg1">
                  <a:lumMod val="50000"/>
                </a:schemeClr>
              </a:solidFill>
              <a:latin typeface="Montserrat" panose="00000500000000000000" pitchFamily="2" charset="0"/>
            </a:rPr>
            <a:t>FS Indústria de Biocombustíveis Ltda (“FS Ltda") and FS I Indústria de Etanol S.A. (“FS S.A.”) (combined as "Company" or "FS") announce their consolidated results.</a:t>
          </a:r>
        </a:p>
      </xdr:txBody>
    </xdr:sp>
    <xdr:clientData/>
  </xdr:twoCellAnchor>
  <xdr:twoCellAnchor>
    <xdr:from>
      <xdr:col>10</xdr:col>
      <xdr:colOff>293072</xdr:colOff>
      <xdr:row>7</xdr:row>
      <xdr:rowOff>141429</xdr:rowOff>
    </xdr:from>
    <xdr:to>
      <xdr:col>13</xdr:col>
      <xdr:colOff>326219</xdr:colOff>
      <xdr:row>9</xdr:row>
      <xdr:rowOff>74679</xdr:rowOff>
    </xdr:to>
    <xdr:sp macro="" textlink="">
      <xdr:nvSpPr>
        <xdr:cNvPr id="9" name="Retângulo: Cantos Arredondados 8">
          <a:hlinkClick xmlns:r="http://schemas.openxmlformats.org/officeDocument/2006/relationships" r:id="rId7"/>
          <a:extLst>
            <a:ext uri="{FF2B5EF4-FFF2-40B4-BE49-F238E27FC236}">
              <a16:creationId xmlns:a16="http://schemas.microsoft.com/office/drawing/2014/main" id="{AC12B376-864A-4CCE-9860-E44E4E154EE6}"/>
            </a:ext>
          </a:extLst>
        </xdr:cNvPr>
        <xdr:cNvSpPr/>
      </xdr:nvSpPr>
      <xdr:spPr>
        <a:xfrm>
          <a:off x="6677997" y="1411429"/>
          <a:ext cx="1944497" cy="29202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Net</a:t>
          </a:r>
          <a:r>
            <a:rPr lang="pt-BR" sz="800" b="1" baseline="0">
              <a:solidFill>
                <a:srgbClr val="1B7754"/>
              </a:solidFill>
              <a:latin typeface="Montserrat" panose="00000500000000000000" pitchFamily="2" charset="0"/>
              <a:cs typeface="Times New Roman" panose="02020603050405020304" pitchFamily="18" charset="0"/>
            </a:rPr>
            <a:t> debt cash flow</a:t>
          </a:r>
          <a:endParaRPr lang="pt-BR" sz="800" b="1">
            <a:solidFill>
              <a:srgbClr val="1B7754"/>
            </a:solidFill>
            <a:latin typeface="Montserrat" panose="00000500000000000000" pitchFamily="2" charset="0"/>
            <a:cs typeface="Times New Roman" panose="02020603050405020304" pitchFamily="18" charset="0"/>
          </a:endParaRPr>
        </a:p>
      </xdr:txBody>
    </xdr:sp>
    <xdr:clientData/>
  </xdr:twoCellAnchor>
  <xdr:twoCellAnchor editAs="oneCell">
    <xdr:from>
      <xdr:col>0</xdr:col>
      <xdr:colOff>178374</xdr:colOff>
      <xdr:row>2</xdr:row>
      <xdr:rowOff>183249</xdr:rowOff>
    </xdr:from>
    <xdr:to>
      <xdr:col>3</xdr:col>
      <xdr:colOff>161278</xdr:colOff>
      <xdr:row>11</xdr:row>
      <xdr:rowOff>153696</xdr:rowOff>
    </xdr:to>
    <xdr:pic>
      <xdr:nvPicPr>
        <xdr:cNvPr id="10" name="Imagem 9">
          <a:extLst>
            <a:ext uri="{FF2B5EF4-FFF2-40B4-BE49-F238E27FC236}">
              <a16:creationId xmlns:a16="http://schemas.microsoft.com/office/drawing/2014/main" id="{4A96515A-D9A2-4BB6-8E54-B524071C697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81549" y="542024"/>
          <a:ext cx="1906954" cy="1627797"/>
        </a:xfrm>
        <a:prstGeom prst="rect">
          <a:avLst/>
        </a:prstGeom>
      </xdr:spPr>
    </xdr:pic>
    <xdr:clientData/>
  </xdr:twoCellAnchor>
  <xdr:twoCellAnchor>
    <xdr:from>
      <xdr:col>0</xdr:col>
      <xdr:colOff>0</xdr:colOff>
      <xdr:row>17</xdr:row>
      <xdr:rowOff>141606</xdr:rowOff>
    </xdr:from>
    <xdr:to>
      <xdr:col>14</xdr:col>
      <xdr:colOff>0</xdr:colOff>
      <xdr:row>18</xdr:row>
      <xdr:rowOff>0</xdr:rowOff>
    </xdr:to>
    <xdr:grpSp>
      <xdr:nvGrpSpPr>
        <xdr:cNvPr id="11" name="Agrupar 10">
          <a:extLst>
            <a:ext uri="{FF2B5EF4-FFF2-40B4-BE49-F238E27FC236}">
              <a16:creationId xmlns:a16="http://schemas.microsoft.com/office/drawing/2014/main" id="{CD0315F5-94BC-49BB-B93D-FA01F05E96DD}"/>
            </a:ext>
          </a:extLst>
        </xdr:cNvPr>
        <xdr:cNvGrpSpPr/>
      </xdr:nvGrpSpPr>
      <xdr:grpSpPr>
        <a:xfrm>
          <a:off x="0" y="3221356"/>
          <a:ext cx="8915400" cy="36194"/>
          <a:chOff x="0" y="3119766"/>
          <a:chExt cx="7625953" cy="99976"/>
        </a:xfrm>
      </xdr:grpSpPr>
      <xdr:sp macro="" textlink="">
        <xdr:nvSpPr>
          <xdr:cNvPr id="12" name="Paralelogramo 11">
            <a:extLst>
              <a:ext uri="{FF2B5EF4-FFF2-40B4-BE49-F238E27FC236}">
                <a16:creationId xmlns:a16="http://schemas.microsoft.com/office/drawing/2014/main" id="{E8191AC0-7DBA-13C2-0630-43E4F603352E}"/>
              </a:ext>
            </a:extLst>
          </xdr:cNvPr>
          <xdr:cNvSpPr/>
        </xdr:nvSpPr>
        <xdr:spPr>
          <a:xfrm>
            <a:off x="0" y="3121801"/>
            <a:ext cx="3488928"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3" name="Paralelogramo 12">
            <a:extLst>
              <a:ext uri="{FF2B5EF4-FFF2-40B4-BE49-F238E27FC236}">
                <a16:creationId xmlns:a16="http://schemas.microsoft.com/office/drawing/2014/main" id="{EA0E1B5C-B836-4F9B-2509-D84865B6BC1D}"/>
              </a:ext>
            </a:extLst>
          </xdr:cNvPr>
          <xdr:cNvSpPr/>
        </xdr:nvSpPr>
        <xdr:spPr>
          <a:xfrm>
            <a:off x="3345518" y="3121801"/>
            <a:ext cx="1503800" cy="97941"/>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4" name="Paralelogramo 13">
            <a:extLst>
              <a:ext uri="{FF2B5EF4-FFF2-40B4-BE49-F238E27FC236}">
                <a16:creationId xmlns:a16="http://schemas.microsoft.com/office/drawing/2014/main" id="{C2C05253-46F8-6830-0945-49E2440BAEB3}"/>
              </a:ext>
            </a:extLst>
          </xdr:cNvPr>
          <xdr:cNvSpPr/>
        </xdr:nvSpPr>
        <xdr:spPr>
          <a:xfrm>
            <a:off x="4707925" y="3121801"/>
            <a:ext cx="1453196" cy="97941"/>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5" name="Paralelogramo 14">
            <a:extLst>
              <a:ext uri="{FF2B5EF4-FFF2-40B4-BE49-F238E27FC236}">
                <a16:creationId xmlns:a16="http://schemas.microsoft.com/office/drawing/2014/main" id="{DB3FA863-1279-A8C4-84F0-C837D6968FC9}"/>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6" name="Retângulo 15">
            <a:extLst>
              <a:ext uri="{FF2B5EF4-FFF2-40B4-BE49-F238E27FC236}">
                <a16:creationId xmlns:a16="http://schemas.microsoft.com/office/drawing/2014/main" id="{D43CF1F7-0724-7B1F-14B5-FD2F68DF1858}"/>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7" name="Retângulo 16">
            <a:extLst>
              <a:ext uri="{FF2B5EF4-FFF2-40B4-BE49-F238E27FC236}">
                <a16:creationId xmlns:a16="http://schemas.microsoft.com/office/drawing/2014/main" id="{B38F19AA-DEA9-9ECB-BBCB-E01367345D2B}"/>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xdr:from>
      <xdr:col>4</xdr:col>
      <xdr:colOff>427100</xdr:colOff>
      <xdr:row>1</xdr:row>
      <xdr:rowOff>39051</xdr:rowOff>
    </xdr:from>
    <xdr:to>
      <xdr:col>10</xdr:col>
      <xdr:colOff>355552</xdr:colOff>
      <xdr:row>16</xdr:row>
      <xdr:rowOff>91700</xdr:rowOff>
    </xdr:to>
    <xdr:grpSp>
      <xdr:nvGrpSpPr>
        <xdr:cNvPr id="18" name="Agrupar 17">
          <a:extLst>
            <a:ext uri="{FF2B5EF4-FFF2-40B4-BE49-F238E27FC236}">
              <a16:creationId xmlns:a16="http://schemas.microsoft.com/office/drawing/2014/main" id="{8F513BBA-80FF-48D5-B04A-FD21C099EE23}"/>
            </a:ext>
          </a:extLst>
        </xdr:cNvPr>
        <xdr:cNvGrpSpPr/>
      </xdr:nvGrpSpPr>
      <xdr:grpSpPr>
        <a:xfrm>
          <a:off x="2982975" y="220026"/>
          <a:ext cx="3751152" cy="2764099"/>
          <a:chOff x="3353171" y="328008"/>
          <a:chExt cx="3754334" cy="2438094"/>
        </a:xfrm>
      </xdr:grpSpPr>
      <xdr:sp macro="" textlink="">
        <xdr:nvSpPr>
          <xdr:cNvPr id="19" name="Retângulo: Cantos Arredondados 18">
            <a:extLst>
              <a:ext uri="{FF2B5EF4-FFF2-40B4-BE49-F238E27FC236}">
                <a16:creationId xmlns:a16="http://schemas.microsoft.com/office/drawing/2014/main" id="{F52DD92B-90D4-35A8-702B-ACFCCE047778}"/>
              </a:ext>
            </a:extLst>
          </xdr:cNvPr>
          <xdr:cNvSpPr/>
        </xdr:nvSpPr>
        <xdr:spPr>
          <a:xfrm>
            <a:off x="3353171" y="328008"/>
            <a:ext cx="3477988" cy="2273382"/>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50000"/>
              </a:lnSpc>
              <a:spcBef>
                <a:spcPts val="0"/>
              </a:spcBef>
              <a:spcAft>
                <a:spcPts val="0"/>
              </a:spcAft>
            </a:pPr>
            <a:r>
              <a:rPr lang="en-US" sz="800" b="1" u="sng">
                <a:solidFill>
                  <a:srgbClr val="1A7754"/>
                </a:solidFill>
                <a:effectLst/>
                <a:latin typeface="Montserrat" panose="00000500000000000000" pitchFamily="2" charset="0"/>
                <a:ea typeface="Calibri" panose="020F0502020204030204" pitchFamily="34" charset="0"/>
                <a:cs typeface="Calibri" panose="020F0502020204030204" pitchFamily="34" charset="0"/>
              </a:rPr>
              <a:t>Periods Definition</a:t>
            </a: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FY18:</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April 2017 to March 2018</a:t>
            </a: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FY19: April 2018 to March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FY20: April 2019 to March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1Q21: April to June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2Q21: July to September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3Q21: October to December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4Q21: January to March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FY21:</a:t>
            </a:r>
            <a:r>
              <a:rPr lang="en-US" sz="700">
                <a:solidFill>
                  <a:schemeClr val="lt1"/>
                </a:solidFill>
                <a:effectLst/>
                <a:latin typeface="Montserrat" panose="00000500000000000000" pitchFamily="2" charset="0"/>
                <a:ea typeface="+mn-ea"/>
                <a:cs typeface="+mn-cs"/>
              </a:rPr>
              <a:t> </a:t>
            </a: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April 2020 to March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1Q22: April to June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2Q22: July to September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3Q22: October to December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4Q22: January to March 2022</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FY22: April 2021 to March 2022 </a:t>
            </a: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sp macro="" textlink="">
        <xdr:nvSpPr>
          <xdr:cNvPr id="20" name="Retângulo: Cantos Arredondados 19">
            <a:extLst>
              <a:ext uri="{FF2B5EF4-FFF2-40B4-BE49-F238E27FC236}">
                <a16:creationId xmlns:a16="http://schemas.microsoft.com/office/drawing/2014/main" id="{357AE401-D594-E974-D63F-9DBE81029904}"/>
              </a:ext>
            </a:extLst>
          </xdr:cNvPr>
          <xdr:cNvSpPr/>
        </xdr:nvSpPr>
        <xdr:spPr>
          <a:xfrm>
            <a:off x="5132590" y="617742"/>
            <a:ext cx="1974915" cy="2148360"/>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1Q23: April to June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2Q23: July</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to September 2022</a:t>
            </a: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3Q23: October to December 2022</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4Q23: January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23: April 2022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1Q24: April 2023 to June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2Q24: July 2023 to September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3Q24: October 2023 to December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4Q24: January to March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FY24:  April 2023 to March 2024</a:t>
            </a: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1Q25: April 2024 to June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2Q25: July 2024 to September 2024</a:t>
            </a:r>
          </a:p>
        </xdr:txBody>
      </xdr:sp>
    </xdr:grpSp>
    <xdr:clientData/>
  </xdr:twoCellAnchor>
  <xdr:twoCellAnchor>
    <xdr:from>
      <xdr:col>4</xdr:col>
      <xdr:colOff>171493</xdr:colOff>
      <xdr:row>3</xdr:row>
      <xdr:rowOff>154695</xdr:rowOff>
    </xdr:from>
    <xdr:to>
      <xdr:col>4</xdr:col>
      <xdr:colOff>207687</xdr:colOff>
      <xdr:row>15</xdr:row>
      <xdr:rowOff>19398</xdr:rowOff>
    </xdr:to>
    <xdr:grpSp>
      <xdr:nvGrpSpPr>
        <xdr:cNvPr id="21" name="Agrupar 20">
          <a:extLst>
            <a:ext uri="{FF2B5EF4-FFF2-40B4-BE49-F238E27FC236}">
              <a16:creationId xmlns:a16="http://schemas.microsoft.com/office/drawing/2014/main" id="{B7DEFAE5-AAE3-42F3-8D69-A2442B12FCDB}"/>
            </a:ext>
          </a:extLst>
        </xdr:cNvPr>
        <xdr:cNvGrpSpPr/>
      </xdr:nvGrpSpPr>
      <xdr:grpSpPr>
        <a:xfrm rot="5400000">
          <a:off x="1724088" y="1697725"/>
          <a:ext cx="2036403" cy="36194"/>
          <a:chOff x="0" y="3119766"/>
          <a:chExt cx="7625953" cy="99979"/>
        </a:xfrm>
      </xdr:grpSpPr>
      <xdr:sp macro="" textlink="">
        <xdr:nvSpPr>
          <xdr:cNvPr id="22" name="Paralelogramo 21">
            <a:extLst>
              <a:ext uri="{FF2B5EF4-FFF2-40B4-BE49-F238E27FC236}">
                <a16:creationId xmlns:a16="http://schemas.microsoft.com/office/drawing/2014/main" id="{A0AD77F1-FB2E-0796-94EC-94AE994DE383}"/>
              </a:ext>
            </a:extLst>
          </xdr:cNvPr>
          <xdr:cNvSpPr/>
        </xdr:nvSpPr>
        <xdr:spPr>
          <a:xfrm>
            <a:off x="28221" y="3121802"/>
            <a:ext cx="3488930"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3" name="Paralelogramo 22">
            <a:extLst>
              <a:ext uri="{FF2B5EF4-FFF2-40B4-BE49-F238E27FC236}">
                <a16:creationId xmlns:a16="http://schemas.microsoft.com/office/drawing/2014/main" id="{08919C48-3F21-4375-5415-5E3F667BB225}"/>
              </a:ext>
            </a:extLst>
          </xdr:cNvPr>
          <xdr:cNvSpPr/>
        </xdr:nvSpPr>
        <xdr:spPr>
          <a:xfrm>
            <a:off x="3315419" y="3121802"/>
            <a:ext cx="1503799" cy="97943"/>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4" name="Paralelogramo 23">
            <a:extLst>
              <a:ext uri="{FF2B5EF4-FFF2-40B4-BE49-F238E27FC236}">
                <a16:creationId xmlns:a16="http://schemas.microsoft.com/office/drawing/2014/main" id="{9DD938E2-0B6D-37E0-66F6-2CB34A74F4E8}"/>
              </a:ext>
            </a:extLst>
          </xdr:cNvPr>
          <xdr:cNvSpPr/>
        </xdr:nvSpPr>
        <xdr:spPr>
          <a:xfrm>
            <a:off x="4677823" y="3121802"/>
            <a:ext cx="1453195" cy="97942"/>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5" name="Paralelogramo 24">
            <a:extLst>
              <a:ext uri="{FF2B5EF4-FFF2-40B4-BE49-F238E27FC236}">
                <a16:creationId xmlns:a16="http://schemas.microsoft.com/office/drawing/2014/main" id="{8E43739F-079D-8B54-0F1C-4458B1DB5053}"/>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6" name="Retângulo 25">
            <a:extLst>
              <a:ext uri="{FF2B5EF4-FFF2-40B4-BE49-F238E27FC236}">
                <a16:creationId xmlns:a16="http://schemas.microsoft.com/office/drawing/2014/main" id="{B59D9BA9-31B2-D54D-6065-4708B763DDC0}"/>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7" name="Retângulo 26">
            <a:extLst>
              <a:ext uri="{FF2B5EF4-FFF2-40B4-BE49-F238E27FC236}">
                <a16:creationId xmlns:a16="http://schemas.microsoft.com/office/drawing/2014/main" id="{AF0874F2-71CE-BF1A-FA17-5ECF8F18BCBD}"/>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1544777</xdr:colOff>
      <xdr:row>3</xdr:row>
      <xdr:rowOff>16151</xdr:rowOff>
    </xdr:to>
    <xdr:pic>
      <xdr:nvPicPr>
        <xdr:cNvPr id="5" name="Imagem 4">
          <a:extLst>
            <a:ext uri="{FF2B5EF4-FFF2-40B4-BE49-F238E27FC236}">
              <a16:creationId xmlns:a16="http://schemas.microsoft.com/office/drawing/2014/main" id="{7E1AF3C0-307D-4273-84AF-1894626080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4777" cy="6162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1544777</xdr:colOff>
      <xdr:row>3</xdr:row>
      <xdr:rowOff>25676</xdr:rowOff>
    </xdr:to>
    <xdr:pic>
      <xdr:nvPicPr>
        <xdr:cNvPr id="2" name="Imagem 1">
          <a:extLst>
            <a:ext uri="{FF2B5EF4-FFF2-40B4-BE49-F238E27FC236}">
              <a16:creationId xmlns:a16="http://schemas.microsoft.com/office/drawing/2014/main" id="{1CE11E33-9E5B-4BF3-8BC5-589E277F89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4777" cy="6162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1544777</xdr:colOff>
      <xdr:row>3</xdr:row>
      <xdr:rowOff>16151</xdr:rowOff>
    </xdr:to>
    <xdr:pic>
      <xdr:nvPicPr>
        <xdr:cNvPr id="2" name="Imagem 1">
          <a:extLst>
            <a:ext uri="{FF2B5EF4-FFF2-40B4-BE49-F238E27FC236}">
              <a16:creationId xmlns:a16="http://schemas.microsoft.com/office/drawing/2014/main" id="{B21C31DB-2C17-463B-8946-6B9037C9E5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4777" cy="6162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1544777</xdr:colOff>
      <xdr:row>3</xdr:row>
      <xdr:rowOff>16151</xdr:rowOff>
    </xdr:to>
    <xdr:pic>
      <xdr:nvPicPr>
        <xdr:cNvPr id="2" name="Imagem 1">
          <a:extLst>
            <a:ext uri="{FF2B5EF4-FFF2-40B4-BE49-F238E27FC236}">
              <a16:creationId xmlns:a16="http://schemas.microsoft.com/office/drawing/2014/main" id="{2EFB1C0B-0A32-4934-B691-FDA35BBC8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4777" cy="6162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1544777</xdr:colOff>
      <xdr:row>3</xdr:row>
      <xdr:rowOff>16151</xdr:rowOff>
    </xdr:to>
    <xdr:pic>
      <xdr:nvPicPr>
        <xdr:cNvPr id="2" name="Imagem 1">
          <a:extLst>
            <a:ext uri="{FF2B5EF4-FFF2-40B4-BE49-F238E27FC236}">
              <a16:creationId xmlns:a16="http://schemas.microsoft.com/office/drawing/2014/main" id="{4D650668-FA29-4684-A90A-4C31C2373A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4777" cy="6162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1544777</xdr:colOff>
      <xdr:row>3</xdr:row>
      <xdr:rowOff>16151</xdr:rowOff>
    </xdr:to>
    <xdr:pic>
      <xdr:nvPicPr>
        <xdr:cNvPr id="2" name="Imagem 1">
          <a:extLst>
            <a:ext uri="{FF2B5EF4-FFF2-40B4-BE49-F238E27FC236}">
              <a16:creationId xmlns:a16="http://schemas.microsoft.com/office/drawing/2014/main" id="{14807D57-A9ED-4C4D-8D7D-E10F93E100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4777" cy="6162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1544777</xdr:colOff>
      <xdr:row>3</xdr:row>
      <xdr:rowOff>16151</xdr:rowOff>
    </xdr:to>
    <xdr:pic>
      <xdr:nvPicPr>
        <xdr:cNvPr id="2" name="Imagem 1">
          <a:extLst>
            <a:ext uri="{FF2B5EF4-FFF2-40B4-BE49-F238E27FC236}">
              <a16:creationId xmlns:a16="http://schemas.microsoft.com/office/drawing/2014/main" id="{33088CC8-1B23-4A5C-BCEA-B43F53FF44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44777" cy="61622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9DD95-23B6-4368-8356-D7542476EE7C}">
  <sheetPr>
    <tabColor rgb="FF1B7754"/>
  </sheetPr>
  <dimension ref="A1:N18"/>
  <sheetViews>
    <sheetView showGridLines="0" tabSelected="1" zoomScaleNormal="100" workbookViewId="0"/>
  </sheetViews>
  <sheetFormatPr defaultColWidth="0" defaultRowHeight="14.5" customHeight="1" zeroHeight="1" x14ac:dyDescent="0.35"/>
  <cols>
    <col min="1" max="13" width="9.1796875" style="55" customWidth="1"/>
    <col min="14" max="14" width="8.81640625" style="55" customWidth="1"/>
    <col min="15" max="16" width="9.1796875" style="55" hidden="1" customWidth="1"/>
    <col min="17" max="16384" width="9.1796875" style="55" hidden="1"/>
  </cols>
  <sheetData>
    <row r="1" spans="1:1" x14ac:dyDescent="0.35">
      <c r="A1" s="55" t="s">
        <v>0</v>
      </c>
    </row>
    <row r="2" spans="1:1" x14ac:dyDescent="0.35"/>
    <row r="3" spans="1:1" x14ac:dyDescent="0.35"/>
    <row r="4" spans="1:1" x14ac:dyDescent="0.35"/>
    <row r="5" spans="1:1" x14ac:dyDescent="0.35"/>
    <row r="6" spans="1:1" x14ac:dyDescent="0.35"/>
    <row r="7" spans="1:1" x14ac:dyDescent="0.35"/>
    <row r="8" spans="1:1" x14ac:dyDescent="0.35"/>
    <row r="9" spans="1:1" x14ac:dyDescent="0.35"/>
    <row r="10" spans="1:1" x14ac:dyDescent="0.35"/>
    <row r="11" spans="1:1" x14ac:dyDescent="0.35"/>
    <row r="12" spans="1:1" x14ac:dyDescent="0.35"/>
    <row r="13" spans="1:1" x14ac:dyDescent="0.35"/>
    <row r="14" spans="1:1" x14ac:dyDescent="0.35"/>
    <row r="15" spans="1:1" x14ac:dyDescent="0.35"/>
    <row r="16" spans="1:1" ht="14.25" customHeight="1" x14ac:dyDescent="0.35"/>
    <row r="17" ht="14.25" customHeight="1" x14ac:dyDescent="0.35"/>
    <row r="18" x14ac:dyDescent="0.35"/>
  </sheetData>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B7754"/>
  </sheetPr>
  <dimension ref="B1:W67"/>
  <sheetViews>
    <sheetView showGridLines="0" workbookViewId="0"/>
  </sheetViews>
  <sheetFormatPr defaultColWidth="13.08984375" defaultRowHeight="12.5" x14ac:dyDescent="0.25"/>
  <cols>
    <col min="1" max="1" width="1.08984375" customWidth="1"/>
    <col min="2" max="2" width="55" customWidth="1"/>
    <col min="3" max="18" width="10.90625" customWidth="1"/>
    <col min="19" max="19" width="9.26953125" customWidth="1"/>
    <col min="20" max="21" width="9.6328125" customWidth="1"/>
    <col min="22" max="23" width="11" customWidth="1"/>
  </cols>
  <sheetData>
    <row r="1" spans="2:23" ht="15.75" customHeight="1" x14ac:dyDescent="0.25">
      <c r="O1" s="3"/>
      <c r="P1" s="3"/>
      <c r="Q1" s="3"/>
      <c r="R1" s="3"/>
      <c r="S1" s="3"/>
      <c r="T1" s="3"/>
      <c r="U1" s="3"/>
      <c r="V1" s="3"/>
      <c r="W1" s="3"/>
    </row>
    <row r="2" spans="2:23" ht="15.75" customHeight="1" x14ac:dyDescent="0.45">
      <c r="B2" s="4"/>
      <c r="C2" s="4"/>
      <c r="D2" s="4"/>
      <c r="E2" s="4"/>
      <c r="F2" s="4"/>
      <c r="G2" s="4"/>
      <c r="H2" s="4"/>
      <c r="I2" s="4"/>
      <c r="J2" s="4"/>
      <c r="K2" s="4"/>
      <c r="L2" s="4"/>
      <c r="M2" s="3"/>
      <c r="N2" s="4"/>
      <c r="O2" s="4"/>
      <c r="Q2" s="100" t="s">
        <v>1</v>
      </c>
      <c r="R2" s="101"/>
      <c r="S2" s="101"/>
      <c r="T2" s="101"/>
      <c r="U2" s="101"/>
      <c r="V2" s="101"/>
      <c r="W2" s="101"/>
    </row>
    <row r="3" spans="2:23" ht="15.75" customHeight="1" x14ac:dyDescent="0.45">
      <c r="B3" s="4"/>
      <c r="C3" s="4"/>
      <c r="D3" s="4"/>
      <c r="E3" s="4"/>
      <c r="F3" s="4"/>
      <c r="G3" s="4"/>
      <c r="H3" s="4"/>
      <c r="I3" s="4"/>
      <c r="J3" s="4"/>
      <c r="K3" s="4"/>
      <c r="L3" s="3"/>
      <c r="M3" s="3"/>
      <c r="N3" s="4"/>
      <c r="O3" s="4"/>
      <c r="Q3" s="101"/>
      <c r="R3" s="101"/>
      <c r="S3" s="101"/>
      <c r="T3" s="101"/>
      <c r="U3" s="101"/>
      <c r="V3" s="101"/>
      <c r="W3" s="101"/>
    </row>
    <row r="4" spans="2:23" ht="15.75" customHeight="1" x14ac:dyDescent="0.45">
      <c r="B4" s="4"/>
      <c r="C4" s="4"/>
      <c r="D4" s="4"/>
      <c r="E4" s="4"/>
      <c r="F4" s="4"/>
      <c r="G4" s="4"/>
      <c r="H4" s="4"/>
      <c r="I4" s="4"/>
      <c r="J4" s="4"/>
      <c r="K4" s="4"/>
      <c r="L4" s="4"/>
      <c r="M4" s="4"/>
      <c r="N4" s="4"/>
      <c r="O4" s="4"/>
      <c r="P4" s="3"/>
      <c r="Q4" s="3"/>
      <c r="R4" s="3"/>
      <c r="S4" s="3"/>
      <c r="T4" s="3"/>
      <c r="U4" s="3"/>
      <c r="V4" s="3"/>
      <c r="W4" s="3"/>
    </row>
    <row r="5" spans="2:23" ht="15.75" customHeight="1" x14ac:dyDescent="0.25">
      <c r="B5" s="5" t="s">
        <v>2</v>
      </c>
      <c r="C5" s="99" t="s">
        <v>3</v>
      </c>
      <c r="D5" s="99" t="s">
        <v>4</v>
      </c>
      <c r="E5" s="99" t="s">
        <v>5</v>
      </c>
      <c r="F5" s="99" t="s">
        <v>6</v>
      </c>
      <c r="G5" s="99" t="s">
        <v>7</v>
      </c>
      <c r="H5" s="99" t="s">
        <v>8</v>
      </c>
      <c r="I5" s="99" t="s">
        <v>9</v>
      </c>
      <c r="J5" s="99" t="s">
        <v>10</v>
      </c>
      <c r="K5" s="99" t="s">
        <v>11</v>
      </c>
      <c r="L5" s="99" t="s">
        <v>12</v>
      </c>
      <c r="M5" s="99" t="s">
        <v>13</v>
      </c>
      <c r="N5" s="99" t="s">
        <v>14</v>
      </c>
      <c r="O5" s="99" t="s">
        <v>15</v>
      </c>
      <c r="P5" s="99" t="s">
        <v>16</v>
      </c>
      <c r="Q5" s="99" t="s">
        <v>17</v>
      </c>
      <c r="R5" s="99" t="s">
        <v>18</v>
      </c>
      <c r="S5" s="99" t="s">
        <v>19</v>
      </c>
      <c r="T5" s="99" t="s">
        <v>20</v>
      </c>
      <c r="U5" s="99" t="s">
        <v>21</v>
      </c>
      <c r="V5" s="99" t="s">
        <v>22</v>
      </c>
      <c r="W5" s="99" t="s">
        <v>23</v>
      </c>
    </row>
    <row r="6" spans="2:23" ht="15.75" customHeight="1" x14ac:dyDescent="0.25">
      <c r="B6" s="6" t="s">
        <v>24</v>
      </c>
      <c r="C6" s="99"/>
      <c r="D6" s="99"/>
      <c r="E6" s="99"/>
      <c r="F6" s="99"/>
      <c r="G6" s="99"/>
      <c r="H6" s="99"/>
      <c r="I6" s="99"/>
      <c r="J6" s="99"/>
      <c r="K6" s="99"/>
      <c r="L6" s="99"/>
      <c r="M6" s="99"/>
      <c r="N6" s="99"/>
      <c r="O6" s="99"/>
      <c r="P6" s="99"/>
      <c r="Q6" s="99"/>
      <c r="R6" s="99"/>
      <c r="S6" s="99"/>
      <c r="T6" s="99"/>
      <c r="U6" s="99"/>
      <c r="V6" s="99"/>
      <c r="W6" s="99"/>
    </row>
    <row r="7" spans="2:23" ht="15.75" customHeight="1" x14ac:dyDescent="0.25">
      <c r="B7" s="7" t="s">
        <v>25</v>
      </c>
      <c r="C7" s="56">
        <v>9521</v>
      </c>
      <c r="D7" s="56">
        <v>11283</v>
      </c>
      <c r="E7" s="56">
        <v>310001</v>
      </c>
      <c r="F7" s="56">
        <v>230993</v>
      </c>
      <c r="G7" s="56">
        <v>499024</v>
      </c>
      <c r="H7" s="56">
        <v>593832</v>
      </c>
      <c r="I7" s="56">
        <v>948613</v>
      </c>
      <c r="J7" s="56">
        <v>859818</v>
      </c>
      <c r="K7" s="56">
        <v>689438</v>
      </c>
      <c r="L7" s="56">
        <v>1057322</v>
      </c>
      <c r="M7" s="56">
        <v>1719194</v>
      </c>
      <c r="N7" s="56">
        <v>2891822.1</v>
      </c>
      <c r="O7" s="56">
        <v>1589854</v>
      </c>
      <c r="P7" s="56">
        <v>844178</v>
      </c>
      <c r="Q7" s="56">
        <v>1374855</v>
      </c>
      <c r="R7" s="56">
        <v>2159077</v>
      </c>
      <c r="S7" s="56">
        <v>1814044</v>
      </c>
      <c r="T7" s="56">
        <v>1914600</v>
      </c>
      <c r="U7" s="56">
        <v>3328233</v>
      </c>
      <c r="V7" s="56">
        <v>2955191</v>
      </c>
      <c r="W7" s="56">
        <v>2794937</v>
      </c>
    </row>
    <row r="8" spans="2:23" ht="15.75" customHeight="1" x14ac:dyDescent="0.25">
      <c r="B8" s="8" t="s">
        <v>26</v>
      </c>
      <c r="C8" s="57">
        <v>209432</v>
      </c>
      <c r="D8" s="56">
        <v>16814</v>
      </c>
      <c r="E8" s="56">
        <v>79586</v>
      </c>
      <c r="F8" s="56">
        <v>41</v>
      </c>
      <c r="G8" s="56">
        <v>81</v>
      </c>
      <c r="H8" s="56">
        <v>13540</v>
      </c>
      <c r="I8" s="56">
        <v>97716</v>
      </c>
      <c r="J8" s="56">
        <v>15160</v>
      </c>
      <c r="K8" s="56">
        <v>97633</v>
      </c>
      <c r="L8" s="56">
        <v>16299</v>
      </c>
      <c r="M8" s="56">
        <v>216598</v>
      </c>
      <c r="N8" s="56">
        <v>14880</v>
      </c>
      <c r="O8" s="56">
        <v>96958</v>
      </c>
      <c r="P8" s="56">
        <v>3115697</v>
      </c>
      <c r="Q8" s="56">
        <v>3109084</v>
      </c>
      <c r="R8" s="56">
        <v>1652881</v>
      </c>
      <c r="S8" s="56">
        <v>1243808</v>
      </c>
      <c r="T8" s="56">
        <v>0</v>
      </c>
      <c r="U8" s="56">
        <v>0</v>
      </c>
      <c r="V8" s="56">
        <v>0</v>
      </c>
      <c r="W8" s="56">
        <v>0</v>
      </c>
    </row>
    <row r="9" spans="2:23" ht="15.75" customHeight="1" x14ac:dyDescent="0.25">
      <c r="B9" s="8" t="s">
        <v>27</v>
      </c>
      <c r="C9" s="57">
        <v>15514</v>
      </c>
      <c r="D9" s="56">
        <v>22462</v>
      </c>
      <c r="E9" s="56">
        <v>75818</v>
      </c>
      <c r="F9" s="56">
        <v>665534</v>
      </c>
      <c r="G9" s="56">
        <v>251044</v>
      </c>
      <c r="H9" s="56">
        <v>70528</v>
      </c>
      <c r="I9" s="56">
        <v>28876</v>
      </c>
      <c r="J9" s="56">
        <v>171105</v>
      </c>
      <c r="K9" s="56">
        <v>115617</v>
      </c>
      <c r="L9" s="56">
        <v>76425</v>
      </c>
      <c r="M9" s="56">
        <v>383976</v>
      </c>
      <c r="N9" s="56">
        <v>342392</v>
      </c>
      <c r="O9" s="56">
        <v>2051740</v>
      </c>
      <c r="P9" s="56">
        <v>2131340</v>
      </c>
      <c r="Q9" s="56">
        <v>2256928</v>
      </c>
      <c r="R9" s="56">
        <v>2274857</v>
      </c>
      <c r="S9" s="56">
        <v>2438709</v>
      </c>
      <c r="T9" s="56">
        <v>2868163</v>
      </c>
      <c r="U9" s="56">
        <v>1246927</v>
      </c>
      <c r="V9" s="56">
        <v>854184</v>
      </c>
      <c r="W9" s="56">
        <v>540428</v>
      </c>
    </row>
    <row r="10" spans="2:23" ht="15.75" customHeight="1" x14ac:dyDescent="0.25">
      <c r="B10" s="8" t="s">
        <v>28</v>
      </c>
      <c r="C10" s="57">
        <v>25325</v>
      </c>
      <c r="D10" s="56">
        <v>37721</v>
      </c>
      <c r="E10" s="56">
        <v>104197</v>
      </c>
      <c r="F10" s="56">
        <v>126236</v>
      </c>
      <c r="G10" s="56">
        <v>45051</v>
      </c>
      <c r="H10" s="56">
        <v>120590</v>
      </c>
      <c r="I10" s="56">
        <v>111610</v>
      </c>
      <c r="J10" s="56">
        <v>154986</v>
      </c>
      <c r="K10" s="56">
        <v>167976</v>
      </c>
      <c r="L10" s="56">
        <v>181596</v>
      </c>
      <c r="M10" s="56">
        <v>284931</v>
      </c>
      <c r="N10" s="56">
        <v>271101</v>
      </c>
      <c r="O10" s="56">
        <v>310801</v>
      </c>
      <c r="P10" s="56">
        <v>491912</v>
      </c>
      <c r="Q10" s="56">
        <v>271314</v>
      </c>
      <c r="R10" s="56">
        <v>50477</v>
      </c>
      <c r="S10" s="56">
        <v>25237</v>
      </c>
      <c r="T10" s="56">
        <v>278034</v>
      </c>
      <c r="U10" s="56">
        <v>380830</v>
      </c>
      <c r="V10" s="56">
        <v>498152</v>
      </c>
      <c r="W10" s="56">
        <v>407398</v>
      </c>
    </row>
    <row r="11" spans="2:23" ht="15.75" customHeight="1" x14ac:dyDescent="0.25">
      <c r="B11" s="8" t="s">
        <v>29</v>
      </c>
      <c r="C11" s="57">
        <v>0</v>
      </c>
      <c r="D11" s="57">
        <v>0</v>
      </c>
      <c r="E11" s="57">
        <v>0</v>
      </c>
      <c r="F11" s="57">
        <v>0</v>
      </c>
      <c r="G11" s="57">
        <v>0</v>
      </c>
      <c r="H11" s="57">
        <v>0</v>
      </c>
      <c r="I11" s="57">
        <v>0</v>
      </c>
      <c r="J11" s="57">
        <v>0</v>
      </c>
      <c r="K11" s="57">
        <v>0</v>
      </c>
      <c r="L11" s="57">
        <v>0</v>
      </c>
      <c r="M11" s="57">
        <v>0</v>
      </c>
      <c r="N11" s="57">
        <v>0</v>
      </c>
      <c r="O11" s="57">
        <v>0</v>
      </c>
      <c r="P11" s="57">
        <v>0</v>
      </c>
      <c r="Q11" s="56">
        <v>166435</v>
      </c>
      <c r="R11" s="56">
        <v>25409</v>
      </c>
      <c r="S11" s="56">
        <v>7889</v>
      </c>
      <c r="T11" s="56">
        <v>11781</v>
      </c>
      <c r="U11" s="56">
        <v>0</v>
      </c>
      <c r="V11" s="56">
        <v>0</v>
      </c>
      <c r="W11" s="56">
        <v>0</v>
      </c>
    </row>
    <row r="12" spans="2:23" ht="15.75" customHeight="1" x14ac:dyDescent="0.25">
      <c r="B12" s="8" t="s">
        <v>30</v>
      </c>
      <c r="C12" s="57">
        <v>36798</v>
      </c>
      <c r="D12" s="56">
        <v>122651</v>
      </c>
      <c r="E12" s="56">
        <v>305176</v>
      </c>
      <c r="F12" s="56">
        <v>345076</v>
      </c>
      <c r="G12" s="56">
        <v>802138</v>
      </c>
      <c r="H12" s="56">
        <v>781916</v>
      </c>
      <c r="I12" s="56">
        <v>469883</v>
      </c>
      <c r="J12" s="56">
        <v>706838</v>
      </c>
      <c r="K12" s="56">
        <v>1977124</v>
      </c>
      <c r="L12" s="56">
        <v>1405513</v>
      </c>
      <c r="M12" s="56">
        <v>786727</v>
      </c>
      <c r="N12" s="56">
        <v>1486067</v>
      </c>
      <c r="O12" s="56">
        <v>2377212</v>
      </c>
      <c r="P12" s="56">
        <v>1921435</v>
      </c>
      <c r="Q12" s="56">
        <v>1067026</v>
      </c>
      <c r="R12" s="56">
        <v>1505010</v>
      </c>
      <c r="S12" s="56">
        <v>2870325</v>
      </c>
      <c r="T12" s="56">
        <v>2235564</v>
      </c>
      <c r="U12" s="56">
        <v>1092861</v>
      </c>
      <c r="V12" s="56">
        <v>1671651</v>
      </c>
      <c r="W12" s="56">
        <v>2235367</v>
      </c>
    </row>
    <row r="13" spans="2:23" ht="15.75" customHeight="1" x14ac:dyDescent="0.25">
      <c r="B13" s="8" t="s">
        <v>31</v>
      </c>
      <c r="C13" s="57">
        <v>5709</v>
      </c>
      <c r="D13" s="56">
        <v>6817</v>
      </c>
      <c r="E13" s="56">
        <v>60652</v>
      </c>
      <c r="F13" s="56">
        <v>15654</v>
      </c>
      <c r="G13" s="56">
        <v>10462</v>
      </c>
      <c r="H13" s="56">
        <v>24904</v>
      </c>
      <c r="I13" s="56">
        <v>26967</v>
      </c>
      <c r="J13" s="56">
        <v>18878</v>
      </c>
      <c r="K13" s="56">
        <v>26889</v>
      </c>
      <c r="L13" s="56">
        <v>55516</v>
      </c>
      <c r="M13" s="56">
        <v>48997</v>
      </c>
      <c r="N13" s="56">
        <v>11334</v>
      </c>
      <c r="O13" s="56">
        <v>56811</v>
      </c>
      <c r="P13" s="56">
        <v>41529</v>
      </c>
      <c r="Q13" s="56">
        <v>53143</v>
      </c>
      <c r="R13" s="56">
        <v>0</v>
      </c>
      <c r="S13" s="56">
        <v>30065</v>
      </c>
      <c r="T13" s="56">
        <v>24832</v>
      </c>
      <c r="U13" s="56">
        <v>47721</v>
      </c>
      <c r="V13" s="56">
        <v>39309</v>
      </c>
      <c r="W13" s="56">
        <v>156220</v>
      </c>
    </row>
    <row r="14" spans="2:23" ht="15.75" customHeight="1" x14ac:dyDescent="0.25">
      <c r="B14" s="8" t="s">
        <v>32</v>
      </c>
      <c r="C14" s="57">
        <v>0</v>
      </c>
      <c r="D14" s="56">
        <v>14906</v>
      </c>
      <c r="E14" s="56">
        <v>3881</v>
      </c>
      <c r="F14" s="56">
        <v>2551</v>
      </c>
      <c r="G14" s="56">
        <v>2551</v>
      </c>
      <c r="H14" s="56">
        <v>2589</v>
      </c>
      <c r="I14" s="56">
        <v>169</v>
      </c>
      <c r="J14" s="56">
        <v>0</v>
      </c>
      <c r="K14" s="56">
        <v>17142</v>
      </c>
      <c r="L14" s="56">
        <v>0</v>
      </c>
      <c r="M14" s="56">
        <v>0</v>
      </c>
      <c r="N14" s="56">
        <v>0</v>
      </c>
      <c r="O14" s="56">
        <v>0</v>
      </c>
      <c r="P14" s="56">
        <v>0</v>
      </c>
      <c r="Q14" s="56">
        <v>0</v>
      </c>
      <c r="R14" s="56">
        <v>0</v>
      </c>
      <c r="S14" s="56">
        <v>0</v>
      </c>
      <c r="T14" s="56">
        <v>0</v>
      </c>
      <c r="U14" s="56">
        <v>0</v>
      </c>
      <c r="V14" s="56">
        <v>0</v>
      </c>
      <c r="W14" s="56">
        <v>78064</v>
      </c>
    </row>
    <row r="15" spans="2:23" ht="15.75" customHeight="1" x14ac:dyDescent="0.25">
      <c r="B15" s="8" t="s">
        <v>33</v>
      </c>
      <c r="C15" s="57">
        <v>669</v>
      </c>
      <c r="D15" s="56">
        <v>8415</v>
      </c>
      <c r="E15" s="56">
        <v>64412</v>
      </c>
      <c r="F15" s="56">
        <v>60575</v>
      </c>
      <c r="G15" s="56">
        <v>127207</v>
      </c>
      <c r="H15" s="56">
        <v>133168</v>
      </c>
      <c r="I15" s="56">
        <v>110345</v>
      </c>
      <c r="J15" s="56">
        <v>145628</v>
      </c>
      <c r="K15" s="56">
        <v>268086</v>
      </c>
      <c r="L15" s="56">
        <v>66903</v>
      </c>
      <c r="M15" s="56">
        <v>122332</v>
      </c>
      <c r="N15" s="56">
        <v>165940.80489</v>
      </c>
      <c r="O15" s="56">
        <v>236883</v>
      </c>
      <c r="P15" s="56">
        <v>281818</v>
      </c>
      <c r="Q15" s="56">
        <v>383452</v>
      </c>
      <c r="R15" s="56">
        <v>324036</v>
      </c>
      <c r="S15" s="56">
        <v>430318</v>
      </c>
      <c r="T15" s="56">
        <v>537822</v>
      </c>
      <c r="U15" s="56">
        <v>591627</v>
      </c>
      <c r="V15" s="56">
        <v>667265</v>
      </c>
      <c r="W15" s="56">
        <v>501762</v>
      </c>
    </row>
    <row r="16" spans="2:23" ht="15.75" customHeight="1" x14ac:dyDescent="0.25">
      <c r="B16" s="8" t="s">
        <v>34</v>
      </c>
      <c r="C16" s="57">
        <v>740</v>
      </c>
      <c r="D16" s="56">
        <v>1075</v>
      </c>
      <c r="E16" s="56">
        <v>2909</v>
      </c>
      <c r="F16" s="56">
        <v>9212</v>
      </c>
      <c r="G16" s="56">
        <v>12318</v>
      </c>
      <c r="H16" s="56">
        <v>7423</v>
      </c>
      <c r="I16" s="56">
        <v>17356</v>
      </c>
      <c r="J16" s="56">
        <v>28478</v>
      </c>
      <c r="K16" s="56">
        <v>42604</v>
      </c>
      <c r="L16" s="56">
        <v>29202</v>
      </c>
      <c r="M16" s="56">
        <v>24642</v>
      </c>
      <c r="N16" s="56">
        <v>51915</v>
      </c>
      <c r="O16" s="56">
        <v>53448</v>
      </c>
      <c r="P16" s="56">
        <v>49553</v>
      </c>
      <c r="Q16" s="56">
        <v>40915</v>
      </c>
      <c r="R16" s="56">
        <v>66894</v>
      </c>
      <c r="S16" s="56">
        <v>95035</v>
      </c>
      <c r="T16" s="56">
        <v>70673</v>
      </c>
      <c r="U16" s="56">
        <v>52566</v>
      </c>
      <c r="V16" s="56">
        <v>65802</v>
      </c>
      <c r="W16" s="56">
        <v>88004</v>
      </c>
    </row>
    <row r="17" spans="2:23" ht="15.75" customHeight="1" x14ac:dyDescent="0.25">
      <c r="B17" s="8" t="s">
        <v>35</v>
      </c>
      <c r="C17" s="57">
        <v>0</v>
      </c>
      <c r="D17" s="56">
        <v>0</v>
      </c>
      <c r="E17" s="56">
        <v>5564</v>
      </c>
      <c r="F17" s="56">
        <v>4665</v>
      </c>
      <c r="G17" s="56">
        <v>4665</v>
      </c>
      <c r="H17" s="56">
        <v>19462</v>
      </c>
      <c r="I17" s="56">
        <v>6093</v>
      </c>
      <c r="J17" s="56">
        <v>6093</v>
      </c>
      <c r="K17" s="56">
        <v>6093</v>
      </c>
      <c r="L17" s="56">
        <v>6093</v>
      </c>
      <c r="M17" s="56">
        <v>3760</v>
      </c>
      <c r="N17" s="56">
        <v>3760</v>
      </c>
      <c r="O17" s="56">
        <v>5621</v>
      </c>
      <c r="P17" s="56">
        <v>3060</v>
      </c>
      <c r="Q17" s="56">
        <v>984</v>
      </c>
      <c r="R17" s="56">
        <v>617</v>
      </c>
      <c r="S17" s="56">
        <v>0</v>
      </c>
      <c r="T17" s="56">
        <v>0</v>
      </c>
      <c r="U17" s="56">
        <v>0</v>
      </c>
      <c r="V17" s="56">
        <v>0</v>
      </c>
      <c r="W17" s="56">
        <v>0</v>
      </c>
    </row>
    <row r="18" spans="2:23" ht="15.75" customHeight="1" x14ac:dyDescent="0.25">
      <c r="B18" s="8" t="s">
        <v>36</v>
      </c>
      <c r="C18" s="57">
        <v>0</v>
      </c>
      <c r="D18" s="56">
        <v>0</v>
      </c>
      <c r="E18" s="56">
        <v>24049</v>
      </c>
      <c r="F18" s="56">
        <v>23397</v>
      </c>
      <c r="G18" s="56">
        <v>21381</v>
      </c>
      <c r="H18" s="56">
        <v>10723</v>
      </c>
      <c r="I18" s="56">
        <v>13351</v>
      </c>
      <c r="J18" s="56">
        <v>276</v>
      </c>
      <c r="K18" s="56">
        <v>13804</v>
      </c>
      <c r="L18" s="56">
        <v>43179</v>
      </c>
      <c r="M18" s="56">
        <v>75063</v>
      </c>
      <c r="N18" s="56">
        <v>92771</v>
      </c>
      <c r="O18" s="56">
        <v>35357</v>
      </c>
      <c r="P18" s="56">
        <v>11689</v>
      </c>
      <c r="Q18" s="56">
        <v>40478</v>
      </c>
      <c r="R18" s="56">
        <v>117314</v>
      </c>
      <c r="S18" s="56">
        <v>87954</v>
      </c>
      <c r="T18" s="56">
        <v>10518</v>
      </c>
      <c r="U18" s="56">
        <v>3666</v>
      </c>
      <c r="V18" s="56">
        <v>57170</v>
      </c>
      <c r="W18" s="56">
        <v>32666</v>
      </c>
    </row>
    <row r="19" spans="2:23" ht="15.75" customHeight="1" x14ac:dyDescent="0.25">
      <c r="B19" s="8" t="s">
        <v>37</v>
      </c>
      <c r="C19" s="57">
        <v>0</v>
      </c>
      <c r="D19" s="56">
        <v>387</v>
      </c>
      <c r="E19" s="56">
        <v>387</v>
      </c>
      <c r="F19" s="56">
        <v>516</v>
      </c>
      <c r="G19" s="56">
        <v>1118</v>
      </c>
      <c r="H19" s="56">
        <v>964</v>
      </c>
      <c r="I19" s="56">
        <v>1598</v>
      </c>
      <c r="J19" s="56">
        <v>1992</v>
      </c>
      <c r="K19" s="56">
        <v>1895</v>
      </c>
      <c r="L19" s="56">
        <v>1573</v>
      </c>
      <c r="M19" s="56">
        <v>9019</v>
      </c>
      <c r="N19" s="56">
        <v>13412</v>
      </c>
      <c r="O19" s="56">
        <v>16702</v>
      </c>
      <c r="P19" s="56">
        <v>63085</v>
      </c>
      <c r="Q19" s="56">
        <v>36466</v>
      </c>
      <c r="R19" s="56">
        <v>10794</v>
      </c>
      <c r="S19" s="56">
        <v>2616</v>
      </c>
      <c r="T19" s="56">
        <v>8288</v>
      </c>
      <c r="U19" s="56">
        <v>1804</v>
      </c>
      <c r="V19" s="56">
        <v>39102</v>
      </c>
      <c r="W19" s="56">
        <v>27340</v>
      </c>
    </row>
    <row r="20" spans="2:23" ht="15.75" customHeight="1" x14ac:dyDescent="0.25">
      <c r="B20" s="9" t="s">
        <v>38</v>
      </c>
      <c r="C20" s="58">
        <v>303708</v>
      </c>
      <c r="D20" s="58">
        <v>242531</v>
      </c>
      <c r="E20" s="58">
        <v>1036632</v>
      </c>
      <c r="F20" s="58">
        <v>1484450</v>
      </c>
      <c r="G20" s="58">
        <v>1777040</v>
      </c>
      <c r="H20" s="58">
        <v>1779639</v>
      </c>
      <c r="I20" s="58">
        <v>1832577</v>
      </c>
      <c r="J20" s="58">
        <v>2109252</v>
      </c>
      <c r="K20" s="58">
        <v>3424301</v>
      </c>
      <c r="L20" s="58">
        <v>2939621</v>
      </c>
      <c r="M20" s="58">
        <v>3675239</v>
      </c>
      <c r="N20" s="58">
        <v>5345394.9048899999</v>
      </c>
      <c r="O20" s="58">
        <v>6831387</v>
      </c>
      <c r="P20" s="58">
        <v>8955296</v>
      </c>
      <c r="Q20" s="58">
        <v>8801080</v>
      </c>
      <c r="R20" s="58">
        <f t="shared" ref="R20:W20" si="0">SUM(R7:R19)</f>
        <v>8187366</v>
      </c>
      <c r="S20" s="58">
        <f t="shared" si="0"/>
        <v>9046000</v>
      </c>
      <c r="T20" s="58">
        <f t="shared" si="0"/>
        <v>7960275</v>
      </c>
      <c r="U20" s="58">
        <f t="shared" si="0"/>
        <v>6746235</v>
      </c>
      <c r="V20" s="58">
        <f t="shared" si="0"/>
        <v>6847826</v>
      </c>
      <c r="W20" s="58">
        <f t="shared" si="0"/>
        <v>6862186</v>
      </c>
    </row>
    <row r="21" spans="2:23" ht="15" customHeight="1" x14ac:dyDescent="0.25">
      <c r="B21" s="8" t="s">
        <v>39</v>
      </c>
      <c r="C21" s="56">
        <v>0</v>
      </c>
      <c r="D21" s="56">
        <v>0</v>
      </c>
      <c r="E21" s="56">
        <v>0</v>
      </c>
      <c r="F21" s="56">
        <v>0</v>
      </c>
      <c r="G21" s="56">
        <v>0</v>
      </c>
      <c r="H21" s="56">
        <v>0</v>
      </c>
      <c r="I21" s="56">
        <v>0</v>
      </c>
      <c r="J21" s="56">
        <v>0</v>
      </c>
      <c r="K21" s="56">
        <v>0</v>
      </c>
      <c r="L21" s="56">
        <v>0</v>
      </c>
      <c r="M21" s="56">
        <v>0</v>
      </c>
      <c r="N21" s="56">
        <v>0</v>
      </c>
      <c r="O21" s="56">
        <v>0</v>
      </c>
      <c r="P21" s="56">
        <v>0</v>
      </c>
      <c r="Q21" s="56">
        <v>0</v>
      </c>
      <c r="R21" s="56">
        <v>0</v>
      </c>
      <c r="S21" s="56">
        <v>0</v>
      </c>
      <c r="T21" s="56">
        <v>0</v>
      </c>
      <c r="U21" s="56">
        <v>3468</v>
      </c>
      <c r="V21" s="56">
        <v>3468</v>
      </c>
      <c r="W21" s="56">
        <v>6340</v>
      </c>
    </row>
    <row r="22" spans="2:23" ht="15" customHeight="1" x14ac:dyDescent="0.25">
      <c r="B22" s="8" t="s">
        <v>26</v>
      </c>
      <c r="C22" s="57">
        <v>0</v>
      </c>
      <c r="D22" s="56">
        <v>0</v>
      </c>
      <c r="E22" s="56">
        <v>0</v>
      </c>
      <c r="F22" s="56">
        <v>0</v>
      </c>
      <c r="G22" s="56">
        <v>0</v>
      </c>
      <c r="H22" s="56">
        <v>2810640</v>
      </c>
      <c r="I22" s="56">
        <v>3385056</v>
      </c>
      <c r="J22" s="56">
        <v>2972066</v>
      </c>
      <c r="K22" s="56">
        <v>3231825</v>
      </c>
      <c r="L22" s="56">
        <v>3318748</v>
      </c>
      <c r="M22" s="56">
        <v>2817419</v>
      </c>
      <c r="N22" s="56">
        <v>3114900</v>
      </c>
      <c r="O22" s="56">
        <v>3212337</v>
      </c>
      <c r="P22" s="56">
        <v>0</v>
      </c>
      <c r="Q22" s="56">
        <v>0</v>
      </c>
      <c r="R22" s="56">
        <v>0</v>
      </c>
      <c r="S22" s="56">
        <v>0</v>
      </c>
      <c r="T22" s="56">
        <v>0</v>
      </c>
      <c r="U22" s="56">
        <v>0</v>
      </c>
      <c r="V22" s="56">
        <v>0</v>
      </c>
      <c r="W22" s="56">
        <v>0</v>
      </c>
    </row>
    <row r="23" spans="2:23" ht="15.75" customHeight="1" x14ac:dyDescent="0.25">
      <c r="B23" s="8" t="s">
        <v>40</v>
      </c>
      <c r="C23" s="56">
        <v>0</v>
      </c>
      <c r="D23" s="56">
        <v>0</v>
      </c>
      <c r="E23" s="56">
        <v>0</v>
      </c>
      <c r="F23" s="56">
        <v>0</v>
      </c>
      <c r="G23" s="56">
        <v>0</v>
      </c>
      <c r="H23" s="56">
        <v>0</v>
      </c>
      <c r="I23" s="56">
        <v>0</v>
      </c>
      <c r="J23" s="56">
        <v>0</v>
      </c>
      <c r="K23" s="56">
        <v>0</v>
      </c>
      <c r="L23" s="56">
        <v>16227</v>
      </c>
      <c r="M23" s="56">
        <v>16547</v>
      </c>
      <c r="N23" s="56">
        <v>17045</v>
      </c>
      <c r="O23" s="56">
        <v>16908</v>
      </c>
      <c r="P23" s="56">
        <v>42694</v>
      </c>
      <c r="Q23" s="56">
        <v>39246</v>
      </c>
      <c r="R23" s="56">
        <v>35529</v>
      </c>
      <c r="S23" s="56">
        <v>49892</v>
      </c>
      <c r="T23" s="56">
        <v>49807</v>
      </c>
      <c r="U23" s="56">
        <v>51188</v>
      </c>
      <c r="V23" s="56">
        <v>52972</v>
      </c>
      <c r="W23" s="56">
        <v>49338</v>
      </c>
    </row>
    <row r="24" spans="2:23" ht="15.75" customHeight="1" x14ac:dyDescent="0.25">
      <c r="B24" s="8" t="s">
        <v>31</v>
      </c>
      <c r="C24" s="57">
        <v>1841</v>
      </c>
      <c r="D24" s="56">
        <v>6883</v>
      </c>
      <c r="E24" s="56">
        <v>9106</v>
      </c>
      <c r="F24" s="56">
        <v>9106</v>
      </c>
      <c r="G24" s="56">
        <v>12967</v>
      </c>
      <c r="H24" s="56">
        <v>12968</v>
      </c>
      <c r="I24" s="56">
        <v>12968</v>
      </c>
      <c r="J24" s="56">
        <v>12968</v>
      </c>
      <c r="K24" s="56">
        <v>20029</v>
      </c>
      <c r="L24" s="56">
        <v>27435</v>
      </c>
      <c r="M24" s="56">
        <v>55497</v>
      </c>
      <c r="N24" s="56">
        <v>88618</v>
      </c>
      <c r="O24" s="56">
        <v>112114</v>
      </c>
      <c r="P24" s="56">
        <v>92866</v>
      </c>
      <c r="Q24" s="56">
        <v>49603</v>
      </c>
      <c r="R24" s="56">
        <v>179932</v>
      </c>
      <c r="S24" s="56">
        <v>51978</v>
      </c>
      <c r="T24" s="56">
        <v>54545</v>
      </c>
      <c r="U24" s="56">
        <v>91935</v>
      </c>
      <c r="V24" s="56">
        <v>49145</v>
      </c>
      <c r="W24" s="56">
        <v>55538</v>
      </c>
    </row>
    <row r="25" spans="2:23" ht="15.75" customHeight="1" x14ac:dyDescent="0.25">
      <c r="B25" s="8" t="s">
        <v>41</v>
      </c>
      <c r="C25" s="56">
        <v>0</v>
      </c>
      <c r="D25" s="56">
        <v>0</v>
      </c>
      <c r="E25" s="56">
        <v>0</v>
      </c>
      <c r="F25" s="56">
        <v>0</v>
      </c>
      <c r="G25" s="56">
        <v>0</v>
      </c>
      <c r="H25" s="56">
        <v>0</v>
      </c>
      <c r="I25" s="56">
        <v>0</v>
      </c>
      <c r="J25" s="56">
        <v>0</v>
      </c>
      <c r="K25" s="56">
        <v>0</v>
      </c>
      <c r="L25" s="56">
        <v>186705</v>
      </c>
      <c r="M25" s="56">
        <v>129842</v>
      </c>
      <c r="N25" s="56">
        <v>132915</v>
      </c>
      <c r="O25" s="56">
        <v>289949</v>
      </c>
      <c r="P25" s="56">
        <v>314852</v>
      </c>
      <c r="Q25" s="56">
        <v>245805</v>
      </c>
      <c r="R25" s="56">
        <v>378074</v>
      </c>
      <c r="S25" s="56">
        <v>448747</v>
      </c>
      <c r="T25" s="56">
        <v>392160</v>
      </c>
      <c r="U25" s="56">
        <v>309020</v>
      </c>
      <c r="V25" s="56">
        <v>365170</v>
      </c>
      <c r="W25" s="56">
        <v>535604</v>
      </c>
    </row>
    <row r="26" spans="2:23" ht="15.75" customHeight="1" x14ac:dyDescent="0.25">
      <c r="B26" s="8" t="s">
        <v>42</v>
      </c>
      <c r="C26" s="57">
        <v>0</v>
      </c>
      <c r="D26" s="56">
        <v>0</v>
      </c>
      <c r="E26" s="56">
        <v>0</v>
      </c>
      <c r="F26" s="56">
        <v>0</v>
      </c>
      <c r="G26" s="56">
        <v>0</v>
      </c>
      <c r="H26" s="56">
        <v>0</v>
      </c>
      <c r="I26" s="56">
        <v>0</v>
      </c>
      <c r="J26" s="56">
        <v>0</v>
      </c>
      <c r="K26" s="56">
        <v>0</v>
      </c>
      <c r="L26" s="56">
        <v>0</v>
      </c>
      <c r="M26" s="56">
        <v>2560</v>
      </c>
      <c r="N26" s="56">
        <v>0</v>
      </c>
      <c r="O26" s="56">
        <v>16503</v>
      </c>
      <c r="P26" s="56">
        <v>16281</v>
      </c>
      <c r="Q26" s="56">
        <v>0</v>
      </c>
      <c r="R26" s="56">
        <v>42197</v>
      </c>
      <c r="S26" s="56">
        <v>0</v>
      </c>
      <c r="T26" s="56">
        <v>29775</v>
      </c>
      <c r="U26" s="56">
        <v>29372</v>
      </c>
      <c r="V26" s="56">
        <v>98160</v>
      </c>
      <c r="W26" s="56">
        <v>46487</v>
      </c>
    </row>
    <row r="27" spans="2:23" ht="15.75" customHeight="1" x14ac:dyDescent="0.25">
      <c r="B27" s="8" t="s">
        <v>43</v>
      </c>
      <c r="C27" s="57">
        <v>0</v>
      </c>
      <c r="D27" s="56">
        <v>0</v>
      </c>
      <c r="E27" s="56">
        <v>115536</v>
      </c>
      <c r="F27" s="56">
        <v>138424</v>
      </c>
      <c r="G27" s="56">
        <v>86698</v>
      </c>
      <c r="H27" s="56">
        <v>0</v>
      </c>
      <c r="I27" s="56">
        <v>0</v>
      </c>
      <c r="J27" s="56">
        <v>0</v>
      </c>
      <c r="K27" s="56">
        <v>0</v>
      </c>
      <c r="L27" s="56">
        <v>0</v>
      </c>
      <c r="M27" s="56">
        <v>0</v>
      </c>
      <c r="N27" s="56">
        <v>0</v>
      </c>
      <c r="O27" s="56">
        <v>0</v>
      </c>
      <c r="P27" s="56">
        <v>0</v>
      </c>
      <c r="Q27" s="56">
        <v>0</v>
      </c>
      <c r="R27" s="56">
        <v>0</v>
      </c>
      <c r="S27" s="56">
        <v>261574</v>
      </c>
      <c r="T27" s="56">
        <v>151959</v>
      </c>
      <c r="U27" s="56">
        <v>333123</v>
      </c>
      <c r="V27" s="56">
        <v>413439</v>
      </c>
      <c r="W27" s="56">
        <v>421506</v>
      </c>
    </row>
    <row r="28" spans="2:23" ht="15.75" customHeight="1" x14ac:dyDescent="0.25">
      <c r="B28" s="8" t="s">
        <v>44</v>
      </c>
      <c r="C28" s="56">
        <v>0</v>
      </c>
      <c r="D28" s="56">
        <v>0</v>
      </c>
      <c r="E28" s="56">
        <v>0</v>
      </c>
      <c r="F28" s="56">
        <v>0</v>
      </c>
      <c r="G28" s="56">
        <v>0</v>
      </c>
      <c r="H28" s="56">
        <v>0</v>
      </c>
      <c r="I28" s="56">
        <v>0</v>
      </c>
      <c r="J28" s="56">
        <v>0</v>
      </c>
      <c r="K28" s="56">
        <v>0</v>
      </c>
      <c r="L28" s="56">
        <v>293587</v>
      </c>
      <c r="M28" s="56">
        <v>251035</v>
      </c>
      <c r="N28" s="56">
        <v>282142</v>
      </c>
      <c r="O28" s="56">
        <v>296143</v>
      </c>
      <c r="P28" s="56">
        <v>290543</v>
      </c>
      <c r="Q28" s="56">
        <v>288452</v>
      </c>
      <c r="R28" s="56">
        <v>277356</v>
      </c>
      <c r="S28" s="56">
        <v>266505</v>
      </c>
      <c r="T28" s="56">
        <v>263617</v>
      </c>
      <c r="U28" s="56">
        <v>273564</v>
      </c>
      <c r="V28" s="56">
        <v>310694</v>
      </c>
      <c r="W28" s="56">
        <v>310763</v>
      </c>
    </row>
    <row r="29" spans="2:23" ht="15.75" customHeight="1" x14ac:dyDescent="0.25">
      <c r="B29" s="8" t="s">
        <v>35</v>
      </c>
      <c r="C29" s="57">
        <v>0</v>
      </c>
      <c r="D29" s="56">
        <v>0</v>
      </c>
      <c r="E29" s="56">
        <v>10042</v>
      </c>
      <c r="F29" s="56">
        <v>10042</v>
      </c>
      <c r="G29" s="56">
        <v>20109</v>
      </c>
      <c r="H29" s="56">
        <v>4509</v>
      </c>
      <c r="I29" s="56">
        <v>22090</v>
      </c>
      <c r="J29" s="56">
        <v>18009</v>
      </c>
      <c r="K29" s="56">
        <v>19484</v>
      </c>
      <c r="L29" s="56">
        <v>22732</v>
      </c>
      <c r="M29" s="56">
        <v>42337</v>
      </c>
      <c r="N29" s="56">
        <v>46543</v>
      </c>
      <c r="O29" s="56">
        <v>55561</v>
      </c>
      <c r="P29" s="56">
        <v>0</v>
      </c>
      <c r="Q29" s="56">
        <v>0</v>
      </c>
      <c r="R29" s="56">
        <v>0</v>
      </c>
      <c r="S29" s="56">
        <v>0</v>
      </c>
      <c r="T29" s="56">
        <v>0</v>
      </c>
      <c r="U29" s="56">
        <v>0</v>
      </c>
      <c r="V29" s="56">
        <v>0</v>
      </c>
      <c r="W29" s="56">
        <v>0</v>
      </c>
    </row>
    <row r="30" spans="2:23" ht="15.75" customHeight="1" x14ac:dyDescent="0.25">
      <c r="B30" s="8" t="s">
        <v>45</v>
      </c>
      <c r="C30" s="57">
        <v>0</v>
      </c>
      <c r="D30" s="56">
        <v>3354</v>
      </c>
      <c r="E30" s="56">
        <v>3580</v>
      </c>
      <c r="F30" s="56">
        <v>3571</v>
      </c>
      <c r="G30" s="56">
        <v>3571</v>
      </c>
      <c r="H30" s="56">
        <v>3571</v>
      </c>
      <c r="I30" s="56">
        <v>3652</v>
      </c>
      <c r="J30" s="56">
        <v>3710</v>
      </c>
      <c r="K30" s="56">
        <v>3734</v>
      </c>
      <c r="L30" s="56">
        <v>3775</v>
      </c>
      <c r="M30" s="56">
        <v>3775</v>
      </c>
      <c r="N30" s="56">
        <v>3854</v>
      </c>
      <c r="O30" s="56">
        <v>3964</v>
      </c>
      <c r="P30" s="56">
        <v>4108</v>
      </c>
      <c r="Q30" s="56">
        <v>4177</v>
      </c>
      <c r="R30" s="56">
        <v>4817</v>
      </c>
      <c r="S30" s="56">
        <v>4905</v>
      </c>
      <c r="T30" s="56">
        <v>5019</v>
      </c>
      <c r="U30" s="56">
        <v>5370</v>
      </c>
      <c r="V30" s="56">
        <v>5539</v>
      </c>
      <c r="W30" s="56">
        <v>5517</v>
      </c>
    </row>
    <row r="31" spans="2:23" ht="15.75" customHeight="1" x14ac:dyDescent="0.25">
      <c r="B31" s="9" t="s">
        <v>46</v>
      </c>
      <c r="C31" s="58">
        <f t="shared" ref="C31:W31" si="1">SUM(C21:C30)</f>
        <v>1841</v>
      </c>
      <c r="D31" s="58">
        <f t="shared" si="1"/>
        <v>10237</v>
      </c>
      <c r="E31" s="58">
        <f t="shared" si="1"/>
        <v>138264</v>
      </c>
      <c r="F31" s="58">
        <f t="shared" si="1"/>
        <v>161143</v>
      </c>
      <c r="G31" s="58">
        <f t="shared" si="1"/>
        <v>123345</v>
      </c>
      <c r="H31" s="58">
        <f t="shared" si="1"/>
        <v>2831688</v>
      </c>
      <c r="I31" s="58">
        <f t="shared" si="1"/>
        <v>3423766</v>
      </c>
      <c r="J31" s="58">
        <f t="shared" si="1"/>
        <v>3006753</v>
      </c>
      <c r="K31" s="58">
        <f t="shared" si="1"/>
        <v>3275072</v>
      </c>
      <c r="L31" s="58">
        <f t="shared" si="1"/>
        <v>3869209</v>
      </c>
      <c r="M31" s="58">
        <f t="shared" si="1"/>
        <v>3319012</v>
      </c>
      <c r="N31" s="58">
        <f t="shared" si="1"/>
        <v>3686017</v>
      </c>
      <c r="O31" s="58">
        <f t="shared" si="1"/>
        <v>4003479</v>
      </c>
      <c r="P31" s="58">
        <f t="shared" si="1"/>
        <v>761344</v>
      </c>
      <c r="Q31" s="58">
        <f t="shared" si="1"/>
        <v>627283</v>
      </c>
      <c r="R31" s="58">
        <f t="shared" si="1"/>
        <v>917905</v>
      </c>
      <c r="S31" s="58">
        <f t="shared" si="1"/>
        <v>1083601</v>
      </c>
      <c r="T31" s="58">
        <f t="shared" si="1"/>
        <v>946882</v>
      </c>
      <c r="U31" s="58">
        <f t="shared" si="1"/>
        <v>1097040</v>
      </c>
      <c r="V31" s="58">
        <f t="shared" si="1"/>
        <v>1298587</v>
      </c>
      <c r="W31" s="58">
        <f t="shared" si="1"/>
        <v>1431093</v>
      </c>
    </row>
    <row r="32" spans="2:23" ht="15.75" customHeight="1" x14ac:dyDescent="0.25">
      <c r="B32" s="8" t="s">
        <v>47</v>
      </c>
      <c r="C32" s="57">
        <v>0</v>
      </c>
      <c r="D32" s="56">
        <v>0</v>
      </c>
      <c r="E32" s="56">
        <v>0</v>
      </c>
      <c r="F32" s="56">
        <v>0</v>
      </c>
      <c r="G32" s="56">
        <v>0</v>
      </c>
      <c r="H32" s="56">
        <v>0</v>
      </c>
      <c r="I32" s="56">
        <v>0</v>
      </c>
      <c r="J32" s="56">
        <v>0</v>
      </c>
      <c r="K32" s="56">
        <v>0</v>
      </c>
      <c r="L32" s="56">
        <v>0</v>
      </c>
      <c r="M32" s="56">
        <v>0</v>
      </c>
      <c r="N32" s="56">
        <v>0</v>
      </c>
      <c r="O32" s="56">
        <v>0</v>
      </c>
      <c r="P32" s="56">
        <v>0</v>
      </c>
      <c r="Q32" s="56">
        <v>0</v>
      </c>
      <c r="R32" s="56">
        <v>0</v>
      </c>
      <c r="S32" s="56">
        <v>0</v>
      </c>
      <c r="T32" s="56">
        <v>0</v>
      </c>
      <c r="U32" s="56">
        <v>0</v>
      </c>
      <c r="V32" s="56">
        <v>0</v>
      </c>
      <c r="W32" s="56">
        <v>0</v>
      </c>
    </row>
    <row r="33" spans="2:23" ht="15.75" customHeight="1" x14ac:dyDescent="0.25">
      <c r="B33" s="8" t="s">
        <v>48</v>
      </c>
      <c r="C33" s="57">
        <v>433424</v>
      </c>
      <c r="D33" s="56">
        <v>939544</v>
      </c>
      <c r="E33" s="56">
        <v>2190785</v>
      </c>
      <c r="F33" s="56">
        <v>2407206</v>
      </c>
      <c r="G33" s="56">
        <v>2621496</v>
      </c>
      <c r="H33" s="56">
        <v>2765280</v>
      </c>
      <c r="I33" s="56">
        <v>2879404</v>
      </c>
      <c r="J33" s="56">
        <v>2921751</v>
      </c>
      <c r="K33" s="56">
        <v>2996223</v>
      </c>
      <c r="L33" s="56">
        <v>3157775</v>
      </c>
      <c r="M33" s="56">
        <v>3329098</v>
      </c>
      <c r="N33" s="56">
        <v>3711837.4800399998</v>
      </c>
      <c r="O33" s="56">
        <v>4147584</v>
      </c>
      <c r="P33" s="56">
        <v>4521472</v>
      </c>
      <c r="Q33" s="56">
        <v>4994520</v>
      </c>
      <c r="R33" s="56">
        <v>5335943</v>
      </c>
      <c r="S33" s="56">
        <v>5524210</v>
      </c>
      <c r="T33" s="56">
        <v>5557916</v>
      </c>
      <c r="U33" s="56">
        <v>5489832</v>
      </c>
      <c r="V33" s="56">
        <v>5491140</v>
      </c>
      <c r="W33" s="56">
        <v>5712331</v>
      </c>
    </row>
    <row r="34" spans="2:23" ht="15.75" customHeight="1" x14ac:dyDescent="0.25">
      <c r="B34" s="8" t="s">
        <v>49</v>
      </c>
      <c r="C34" s="57">
        <v>876</v>
      </c>
      <c r="D34" s="56">
        <v>3917</v>
      </c>
      <c r="E34" s="56">
        <v>8209</v>
      </c>
      <c r="F34" s="56">
        <v>8269</v>
      </c>
      <c r="G34" s="56">
        <v>8377</v>
      </c>
      <c r="H34" s="56">
        <v>9544</v>
      </c>
      <c r="I34" s="56">
        <v>12759</v>
      </c>
      <c r="J34" s="56">
        <v>13012</v>
      </c>
      <c r="K34" s="56">
        <v>14615</v>
      </c>
      <c r="L34" s="56">
        <v>14691</v>
      </c>
      <c r="M34" s="56">
        <v>15435</v>
      </c>
      <c r="N34" s="56">
        <v>16191</v>
      </c>
      <c r="O34" s="56">
        <v>16985</v>
      </c>
      <c r="P34" s="56">
        <v>17887</v>
      </c>
      <c r="Q34" s="56">
        <v>19752</v>
      </c>
      <c r="R34" s="56">
        <v>19973</v>
      </c>
      <c r="S34" s="56">
        <v>20210</v>
      </c>
      <c r="T34" s="56">
        <v>27642</v>
      </c>
      <c r="U34" s="56">
        <v>31542</v>
      </c>
      <c r="V34" s="56">
        <v>32935</v>
      </c>
      <c r="W34" s="56">
        <v>39571</v>
      </c>
    </row>
    <row r="35" spans="2:23" ht="15.75" customHeight="1" x14ac:dyDescent="0.25">
      <c r="B35" s="10" t="s">
        <v>50</v>
      </c>
      <c r="C35" s="59">
        <v>436141</v>
      </c>
      <c r="D35" s="59">
        <v>953698</v>
      </c>
      <c r="E35" s="59">
        <v>2337258</v>
      </c>
      <c r="F35" s="59">
        <v>2576618</v>
      </c>
      <c r="G35" s="59">
        <v>2753218</v>
      </c>
      <c r="H35" s="59">
        <v>5606512</v>
      </c>
      <c r="I35" s="59">
        <v>6315929</v>
      </c>
      <c r="J35" s="59">
        <v>5941516</v>
      </c>
      <c r="K35" s="59">
        <v>6285910</v>
      </c>
      <c r="L35" s="59">
        <v>7041675</v>
      </c>
      <c r="M35" s="59">
        <v>6663545</v>
      </c>
      <c r="N35" s="59">
        <v>7414045.4800399998</v>
      </c>
      <c r="O35" s="59">
        <v>8168048</v>
      </c>
      <c r="P35" s="59">
        <v>5300703</v>
      </c>
      <c r="Q35" s="59">
        <v>5641555</v>
      </c>
      <c r="R35" s="59">
        <f t="shared" ref="R35:W35" si="2">R31+R32+R33+R34</f>
        <v>6273821</v>
      </c>
      <c r="S35" s="59">
        <f t="shared" si="2"/>
        <v>6628021</v>
      </c>
      <c r="T35" s="59">
        <f t="shared" si="2"/>
        <v>6532440</v>
      </c>
      <c r="U35" s="59">
        <f t="shared" si="2"/>
        <v>6618414</v>
      </c>
      <c r="V35" s="59">
        <f t="shared" si="2"/>
        <v>6822662</v>
      </c>
      <c r="W35" s="59">
        <f t="shared" si="2"/>
        <v>7182995</v>
      </c>
    </row>
    <row r="36" spans="2:23" ht="15.75" customHeight="1" x14ac:dyDescent="0.25">
      <c r="B36" s="11" t="s">
        <v>51</v>
      </c>
      <c r="C36" s="60">
        <v>739849</v>
      </c>
      <c r="D36" s="60">
        <v>1196229</v>
      </c>
      <c r="E36" s="60">
        <v>3373890</v>
      </c>
      <c r="F36" s="60">
        <v>4061068</v>
      </c>
      <c r="G36" s="60">
        <v>4530258</v>
      </c>
      <c r="H36" s="60">
        <v>7386151</v>
      </c>
      <c r="I36" s="60">
        <v>8148506</v>
      </c>
      <c r="J36" s="60">
        <v>8050768</v>
      </c>
      <c r="K36" s="60">
        <v>9710211</v>
      </c>
      <c r="L36" s="60">
        <v>9981296</v>
      </c>
      <c r="M36" s="60">
        <v>10338784</v>
      </c>
      <c r="N36" s="60">
        <v>12759440.38493</v>
      </c>
      <c r="O36" s="60">
        <v>14999435</v>
      </c>
      <c r="P36" s="60">
        <v>14255999</v>
      </c>
      <c r="Q36" s="60">
        <v>14442635</v>
      </c>
      <c r="R36" s="60">
        <f t="shared" ref="R36:W36" si="3">R35+R20</f>
        <v>14461187</v>
      </c>
      <c r="S36" s="60">
        <f t="shared" si="3"/>
        <v>15674021</v>
      </c>
      <c r="T36" s="60">
        <f t="shared" si="3"/>
        <v>14492715</v>
      </c>
      <c r="U36" s="60">
        <f t="shared" si="3"/>
        <v>13364649</v>
      </c>
      <c r="V36" s="60">
        <f t="shared" si="3"/>
        <v>13670488</v>
      </c>
      <c r="W36" s="60">
        <f t="shared" si="3"/>
        <v>14045181</v>
      </c>
    </row>
    <row r="37" spans="2:23" ht="15.75" customHeight="1" x14ac:dyDescent="0.25">
      <c r="B37" s="12"/>
      <c r="C37" s="13"/>
      <c r="D37" s="13"/>
      <c r="E37" s="13"/>
      <c r="F37" s="13"/>
      <c r="G37" s="13"/>
      <c r="H37" s="13"/>
      <c r="I37" s="13"/>
      <c r="J37" s="13"/>
      <c r="K37" s="13"/>
      <c r="L37" s="13"/>
      <c r="M37" s="13"/>
      <c r="N37" s="13"/>
      <c r="O37" s="13"/>
      <c r="P37" s="13"/>
      <c r="Q37" s="13"/>
      <c r="R37" s="13"/>
      <c r="S37" s="13"/>
      <c r="T37" s="13"/>
      <c r="U37" s="13"/>
      <c r="V37" s="13"/>
      <c r="W37" s="13"/>
    </row>
    <row r="38" spans="2:23" ht="15.75" customHeight="1" x14ac:dyDescent="0.25">
      <c r="B38" s="8" t="s">
        <v>52</v>
      </c>
      <c r="C38" s="57">
        <v>20324</v>
      </c>
      <c r="D38" s="56">
        <v>102390.39999999999</v>
      </c>
      <c r="E38" s="56">
        <v>233508</v>
      </c>
      <c r="F38" s="56">
        <v>470671</v>
      </c>
      <c r="G38" s="56">
        <v>736496</v>
      </c>
      <c r="H38" s="56">
        <v>398013</v>
      </c>
      <c r="I38" s="56">
        <v>264487</v>
      </c>
      <c r="J38" s="56">
        <v>723728</v>
      </c>
      <c r="K38" s="56">
        <v>1044269</v>
      </c>
      <c r="L38" s="56">
        <v>560491</v>
      </c>
      <c r="M38" s="56">
        <v>403228</v>
      </c>
      <c r="N38" s="56">
        <v>1898422</v>
      </c>
      <c r="O38" s="56">
        <v>2276455</v>
      </c>
      <c r="P38" s="56">
        <v>1906245</v>
      </c>
      <c r="Q38" s="56">
        <v>1198945</v>
      </c>
      <c r="R38" s="56">
        <v>2192510</v>
      </c>
      <c r="S38" s="56">
        <v>3613888</v>
      </c>
      <c r="T38" s="56">
        <v>3531594</v>
      </c>
      <c r="U38" s="56">
        <v>2932643</v>
      </c>
      <c r="V38" s="56">
        <v>3211581</v>
      </c>
      <c r="W38" s="56">
        <v>2842108</v>
      </c>
    </row>
    <row r="39" spans="2:23" ht="15.75" customHeight="1" x14ac:dyDescent="0.25">
      <c r="B39" s="8" t="s">
        <v>53</v>
      </c>
      <c r="C39" s="57">
        <v>12154</v>
      </c>
      <c r="D39" s="56">
        <v>66638.399999999994</v>
      </c>
      <c r="E39" s="56">
        <v>538943</v>
      </c>
      <c r="F39" s="56">
        <v>649182</v>
      </c>
      <c r="G39" s="56">
        <v>694724</v>
      </c>
      <c r="H39" s="56">
        <v>867389</v>
      </c>
      <c r="I39" s="56">
        <v>751890</v>
      </c>
      <c r="J39" s="56">
        <v>457209</v>
      </c>
      <c r="K39" s="56">
        <v>936187</v>
      </c>
      <c r="L39" s="56">
        <v>974300</v>
      </c>
      <c r="M39" s="56">
        <v>955552</v>
      </c>
      <c r="N39" s="56">
        <v>640538</v>
      </c>
      <c r="O39" s="56">
        <v>1264321</v>
      </c>
      <c r="P39" s="56">
        <v>3906946</v>
      </c>
      <c r="Q39" s="56">
        <v>4271074</v>
      </c>
      <c r="R39" s="56">
        <v>2978091</v>
      </c>
      <c r="S39" s="56">
        <v>4264453</v>
      </c>
      <c r="T39" s="56">
        <v>2860731</v>
      </c>
      <c r="U39" s="56">
        <v>1031046</v>
      </c>
      <c r="V39" s="56">
        <v>1315542</v>
      </c>
      <c r="W39" s="56">
        <v>1042799</v>
      </c>
    </row>
    <row r="40" spans="2:23" ht="15.75" customHeight="1" x14ac:dyDescent="0.25">
      <c r="B40" s="8" t="s">
        <v>54</v>
      </c>
      <c r="C40" s="57">
        <v>8854</v>
      </c>
      <c r="D40" s="56">
        <v>10787</v>
      </c>
      <c r="E40" s="56">
        <v>29326</v>
      </c>
      <c r="F40" s="56">
        <v>15135</v>
      </c>
      <c r="G40" s="56">
        <v>16396</v>
      </c>
      <c r="H40" s="56">
        <v>28131</v>
      </c>
      <c r="I40" s="56">
        <v>20887</v>
      </c>
      <c r="J40" s="56">
        <v>21012</v>
      </c>
      <c r="K40" s="56">
        <v>25398</v>
      </c>
      <c r="L40" s="56">
        <v>76103</v>
      </c>
      <c r="M40" s="56">
        <v>26967</v>
      </c>
      <c r="N40" s="56">
        <v>27946</v>
      </c>
      <c r="O40" s="56">
        <v>61711</v>
      </c>
      <c r="P40" s="56">
        <v>41289</v>
      </c>
      <c r="Q40" s="56">
        <v>40308</v>
      </c>
      <c r="R40" s="56">
        <v>42325</v>
      </c>
      <c r="S40" s="56">
        <v>542082</v>
      </c>
      <c r="T40" s="56">
        <v>461017</v>
      </c>
      <c r="U40" s="56">
        <v>237101</v>
      </c>
      <c r="V40" s="56">
        <v>46692</v>
      </c>
      <c r="W40" s="56">
        <v>178690</v>
      </c>
    </row>
    <row r="41" spans="2:23" ht="15.75" customHeight="1" x14ac:dyDescent="0.25">
      <c r="B41" s="8" t="s">
        <v>55</v>
      </c>
      <c r="C41" s="57">
        <v>0</v>
      </c>
      <c r="D41" s="56">
        <v>0</v>
      </c>
      <c r="E41" s="56">
        <v>0</v>
      </c>
      <c r="F41" s="56">
        <v>1329</v>
      </c>
      <c r="G41" s="56">
        <v>1304</v>
      </c>
      <c r="H41" s="56">
        <v>199</v>
      </c>
      <c r="I41" s="56">
        <v>2636</v>
      </c>
      <c r="J41" s="56">
        <v>8373</v>
      </c>
      <c r="K41" s="56">
        <v>18413</v>
      </c>
      <c r="L41" s="56">
        <v>20943</v>
      </c>
      <c r="M41" s="56">
        <v>20528</v>
      </c>
      <c r="N41" s="56">
        <v>15324</v>
      </c>
      <c r="O41" s="56">
        <v>16910</v>
      </c>
      <c r="P41" s="56">
        <v>14839</v>
      </c>
      <c r="Q41" s="56">
        <v>26965</v>
      </c>
      <c r="R41" s="56">
        <v>34671</v>
      </c>
      <c r="S41" s="56">
        <v>41294</v>
      </c>
      <c r="T41" s="56">
        <v>45000</v>
      </c>
      <c r="U41" s="56">
        <v>45104</v>
      </c>
      <c r="V41" s="56">
        <v>46727</v>
      </c>
      <c r="W41" s="56">
        <v>60672</v>
      </c>
    </row>
    <row r="42" spans="2:23" ht="15.75" customHeight="1" x14ac:dyDescent="0.25">
      <c r="B42" s="8" t="s">
        <v>56</v>
      </c>
      <c r="C42" s="57">
        <v>5057</v>
      </c>
      <c r="D42" s="56">
        <v>4091</v>
      </c>
      <c r="E42" s="56">
        <v>0</v>
      </c>
      <c r="F42" s="56">
        <v>0</v>
      </c>
      <c r="G42" s="56">
        <v>0</v>
      </c>
      <c r="H42" s="56">
        <v>0</v>
      </c>
      <c r="I42" s="56">
        <v>0</v>
      </c>
      <c r="J42" s="56">
        <v>23604</v>
      </c>
      <c r="K42" s="56">
        <v>0</v>
      </c>
      <c r="L42" s="56">
        <v>22920</v>
      </c>
      <c r="M42" s="56">
        <v>68645</v>
      </c>
      <c r="N42" s="56">
        <v>85256</v>
      </c>
      <c r="O42" s="56">
        <v>91582</v>
      </c>
      <c r="P42" s="56">
        <v>6902</v>
      </c>
      <c r="Q42" s="56">
        <v>59816</v>
      </c>
      <c r="R42" s="56">
        <v>0</v>
      </c>
      <c r="S42" s="56">
        <v>0</v>
      </c>
      <c r="T42" s="56">
        <v>0</v>
      </c>
      <c r="U42" s="56">
        <v>0</v>
      </c>
      <c r="V42" s="56">
        <v>938</v>
      </c>
      <c r="W42" s="56">
        <v>27723</v>
      </c>
    </row>
    <row r="43" spans="2:23" ht="15.75" customHeight="1" x14ac:dyDescent="0.25">
      <c r="B43" s="8" t="s">
        <v>57</v>
      </c>
      <c r="C43" s="57">
        <v>5410</v>
      </c>
      <c r="D43" s="56">
        <v>5391</v>
      </c>
      <c r="E43" s="56">
        <v>9323</v>
      </c>
      <c r="F43" s="56">
        <v>16747</v>
      </c>
      <c r="G43" s="56">
        <v>24925</v>
      </c>
      <c r="H43" s="56">
        <v>4145</v>
      </c>
      <c r="I43" s="56">
        <v>13671</v>
      </c>
      <c r="J43" s="56">
        <v>9695</v>
      </c>
      <c r="K43" s="56">
        <v>13973</v>
      </c>
      <c r="L43" s="56">
        <v>13351</v>
      </c>
      <c r="M43" s="56">
        <v>19863</v>
      </c>
      <c r="N43" s="56">
        <v>23058</v>
      </c>
      <c r="O43" s="56">
        <v>13607</v>
      </c>
      <c r="P43" s="56">
        <v>15387</v>
      </c>
      <c r="Q43" s="56">
        <v>14964</v>
      </c>
      <c r="R43" s="56">
        <v>25564</v>
      </c>
      <c r="S43" s="56">
        <v>17600</v>
      </c>
      <c r="T43" s="56">
        <v>20989</v>
      </c>
      <c r="U43" s="56">
        <v>8599</v>
      </c>
      <c r="V43" s="56">
        <v>10771</v>
      </c>
      <c r="W43" s="56">
        <v>20225</v>
      </c>
    </row>
    <row r="44" spans="2:23" ht="15.75" customHeight="1" x14ac:dyDescent="0.25">
      <c r="B44" s="8" t="s">
        <v>58</v>
      </c>
      <c r="C44" s="57">
        <v>2661</v>
      </c>
      <c r="D44" s="56">
        <v>5740</v>
      </c>
      <c r="E44" s="56">
        <v>23885</v>
      </c>
      <c r="F44" s="56">
        <v>29396</v>
      </c>
      <c r="G44" s="56">
        <v>37084</v>
      </c>
      <c r="H44" s="56">
        <v>22437</v>
      </c>
      <c r="I44" s="56">
        <v>28526</v>
      </c>
      <c r="J44" s="56">
        <v>25830</v>
      </c>
      <c r="K44" s="56">
        <v>30117</v>
      </c>
      <c r="L44" s="56">
        <v>37212</v>
      </c>
      <c r="M44" s="56">
        <v>47668</v>
      </c>
      <c r="N44" s="56">
        <v>38332</v>
      </c>
      <c r="O44" s="56">
        <v>41856</v>
      </c>
      <c r="P44" s="56">
        <v>53954</v>
      </c>
      <c r="Q44" s="56">
        <v>67041</v>
      </c>
      <c r="R44" s="56">
        <v>58327</v>
      </c>
      <c r="S44" s="56">
        <v>46107</v>
      </c>
      <c r="T44" s="56">
        <v>50265</v>
      </c>
      <c r="U44" s="56">
        <v>61526</v>
      </c>
      <c r="V44" s="56">
        <v>67812</v>
      </c>
      <c r="W44" s="56">
        <v>74808</v>
      </c>
    </row>
    <row r="45" spans="2:23" ht="15.75" customHeight="1" x14ac:dyDescent="0.25">
      <c r="B45" s="8" t="s">
        <v>59</v>
      </c>
      <c r="C45" s="56">
        <v>0</v>
      </c>
      <c r="D45" s="56">
        <v>0</v>
      </c>
      <c r="E45" s="56">
        <v>0</v>
      </c>
      <c r="F45" s="56">
        <v>0</v>
      </c>
      <c r="G45" s="56">
        <v>0</v>
      </c>
      <c r="H45" s="56">
        <v>0</v>
      </c>
      <c r="I45" s="56">
        <v>0</v>
      </c>
      <c r="J45" s="56">
        <v>0</v>
      </c>
      <c r="K45" s="56">
        <v>0</v>
      </c>
      <c r="L45" s="56">
        <v>5697</v>
      </c>
      <c r="M45" s="56">
        <v>0</v>
      </c>
      <c r="N45" s="56">
        <v>0</v>
      </c>
      <c r="O45" s="56">
        <v>0</v>
      </c>
      <c r="P45" s="56">
        <v>0</v>
      </c>
      <c r="Q45" s="56">
        <v>0</v>
      </c>
      <c r="R45" s="56">
        <v>0</v>
      </c>
      <c r="S45" s="56">
        <v>0</v>
      </c>
      <c r="T45" s="56">
        <v>0</v>
      </c>
      <c r="U45" s="56">
        <v>0</v>
      </c>
      <c r="V45" s="56">
        <v>0</v>
      </c>
      <c r="W45" s="56">
        <v>0</v>
      </c>
    </row>
    <row r="46" spans="2:23" ht="15.75" customHeight="1" x14ac:dyDescent="0.25">
      <c r="B46" s="8" t="s">
        <v>42</v>
      </c>
      <c r="C46" s="57">
        <v>0</v>
      </c>
      <c r="D46" s="56">
        <v>23443</v>
      </c>
      <c r="E46" s="56">
        <v>35474</v>
      </c>
      <c r="F46" s="56">
        <v>14655</v>
      </c>
      <c r="G46" s="56">
        <v>42</v>
      </c>
      <c r="H46" s="56">
        <v>15709</v>
      </c>
      <c r="I46" s="56">
        <v>59068</v>
      </c>
      <c r="J46" s="56">
        <v>278537</v>
      </c>
      <c r="K46" s="56">
        <v>291461</v>
      </c>
      <c r="L46" s="56">
        <v>302882</v>
      </c>
      <c r="M46" s="56">
        <v>584884</v>
      </c>
      <c r="N46" s="56">
        <v>465443</v>
      </c>
      <c r="O46" s="56">
        <v>431717</v>
      </c>
      <c r="P46" s="56">
        <v>343126</v>
      </c>
      <c r="Q46" s="56">
        <v>407908</v>
      </c>
      <c r="R46" s="56">
        <v>371066</v>
      </c>
      <c r="S46" s="56">
        <v>304721</v>
      </c>
      <c r="T46" s="56">
        <v>83902</v>
      </c>
      <c r="U46" s="56">
        <v>1837</v>
      </c>
      <c r="V46" s="56">
        <v>30621</v>
      </c>
      <c r="W46" s="56">
        <v>7029</v>
      </c>
    </row>
    <row r="47" spans="2:23" ht="15.75" customHeight="1" x14ac:dyDescent="0.25">
      <c r="B47" s="9" t="s">
        <v>60</v>
      </c>
      <c r="C47" s="58">
        <v>54460</v>
      </c>
      <c r="D47" s="58">
        <v>218480.8</v>
      </c>
      <c r="E47" s="58">
        <v>870459</v>
      </c>
      <c r="F47" s="58">
        <v>1197115</v>
      </c>
      <c r="G47" s="58">
        <v>1510971</v>
      </c>
      <c r="H47" s="58">
        <v>1336023</v>
      </c>
      <c r="I47" s="58">
        <v>1141165</v>
      </c>
      <c r="J47" s="58">
        <v>1547988</v>
      </c>
      <c r="K47" s="58">
        <v>2359818</v>
      </c>
      <c r="L47" s="58">
        <v>2013899</v>
      </c>
      <c r="M47" s="58">
        <v>2127335</v>
      </c>
      <c r="N47" s="58">
        <v>3194319</v>
      </c>
      <c r="O47" s="58">
        <v>4198159</v>
      </c>
      <c r="P47" s="58">
        <v>6288688</v>
      </c>
      <c r="Q47" s="58">
        <v>6087021</v>
      </c>
      <c r="R47" s="58">
        <f t="shared" ref="R47:W47" si="4">SUM(R38:R46)</f>
        <v>5702554</v>
      </c>
      <c r="S47" s="58">
        <f t="shared" si="4"/>
        <v>8830145</v>
      </c>
      <c r="T47" s="58">
        <f t="shared" si="4"/>
        <v>7053498</v>
      </c>
      <c r="U47" s="58">
        <f t="shared" si="4"/>
        <v>4317856</v>
      </c>
      <c r="V47" s="58">
        <f t="shared" si="4"/>
        <v>4730684</v>
      </c>
      <c r="W47" s="58">
        <f t="shared" si="4"/>
        <v>4254054</v>
      </c>
    </row>
    <row r="48" spans="2:23" ht="15.75" customHeight="1" x14ac:dyDescent="0.25">
      <c r="B48" s="8" t="s">
        <v>52</v>
      </c>
      <c r="C48" s="57">
        <v>0</v>
      </c>
      <c r="D48" s="56">
        <v>17563</v>
      </c>
      <c r="E48" s="56">
        <v>3565</v>
      </c>
      <c r="F48" s="56">
        <v>5794</v>
      </c>
      <c r="G48" s="56">
        <v>42828</v>
      </c>
      <c r="H48" s="56">
        <v>46599</v>
      </c>
      <c r="I48" s="56">
        <v>20501</v>
      </c>
      <c r="J48" s="56">
        <v>20874</v>
      </c>
      <c r="K48" s="56">
        <v>21201</v>
      </c>
      <c r="L48" s="56">
        <v>18893</v>
      </c>
      <c r="M48" s="56">
        <v>31217</v>
      </c>
      <c r="N48" s="56">
        <v>20059</v>
      </c>
      <c r="O48" s="56">
        <v>43835</v>
      </c>
      <c r="P48" s="56">
        <v>44677</v>
      </c>
      <c r="Q48" s="56">
        <v>18795</v>
      </c>
      <c r="R48" s="56">
        <v>17342</v>
      </c>
      <c r="S48" s="56">
        <v>17342</v>
      </c>
      <c r="T48" s="56">
        <v>16599</v>
      </c>
      <c r="U48" s="56">
        <v>18200</v>
      </c>
      <c r="V48" s="56">
        <v>18200</v>
      </c>
      <c r="W48" s="56">
        <v>64683</v>
      </c>
    </row>
    <row r="49" spans="2:23" ht="15.75" customHeight="1" x14ac:dyDescent="0.25">
      <c r="B49" s="8" t="s">
        <v>53</v>
      </c>
      <c r="C49" s="57">
        <v>425776</v>
      </c>
      <c r="D49" s="56">
        <v>679847</v>
      </c>
      <c r="E49" s="56">
        <v>2498230</v>
      </c>
      <c r="F49" s="56">
        <v>2898066</v>
      </c>
      <c r="G49" s="56">
        <v>2895089</v>
      </c>
      <c r="H49" s="56">
        <v>5692883</v>
      </c>
      <c r="I49" s="56">
        <v>6680483</v>
      </c>
      <c r="J49" s="56">
        <v>5894379</v>
      </c>
      <c r="K49" s="56">
        <v>6813521</v>
      </c>
      <c r="L49" s="56">
        <v>7279229</v>
      </c>
      <c r="M49" s="56">
        <v>7239741</v>
      </c>
      <c r="N49" s="56">
        <v>9035038</v>
      </c>
      <c r="O49" s="56">
        <v>10318718</v>
      </c>
      <c r="P49" s="56">
        <v>7293466</v>
      </c>
      <c r="Q49" s="56">
        <v>7351156</v>
      </c>
      <c r="R49" s="56">
        <v>8178610</v>
      </c>
      <c r="S49" s="56">
        <v>6227789</v>
      </c>
      <c r="T49" s="56">
        <v>7157278</v>
      </c>
      <c r="U49" s="56">
        <v>8959869</v>
      </c>
      <c r="V49" s="56">
        <v>8961563</v>
      </c>
      <c r="W49" s="56">
        <v>9227227</v>
      </c>
    </row>
    <row r="50" spans="2:23" ht="15.75" customHeight="1" x14ac:dyDescent="0.25">
      <c r="B50" s="8" t="s">
        <v>55</v>
      </c>
      <c r="C50" s="57">
        <v>0</v>
      </c>
      <c r="D50" s="56">
        <v>0</v>
      </c>
      <c r="E50" s="56">
        <v>0</v>
      </c>
      <c r="F50" s="56">
        <v>8781</v>
      </c>
      <c r="G50" s="56">
        <v>8850</v>
      </c>
      <c r="H50" s="56">
        <v>15262</v>
      </c>
      <c r="I50" s="56">
        <v>27224</v>
      </c>
      <c r="J50" s="56">
        <v>36562</v>
      </c>
      <c r="K50" s="56">
        <v>69546</v>
      </c>
      <c r="L50" s="56">
        <v>94669</v>
      </c>
      <c r="M50" s="56">
        <v>112801</v>
      </c>
      <c r="N50" s="56">
        <v>110940</v>
      </c>
      <c r="O50" s="56">
        <v>60961</v>
      </c>
      <c r="P50" s="56">
        <v>49710</v>
      </c>
      <c r="Q50" s="56">
        <v>189462</v>
      </c>
      <c r="R50" s="56">
        <v>301873</v>
      </c>
      <c r="S50" s="56">
        <v>351775</v>
      </c>
      <c r="T50" s="56">
        <v>352177</v>
      </c>
      <c r="U50" s="56">
        <v>338733</v>
      </c>
      <c r="V50" s="56">
        <v>338100</v>
      </c>
      <c r="W50" s="56">
        <v>567313</v>
      </c>
    </row>
    <row r="51" spans="2:23" ht="15.75" customHeight="1" x14ac:dyDescent="0.25">
      <c r="B51" s="8" t="s">
        <v>42</v>
      </c>
      <c r="C51" s="57">
        <v>0</v>
      </c>
      <c r="D51" s="56">
        <v>0</v>
      </c>
      <c r="E51" s="56">
        <v>0</v>
      </c>
      <c r="F51" s="56">
        <v>0</v>
      </c>
      <c r="G51" s="56">
        <v>0</v>
      </c>
      <c r="H51" s="56">
        <v>0</v>
      </c>
      <c r="I51" s="56">
        <v>0</v>
      </c>
      <c r="J51" s="56">
        <v>0</v>
      </c>
      <c r="K51" s="56">
        <v>0</v>
      </c>
      <c r="L51" s="56">
        <v>0</v>
      </c>
      <c r="M51" s="56">
        <v>191007</v>
      </c>
      <c r="N51" s="56">
        <v>77299</v>
      </c>
      <c r="O51" s="56">
        <v>76048</v>
      </c>
      <c r="P51" s="56">
        <v>1360</v>
      </c>
      <c r="Q51" s="56">
        <v>0</v>
      </c>
      <c r="R51" s="56">
        <v>0</v>
      </c>
      <c r="S51" s="56">
        <v>0</v>
      </c>
      <c r="T51" s="56">
        <v>0</v>
      </c>
      <c r="U51" s="56">
        <v>63876</v>
      </c>
      <c r="V51" s="56">
        <v>19671</v>
      </c>
      <c r="W51" s="56">
        <v>17211</v>
      </c>
    </row>
    <row r="52" spans="2:23" ht="15.75" customHeight="1" x14ac:dyDescent="0.25">
      <c r="B52" s="8" t="s">
        <v>61</v>
      </c>
      <c r="C52" s="57">
        <v>83677</v>
      </c>
      <c r="D52" s="56">
        <v>78032</v>
      </c>
      <c r="E52" s="56">
        <v>59416</v>
      </c>
      <c r="F52" s="56">
        <v>60898</v>
      </c>
      <c r="G52" s="56">
        <v>62418</v>
      </c>
      <c r="H52" s="56">
        <v>461</v>
      </c>
      <c r="I52" s="56">
        <v>0</v>
      </c>
      <c r="J52" s="56">
        <v>0</v>
      </c>
      <c r="K52" s="56">
        <v>0</v>
      </c>
      <c r="L52" s="56">
        <v>0</v>
      </c>
      <c r="M52" s="56">
        <v>0</v>
      </c>
      <c r="N52" s="56">
        <v>0</v>
      </c>
      <c r="O52" s="56">
        <v>0</v>
      </c>
      <c r="P52" s="56">
        <v>0</v>
      </c>
      <c r="Q52" s="56">
        <v>0</v>
      </c>
      <c r="R52" s="56">
        <v>0</v>
      </c>
      <c r="S52" s="56">
        <v>0</v>
      </c>
      <c r="T52" s="56">
        <v>0</v>
      </c>
      <c r="U52" s="56">
        <v>0</v>
      </c>
      <c r="V52" s="56">
        <v>0</v>
      </c>
      <c r="W52" s="56">
        <v>0</v>
      </c>
    </row>
    <row r="53" spans="2:23" ht="15.75" customHeight="1" x14ac:dyDescent="0.25">
      <c r="B53" s="8" t="s">
        <v>57</v>
      </c>
      <c r="C53" s="14"/>
      <c r="D53" s="14"/>
      <c r="E53" s="14"/>
      <c r="F53" s="14"/>
      <c r="G53" s="14"/>
      <c r="H53" s="14"/>
      <c r="I53" s="14"/>
      <c r="J53" s="14"/>
      <c r="K53" s="14"/>
      <c r="L53" s="14"/>
      <c r="M53" s="14"/>
      <c r="N53" s="14"/>
      <c r="O53" s="14"/>
      <c r="P53" s="14"/>
      <c r="Q53" s="14"/>
      <c r="R53" s="14"/>
      <c r="S53" s="14"/>
      <c r="T53" s="14"/>
      <c r="U53" s="14"/>
      <c r="V53" s="56">
        <v>5427</v>
      </c>
      <c r="W53" s="56">
        <v>0</v>
      </c>
    </row>
    <row r="54" spans="2:23" ht="15" customHeight="1" x14ac:dyDescent="0.25">
      <c r="B54" s="8" t="s">
        <v>62</v>
      </c>
      <c r="C54" s="57">
        <v>25166</v>
      </c>
      <c r="D54" s="56">
        <v>12277</v>
      </c>
      <c r="E54" s="56">
        <v>0</v>
      </c>
      <c r="F54" s="56">
        <v>0</v>
      </c>
      <c r="G54" s="56">
        <v>0</v>
      </c>
      <c r="H54" s="56">
        <v>32832</v>
      </c>
      <c r="I54" s="56">
        <v>9151</v>
      </c>
      <c r="J54" s="56">
        <v>32326</v>
      </c>
      <c r="K54" s="56">
        <v>59453</v>
      </c>
      <c r="L54" s="56">
        <v>124337</v>
      </c>
      <c r="M54" s="56">
        <v>61007</v>
      </c>
      <c r="N54" s="56">
        <v>7950.3368335999303</v>
      </c>
      <c r="O54" s="56">
        <v>11603</v>
      </c>
      <c r="P54" s="56">
        <v>70919</v>
      </c>
      <c r="Q54" s="56">
        <v>59445</v>
      </c>
      <c r="R54" s="56">
        <v>63903</v>
      </c>
      <c r="S54" s="56">
        <v>203352</v>
      </c>
      <c r="T54" s="56">
        <v>0</v>
      </c>
      <c r="U54" s="56">
        <v>209</v>
      </c>
      <c r="V54" s="56">
        <v>0</v>
      </c>
      <c r="W54" s="56">
        <v>0</v>
      </c>
    </row>
    <row r="55" spans="2:23" ht="15" customHeight="1" x14ac:dyDescent="0.25">
      <c r="B55" s="8" t="s">
        <v>63</v>
      </c>
      <c r="C55" s="57">
        <v>3324</v>
      </c>
      <c r="D55" s="56">
        <v>13805</v>
      </c>
      <c r="E55" s="56">
        <v>30544</v>
      </c>
      <c r="F55" s="56">
        <v>32172</v>
      </c>
      <c r="G55" s="56">
        <v>33139</v>
      </c>
      <c r="H55" s="56">
        <v>30531</v>
      </c>
      <c r="I55" s="56">
        <v>33472</v>
      </c>
      <c r="J55" s="56">
        <v>29388</v>
      </c>
      <c r="K55" s="56">
        <v>31952</v>
      </c>
      <c r="L55" s="56">
        <v>32786</v>
      </c>
      <c r="M55" s="56">
        <v>27828</v>
      </c>
      <c r="N55" s="56">
        <v>0</v>
      </c>
      <c r="O55" s="56">
        <v>0</v>
      </c>
      <c r="P55" s="56">
        <v>0</v>
      </c>
      <c r="Q55" s="56">
        <v>0</v>
      </c>
      <c r="R55" s="56">
        <v>398</v>
      </c>
      <c r="S55" s="56">
        <v>189</v>
      </c>
      <c r="T55" s="56">
        <v>160</v>
      </c>
      <c r="U55" s="56">
        <v>538</v>
      </c>
      <c r="V55" s="56">
        <v>2634</v>
      </c>
      <c r="W55" s="56">
        <v>3715</v>
      </c>
    </row>
    <row r="56" spans="2:23" ht="15.75" customHeight="1" x14ac:dyDescent="0.25">
      <c r="B56" s="9" t="s">
        <v>64</v>
      </c>
      <c r="C56" s="58">
        <v>537943</v>
      </c>
      <c r="D56" s="58">
        <v>801524</v>
      </c>
      <c r="E56" s="58">
        <v>2591755</v>
      </c>
      <c r="F56" s="58">
        <v>3005711</v>
      </c>
      <c r="G56" s="58">
        <v>3042324</v>
      </c>
      <c r="H56" s="58">
        <v>5818568</v>
      </c>
      <c r="I56" s="58">
        <v>6770831</v>
      </c>
      <c r="J56" s="58">
        <v>6013529</v>
      </c>
      <c r="K56" s="58">
        <v>6995673</v>
      </c>
      <c r="L56" s="58">
        <v>7549914</v>
      </c>
      <c r="M56" s="58">
        <v>7663601</v>
      </c>
      <c r="N56" s="58">
        <v>9251286.3368336</v>
      </c>
      <c r="O56" s="58">
        <v>10511165</v>
      </c>
      <c r="P56" s="58">
        <v>7460132</v>
      </c>
      <c r="Q56" s="58">
        <v>7618858</v>
      </c>
      <c r="R56" s="58">
        <f t="shared" ref="R56:W56" si="5">SUM(R48:R55)</f>
        <v>8562126</v>
      </c>
      <c r="S56" s="58">
        <f t="shared" si="5"/>
        <v>6800447</v>
      </c>
      <c r="T56" s="58">
        <f t="shared" si="5"/>
        <v>7526214</v>
      </c>
      <c r="U56" s="58">
        <f t="shared" si="5"/>
        <v>9381425</v>
      </c>
      <c r="V56" s="58">
        <f t="shared" si="5"/>
        <v>9345595</v>
      </c>
      <c r="W56" s="58">
        <f t="shared" si="5"/>
        <v>9880149</v>
      </c>
    </row>
    <row r="57" spans="2:23" ht="15.75" customHeight="1" x14ac:dyDescent="0.25">
      <c r="B57" s="8" t="s">
        <v>65</v>
      </c>
      <c r="C57" s="56">
        <v>83381</v>
      </c>
      <c r="D57" s="56">
        <v>83381</v>
      </c>
      <c r="E57" s="56">
        <v>83381</v>
      </c>
      <c r="F57" s="56">
        <v>83381</v>
      </c>
      <c r="G57" s="56">
        <v>83381</v>
      </c>
      <c r="H57" s="56">
        <v>87806</v>
      </c>
      <c r="I57" s="56">
        <v>87806</v>
      </c>
      <c r="J57" s="56">
        <v>87806</v>
      </c>
      <c r="K57" s="56">
        <v>87806</v>
      </c>
      <c r="L57" s="56">
        <v>87806</v>
      </c>
      <c r="M57" s="56">
        <v>87806</v>
      </c>
      <c r="N57" s="56">
        <v>87806</v>
      </c>
      <c r="O57" s="56">
        <v>0</v>
      </c>
      <c r="P57" s="56">
        <v>0</v>
      </c>
      <c r="Q57" s="56">
        <v>0</v>
      </c>
      <c r="R57" s="56">
        <v>0</v>
      </c>
      <c r="S57" s="56">
        <v>0</v>
      </c>
      <c r="T57" s="56">
        <v>0</v>
      </c>
      <c r="U57" s="56">
        <v>0</v>
      </c>
      <c r="V57" s="56">
        <v>0</v>
      </c>
      <c r="W57" s="56">
        <v>0</v>
      </c>
    </row>
    <row r="58" spans="2:23" ht="15.75" customHeight="1" x14ac:dyDescent="0.25">
      <c r="B58" s="8" t="s">
        <v>66</v>
      </c>
      <c r="C58" s="57">
        <v>0</v>
      </c>
      <c r="D58" s="56">
        <v>0</v>
      </c>
      <c r="E58" s="56">
        <v>0</v>
      </c>
      <c r="F58" s="56">
        <v>0</v>
      </c>
      <c r="G58" s="56">
        <v>0</v>
      </c>
      <c r="H58" s="56">
        <v>0</v>
      </c>
      <c r="I58" s="56">
        <v>0</v>
      </c>
      <c r="J58" s="56">
        <v>0</v>
      </c>
      <c r="K58" s="56">
        <v>0</v>
      </c>
      <c r="L58" s="56">
        <v>0</v>
      </c>
      <c r="M58" s="56">
        <v>0</v>
      </c>
      <c r="N58" s="56">
        <v>0</v>
      </c>
      <c r="O58" s="56">
        <v>290111</v>
      </c>
      <c r="P58" s="56">
        <v>507179</v>
      </c>
      <c r="Q58" s="56">
        <v>736756</v>
      </c>
      <c r="R58" s="56">
        <v>196507</v>
      </c>
      <c r="S58" s="15">
        <v>43429</v>
      </c>
      <c r="T58" s="56">
        <v>-86997</v>
      </c>
      <c r="U58" s="56">
        <v>-334632</v>
      </c>
      <c r="V58" s="56">
        <v>-405791</v>
      </c>
      <c r="W58" s="56">
        <v>-89022</v>
      </c>
    </row>
    <row r="59" spans="2:23" ht="15.75" customHeight="1" x14ac:dyDescent="0.25">
      <c r="B59" s="8" t="s">
        <v>67</v>
      </c>
      <c r="C59" s="57">
        <v>45761</v>
      </c>
      <c r="D59" s="56">
        <v>26579</v>
      </c>
      <c r="E59" s="56">
        <v>612</v>
      </c>
      <c r="F59" s="56">
        <v>596</v>
      </c>
      <c r="G59" s="56">
        <v>580</v>
      </c>
      <c r="H59" s="56">
        <v>112</v>
      </c>
      <c r="I59" s="56">
        <v>0</v>
      </c>
      <c r="J59" s="56">
        <v>0</v>
      </c>
      <c r="K59" s="56">
        <v>0</v>
      </c>
      <c r="L59" s="56">
        <v>0</v>
      </c>
      <c r="M59" s="56">
        <v>0</v>
      </c>
      <c r="N59" s="56">
        <v>0</v>
      </c>
      <c r="O59" s="56">
        <v>0</v>
      </c>
      <c r="P59" s="56">
        <v>0</v>
      </c>
      <c r="Q59" s="56">
        <v>0</v>
      </c>
      <c r="R59" s="56">
        <v>0</v>
      </c>
      <c r="S59" s="14"/>
      <c r="T59" s="56">
        <v>0</v>
      </c>
      <c r="U59" s="56">
        <v>0</v>
      </c>
      <c r="V59" s="56">
        <v>0</v>
      </c>
      <c r="W59" s="56">
        <v>0</v>
      </c>
    </row>
    <row r="60" spans="2:23" ht="15.75" customHeight="1" x14ac:dyDescent="0.25">
      <c r="B60" s="8" t="s">
        <v>68</v>
      </c>
      <c r="C60" s="57">
        <v>0</v>
      </c>
      <c r="D60" s="56">
        <v>22777</v>
      </c>
      <c r="E60" s="56">
        <v>16741</v>
      </c>
      <c r="F60" s="56">
        <v>16741</v>
      </c>
      <c r="G60" s="56">
        <v>63187</v>
      </c>
      <c r="H60" s="56">
        <v>95424</v>
      </c>
      <c r="I60" s="56">
        <v>126581.16615999999</v>
      </c>
      <c r="J60" s="56">
        <v>139557</v>
      </c>
      <c r="K60" s="56">
        <v>157198</v>
      </c>
      <c r="L60" s="56">
        <v>194611</v>
      </c>
      <c r="M60" s="56">
        <v>313558.66629000002</v>
      </c>
      <c r="N60" s="56">
        <v>313558.66629000002</v>
      </c>
      <c r="O60" s="56">
        <v>0</v>
      </c>
      <c r="P60" s="56">
        <v>0</v>
      </c>
      <c r="Q60" s="56">
        <v>0</v>
      </c>
      <c r="R60" s="56">
        <v>0</v>
      </c>
      <c r="S60" s="56">
        <v>0</v>
      </c>
      <c r="T60" s="56">
        <v>0</v>
      </c>
      <c r="U60" s="56">
        <v>0</v>
      </c>
      <c r="V60" s="56">
        <v>0</v>
      </c>
      <c r="W60" s="56">
        <v>0</v>
      </c>
    </row>
    <row r="61" spans="2:23" ht="15.75" customHeight="1" x14ac:dyDescent="0.25">
      <c r="B61" s="8" t="s">
        <v>69</v>
      </c>
      <c r="C61" s="57">
        <v>18304</v>
      </c>
      <c r="D61" s="56">
        <v>43487</v>
      </c>
      <c r="E61" s="56">
        <v>-189058</v>
      </c>
      <c r="F61" s="56">
        <v>-242476</v>
      </c>
      <c r="G61" s="56">
        <v>-170185</v>
      </c>
      <c r="H61" s="56">
        <v>48218</v>
      </c>
      <c r="I61" s="56">
        <v>22275.833839999999</v>
      </c>
      <c r="J61" s="56">
        <v>261614</v>
      </c>
      <c r="K61" s="56">
        <v>109481</v>
      </c>
      <c r="L61" s="56">
        <v>193850</v>
      </c>
      <c r="M61" s="56">
        <v>176651.33371000001</v>
      </c>
      <c r="N61" s="56">
        <v>66399.536206399905</v>
      </c>
      <c r="O61" s="56">
        <v>0</v>
      </c>
      <c r="P61" s="56">
        <v>0</v>
      </c>
      <c r="Q61" s="56">
        <v>0</v>
      </c>
      <c r="R61" s="56">
        <v>0</v>
      </c>
      <c r="S61" s="56">
        <v>0</v>
      </c>
      <c r="T61" s="56">
        <v>0</v>
      </c>
      <c r="U61" s="56">
        <v>0</v>
      </c>
      <c r="V61" s="56">
        <v>0</v>
      </c>
      <c r="W61" s="56">
        <v>0</v>
      </c>
    </row>
    <row r="62" spans="2:23" ht="15.75" customHeight="1" x14ac:dyDescent="0.25">
      <c r="B62" s="8" t="s">
        <v>70</v>
      </c>
      <c r="C62" s="57">
        <v>0</v>
      </c>
      <c r="D62" s="56">
        <v>0</v>
      </c>
      <c r="E62" s="56">
        <v>0</v>
      </c>
      <c r="F62" s="56">
        <v>0</v>
      </c>
      <c r="G62" s="56">
        <v>0</v>
      </c>
      <c r="H62" s="56">
        <v>0</v>
      </c>
      <c r="I62" s="56">
        <v>-153</v>
      </c>
      <c r="J62" s="56">
        <v>274</v>
      </c>
      <c r="K62" s="56">
        <v>235</v>
      </c>
      <c r="L62" s="56">
        <v>0</v>
      </c>
      <c r="M62" s="56">
        <v>0</v>
      </c>
      <c r="N62" s="56">
        <v>0</v>
      </c>
      <c r="O62" s="56">
        <v>0</v>
      </c>
      <c r="P62" s="56">
        <v>0</v>
      </c>
      <c r="Q62" s="56">
        <v>0</v>
      </c>
      <c r="R62" s="56">
        <v>0</v>
      </c>
      <c r="S62" s="56"/>
      <c r="T62" s="56">
        <v>0</v>
      </c>
      <c r="U62" s="56">
        <v>0</v>
      </c>
      <c r="V62" s="56">
        <v>0</v>
      </c>
      <c r="W62" s="56">
        <v>0</v>
      </c>
    </row>
    <row r="63" spans="2:23" ht="15.75" customHeight="1" x14ac:dyDescent="0.25">
      <c r="B63" s="8" t="s">
        <v>71</v>
      </c>
      <c r="C63" s="56">
        <v>0</v>
      </c>
      <c r="D63" s="56">
        <v>0</v>
      </c>
      <c r="E63" s="56">
        <v>0</v>
      </c>
      <c r="F63" s="56">
        <v>0</v>
      </c>
      <c r="G63" s="56">
        <v>0</v>
      </c>
      <c r="H63" s="56">
        <v>0</v>
      </c>
      <c r="I63" s="56">
        <v>0</v>
      </c>
      <c r="J63" s="56">
        <v>0</v>
      </c>
      <c r="K63" s="56">
        <v>0</v>
      </c>
      <c r="L63" s="56">
        <v>-58784</v>
      </c>
      <c r="M63" s="56">
        <v>-30168</v>
      </c>
      <c r="N63" s="56">
        <v>-153930</v>
      </c>
      <c r="O63" s="56">
        <v>0</v>
      </c>
      <c r="P63" s="56">
        <v>0</v>
      </c>
      <c r="Q63" s="56">
        <v>0</v>
      </c>
      <c r="R63" s="56">
        <v>0</v>
      </c>
      <c r="S63" s="56">
        <v>0</v>
      </c>
      <c r="T63" s="56">
        <v>0</v>
      </c>
      <c r="U63" s="56">
        <v>0</v>
      </c>
      <c r="V63" s="56">
        <v>0</v>
      </c>
      <c r="W63" s="56">
        <v>0</v>
      </c>
    </row>
    <row r="64" spans="2:23" ht="15.75" customHeight="1" x14ac:dyDescent="0.25">
      <c r="B64" s="10" t="s">
        <v>72</v>
      </c>
      <c r="C64" s="59">
        <v>147446</v>
      </c>
      <c r="D64" s="59">
        <v>176224</v>
      </c>
      <c r="E64" s="59">
        <v>-88324</v>
      </c>
      <c r="F64" s="59">
        <v>-141758</v>
      </c>
      <c r="G64" s="59">
        <v>-23037</v>
      </c>
      <c r="H64" s="59">
        <v>231560</v>
      </c>
      <c r="I64" s="59">
        <v>236510</v>
      </c>
      <c r="J64" s="59">
        <v>489251</v>
      </c>
      <c r="K64" s="59">
        <v>354720</v>
      </c>
      <c r="L64" s="59">
        <v>417483</v>
      </c>
      <c r="M64" s="59">
        <v>547848</v>
      </c>
      <c r="N64" s="59">
        <v>313834.20249639999</v>
      </c>
      <c r="O64" s="59">
        <v>290111</v>
      </c>
      <c r="P64" s="59">
        <v>507179</v>
      </c>
      <c r="Q64" s="59">
        <v>736756</v>
      </c>
      <c r="R64" s="59">
        <f t="shared" ref="R64:W64" si="6">SUM(R57:R63)</f>
        <v>196507</v>
      </c>
      <c r="S64" s="59">
        <f t="shared" si="6"/>
        <v>43429</v>
      </c>
      <c r="T64" s="59">
        <f t="shared" si="6"/>
        <v>-86997</v>
      </c>
      <c r="U64" s="59">
        <f t="shared" si="6"/>
        <v>-334632</v>
      </c>
      <c r="V64" s="59">
        <f t="shared" si="6"/>
        <v>-405791</v>
      </c>
      <c r="W64" s="59">
        <f t="shared" si="6"/>
        <v>-89022</v>
      </c>
    </row>
    <row r="65" spans="2:23" ht="15.75" customHeight="1" x14ac:dyDescent="0.25">
      <c r="B65" s="11" t="s">
        <v>73</v>
      </c>
      <c r="C65" s="60">
        <v>739849</v>
      </c>
      <c r="D65" s="60">
        <v>1196228.8</v>
      </c>
      <c r="E65" s="60">
        <v>3373890</v>
      </c>
      <c r="F65" s="60">
        <v>4061068</v>
      </c>
      <c r="G65" s="60">
        <v>4530258</v>
      </c>
      <c r="H65" s="60">
        <v>7386151</v>
      </c>
      <c r="I65" s="60">
        <v>8148506</v>
      </c>
      <c r="J65" s="60">
        <v>8050768</v>
      </c>
      <c r="K65" s="60">
        <v>9710211</v>
      </c>
      <c r="L65" s="60">
        <v>9981296</v>
      </c>
      <c r="M65" s="60">
        <v>10338784</v>
      </c>
      <c r="N65" s="60">
        <v>12759439.53933</v>
      </c>
      <c r="O65" s="60">
        <v>14999435</v>
      </c>
      <c r="P65" s="60">
        <v>14255999</v>
      </c>
      <c r="Q65" s="60">
        <v>14442635</v>
      </c>
      <c r="R65" s="60">
        <f t="shared" ref="R65:W65" si="7">R64+R56+R47</f>
        <v>14461187</v>
      </c>
      <c r="S65" s="60">
        <f t="shared" si="7"/>
        <v>15674021</v>
      </c>
      <c r="T65" s="60">
        <f t="shared" si="7"/>
        <v>14492715</v>
      </c>
      <c r="U65" s="60">
        <f t="shared" si="7"/>
        <v>13364649</v>
      </c>
      <c r="V65" s="60">
        <f t="shared" si="7"/>
        <v>13670488</v>
      </c>
      <c r="W65" s="60">
        <f t="shared" si="7"/>
        <v>14045181</v>
      </c>
    </row>
    <row r="66" spans="2:23" ht="15.75" customHeight="1" x14ac:dyDescent="0.45">
      <c r="B66" s="16"/>
      <c r="C66" s="16"/>
      <c r="D66" s="16"/>
      <c r="E66" s="16"/>
      <c r="F66" s="16"/>
      <c r="G66" s="16"/>
      <c r="H66" s="16"/>
      <c r="I66" s="16"/>
      <c r="J66" s="16"/>
      <c r="K66" s="16"/>
      <c r="L66" s="16"/>
      <c r="M66" s="16"/>
      <c r="N66" s="16"/>
      <c r="O66" s="16"/>
      <c r="P66" s="16"/>
      <c r="Q66" s="16"/>
      <c r="R66" s="16"/>
      <c r="S66" s="16"/>
      <c r="T66" s="16"/>
      <c r="U66" s="16"/>
      <c r="V66" s="16"/>
      <c r="W66" s="16"/>
    </row>
    <row r="67" spans="2:23" ht="15.75" customHeight="1" x14ac:dyDescent="0.45">
      <c r="W67" s="4"/>
    </row>
  </sheetData>
  <mergeCells count="22">
    <mergeCell ref="C5:C6"/>
    <mergeCell ref="D5:D6"/>
    <mergeCell ref="E5:E6"/>
    <mergeCell ref="N5:N6"/>
    <mergeCell ref="O5:O6"/>
    <mergeCell ref="J5:J6"/>
    <mergeCell ref="K5:K6"/>
    <mergeCell ref="F5:F6"/>
    <mergeCell ref="I5:I6"/>
    <mergeCell ref="H5:H6"/>
    <mergeCell ref="G5:G6"/>
    <mergeCell ref="P5:P6"/>
    <mergeCell ref="Q5:Q6"/>
    <mergeCell ref="L5:L6"/>
    <mergeCell ref="M5:M6"/>
    <mergeCell ref="Q2:W3"/>
    <mergeCell ref="S5:S6"/>
    <mergeCell ref="R5:R6"/>
    <mergeCell ref="V5:V6"/>
    <mergeCell ref="W5:W6"/>
    <mergeCell ref="U5:U6"/>
    <mergeCell ref="T5:T6"/>
  </mergeCells>
  <pageMargins left="0.75" right="0.75" top="1" bottom="1" header="0.5" footer="0.5"/>
  <ignoredErrors>
    <ignoredError sqref="C31:Q31"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B7754"/>
  </sheetPr>
  <dimension ref="A1:AA50"/>
  <sheetViews>
    <sheetView showGridLines="0" workbookViewId="0"/>
  </sheetViews>
  <sheetFormatPr defaultColWidth="13.08984375" defaultRowHeight="12.5" x14ac:dyDescent="0.25"/>
  <cols>
    <col min="1" max="1" width="1.08984375" customWidth="1"/>
    <col min="2" max="2" width="60.453125" customWidth="1"/>
    <col min="3" max="25" width="10.90625" customWidth="1"/>
    <col min="26" max="27" width="11" customWidth="1"/>
  </cols>
  <sheetData>
    <row r="1" spans="1:27" ht="15.75" customHeight="1" x14ac:dyDescent="0.25"/>
    <row r="2" spans="1:27" ht="15" customHeight="1" x14ac:dyDescent="0.45">
      <c r="A2" s="4"/>
      <c r="B2" s="4"/>
      <c r="C2" s="4"/>
      <c r="D2" s="4"/>
      <c r="E2" s="4"/>
      <c r="F2" s="4"/>
      <c r="G2" s="4"/>
      <c r="H2" s="4"/>
      <c r="I2" s="17"/>
      <c r="J2" s="4"/>
      <c r="K2" s="4"/>
      <c r="L2" s="4"/>
      <c r="M2" s="4"/>
      <c r="N2" s="4"/>
      <c r="O2" s="4"/>
      <c r="P2" s="4"/>
      <c r="Q2" s="4"/>
      <c r="R2" s="3"/>
      <c r="S2" s="3"/>
      <c r="T2" s="3"/>
      <c r="V2" s="100" t="s">
        <v>74</v>
      </c>
      <c r="W2" s="102"/>
      <c r="X2" s="102"/>
      <c r="Y2" s="102"/>
      <c r="Z2" s="102"/>
      <c r="AA2" s="102"/>
    </row>
    <row r="3" spans="1:27" ht="15.75" customHeight="1" x14ac:dyDescent="0.45">
      <c r="A3" s="4"/>
      <c r="B3" s="4"/>
      <c r="C3" s="4"/>
      <c r="D3" s="4"/>
      <c r="E3" s="4"/>
      <c r="F3" s="3"/>
      <c r="G3" s="3"/>
      <c r="H3" s="4"/>
      <c r="I3" s="17"/>
      <c r="J3" s="4"/>
      <c r="K3" s="4"/>
      <c r="L3" s="4"/>
      <c r="M3" s="4"/>
      <c r="N3" s="4"/>
      <c r="O3" s="4"/>
      <c r="P3" s="4"/>
      <c r="Q3" s="3"/>
      <c r="R3" s="3"/>
      <c r="S3" s="3"/>
      <c r="T3" s="3"/>
      <c r="V3" s="102"/>
      <c r="W3" s="102"/>
      <c r="X3" s="102"/>
      <c r="Y3" s="102"/>
      <c r="Z3" s="102"/>
      <c r="AA3" s="102"/>
    </row>
    <row r="4" spans="1:27" ht="15.75" customHeight="1" x14ac:dyDescent="0.45">
      <c r="A4" s="4"/>
      <c r="B4" s="4"/>
      <c r="C4" s="4"/>
      <c r="D4" s="4"/>
      <c r="E4" s="4"/>
      <c r="F4" s="4"/>
      <c r="G4" s="4"/>
      <c r="H4" s="4"/>
      <c r="I4" s="17"/>
      <c r="J4" s="4"/>
      <c r="K4" s="4"/>
      <c r="L4" s="4"/>
      <c r="M4" s="4"/>
      <c r="N4" s="4"/>
      <c r="O4" s="4"/>
      <c r="P4" s="4"/>
      <c r="Q4" s="4"/>
      <c r="R4" s="4"/>
      <c r="S4" s="4"/>
      <c r="T4" s="4"/>
      <c r="U4" s="4"/>
      <c r="V4" s="4"/>
      <c r="W4" s="4"/>
      <c r="X4" s="4"/>
      <c r="Y4" s="4"/>
      <c r="Z4" s="4"/>
      <c r="AA4" s="4"/>
    </row>
    <row r="5" spans="1:27" ht="15.75" customHeight="1" x14ac:dyDescent="0.35">
      <c r="A5" s="18"/>
      <c r="B5" s="5" t="s">
        <v>75</v>
      </c>
      <c r="C5" s="99" t="s">
        <v>3</v>
      </c>
      <c r="D5" s="99" t="s">
        <v>4</v>
      </c>
      <c r="E5" s="99" t="s">
        <v>5</v>
      </c>
      <c r="F5" s="99" t="s">
        <v>6</v>
      </c>
      <c r="G5" s="99" t="s">
        <v>7</v>
      </c>
      <c r="H5" s="99" t="s">
        <v>8</v>
      </c>
      <c r="I5" s="99" t="s">
        <v>76</v>
      </c>
      <c r="J5" s="99" t="s">
        <v>9</v>
      </c>
      <c r="K5" s="99" t="s">
        <v>10</v>
      </c>
      <c r="L5" s="99" t="s">
        <v>11</v>
      </c>
      <c r="M5" s="99" t="s">
        <v>12</v>
      </c>
      <c r="N5" s="99" t="s">
        <v>77</v>
      </c>
      <c r="O5" s="99" t="s">
        <v>13</v>
      </c>
      <c r="P5" s="99" t="s">
        <v>14</v>
      </c>
      <c r="Q5" s="99" t="s">
        <v>15</v>
      </c>
      <c r="R5" s="99" t="s">
        <v>16</v>
      </c>
      <c r="S5" s="99" t="s">
        <v>78</v>
      </c>
      <c r="T5" s="99" t="s">
        <v>17</v>
      </c>
      <c r="U5" s="99" t="s">
        <v>18</v>
      </c>
      <c r="V5" s="99" t="s">
        <v>19</v>
      </c>
      <c r="W5" s="99" t="s">
        <v>20</v>
      </c>
      <c r="X5" s="99" t="s">
        <v>79</v>
      </c>
      <c r="Y5" s="99" t="s">
        <v>21</v>
      </c>
      <c r="Z5" s="99" t="s">
        <v>22</v>
      </c>
      <c r="AA5" s="99" t="s">
        <v>23</v>
      </c>
    </row>
    <row r="6" spans="1:27" ht="15.75" customHeight="1" x14ac:dyDescent="0.35">
      <c r="A6" s="18"/>
      <c r="B6" s="6" t="s">
        <v>24</v>
      </c>
      <c r="C6" s="99"/>
      <c r="D6" s="99"/>
      <c r="E6" s="99"/>
      <c r="F6" s="99"/>
      <c r="G6" s="99"/>
      <c r="H6" s="99"/>
      <c r="I6" s="99"/>
      <c r="J6" s="99"/>
      <c r="K6" s="99"/>
      <c r="L6" s="99"/>
      <c r="M6" s="99"/>
      <c r="N6" s="99"/>
      <c r="O6" s="99"/>
      <c r="P6" s="99"/>
      <c r="Q6" s="99"/>
      <c r="R6" s="99"/>
      <c r="S6" s="99"/>
      <c r="T6" s="99"/>
      <c r="U6" s="99"/>
      <c r="V6" s="99"/>
      <c r="W6" s="99"/>
      <c r="X6" s="99"/>
      <c r="Y6" s="99"/>
      <c r="Z6" s="99"/>
      <c r="AA6" s="99"/>
    </row>
    <row r="7" spans="1:27" ht="15.75" customHeight="1" x14ac:dyDescent="0.45">
      <c r="A7" s="19"/>
      <c r="B7" s="9" t="s">
        <v>80</v>
      </c>
      <c r="C7" s="58">
        <v>285639</v>
      </c>
      <c r="D7" s="58">
        <v>565286</v>
      </c>
      <c r="E7" s="58">
        <v>1231820</v>
      </c>
      <c r="F7" s="58">
        <v>610169</v>
      </c>
      <c r="G7" s="58">
        <v>661755</v>
      </c>
      <c r="H7" s="58">
        <v>839315</v>
      </c>
      <c r="I7" s="58">
        <v>996464</v>
      </c>
      <c r="J7" s="58">
        <v>3107703</v>
      </c>
      <c r="K7" s="58">
        <v>1294609</v>
      </c>
      <c r="L7" s="58">
        <v>1520312</v>
      </c>
      <c r="M7" s="58">
        <v>2015598</v>
      </c>
      <c r="N7" s="58">
        <v>1804783</v>
      </c>
      <c r="O7" s="58">
        <v>6635302</v>
      </c>
      <c r="P7" s="58">
        <v>1886597</v>
      </c>
      <c r="Q7" s="58">
        <v>1906739.8466399999</v>
      </c>
      <c r="R7" s="58">
        <v>1891164.9869899999</v>
      </c>
      <c r="S7" s="58">
        <v>1866005.35088</v>
      </c>
      <c r="T7" s="58">
        <v>7550506.1845100001</v>
      </c>
      <c r="U7" s="58">
        <v>1821550</v>
      </c>
      <c r="V7" s="58">
        <v>2003159</v>
      </c>
      <c r="W7" s="58">
        <v>2277034</v>
      </c>
      <c r="X7" s="58">
        <v>1970307</v>
      </c>
      <c r="Y7" s="58">
        <v>8072050</v>
      </c>
      <c r="Z7" s="58">
        <v>2037842</v>
      </c>
      <c r="AA7" s="58">
        <v>2678334</v>
      </c>
    </row>
    <row r="8" spans="1:27" ht="15.75" customHeight="1" x14ac:dyDescent="0.45">
      <c r="A8" s="4"/>
      <c r="B8" s="8" t="s">
        <v>81</v>
      </c>
      <c r="C8" s="56">
        <v>-167389</v>
      </c>
      <c r="D8" s="56">
        <v>-311658</v>
      </c>
      <c r="E8" s="56">
        <v>-673893</v>
      </c>
      <c r="F8" s="56">
        <v>-399497</v>
      </c>
      <c r="G8" s="56">
        <v>-364701</v>
      </c>
      <c r="H8" s="56">
        <v>-448198</v>
      </c>
      <c r="I8" s="56">
        <v>-512123</v>
      </c>
      <c r="J8" s="56">
        <v>-1724516</v>
      </c>
      <c r="K8" s="56">
        <v>-685976</v>
      </c>
      <c r="L8" s="56">
        <v>-806658</v>
      </c>
      <c r="M8" s="56">
        <v>-1058871</v>
      </c>
      <c r="N8" s="56">
        <v>-1061335</v>
      </c>
      <c r="O8" s="56">
        <v>-3612840</v>
      </c>
      <c r="P8" s="56">
        <v>-1084075</v>
      </c>
      <c r="Q8" s="56">
        <v>-1235533</v>
      </c>
      <c r="R8" s="56">
        <v>-1320835</v>
      </c>
      <c r="S8" s="56">
        <v>-1381053</v>
      </c>
      <c r="T8" s="56">
        <v>-5021496</v>
      </c>
      <c r="U8" s="56">
        <v>-1253625</v>
      </c>
      <c r="V8" s="56">
        <v>-1531878</v>
      </c>
      <c r="W8" s="56">
        <v>-1834448</v>
      </c>
      <c r="X8" s="56">
        <v>-1638467</v>
      </c>
      <c r="Y8" s="56">
        <v>-6258418</v>
      </c>
      <c r="Z8" s="56">
        <v>-1386941</v>
      </c>
      <c r="AA8" s="56">
        <v>-1578763</v>
      </c>
    </row>
    <row r="9" spans="1:27" ht="15.75" customHeight="1" x14ac:dyDescent="0.45">
      <c r="A9" s="19"/>
      <c r="B9" s="9" t="s">
        <v>82</v>
      </c>
      <c r="C9" s="61">
        <f t="shared" ref="C9:AA9" si="0">C7+C8</f>
        <v>118250</v>
      </c>
      <c r="D9" s="61">
        <f t="shared" si="0"/>
        <v>253628</v>
      </c>
      <c r="E9" s="61">
        <f t="shared" si="0"/>
        <v>557927</v>
      </c>
      <c r="F9" s="61">
        <f t="shared" si="0"/>
        <v>210672</v>
      </c>
      <c r="G9" s="61">
        <f t="shared" si="0"/>
        <v>297054</v>
      </c>
      <c r="H9" s="61">
        <f t="shared" si="0"/>
        <v>391117</v>
      </c>
      <c r="I9" s="61">
        <f t="shared" si="0"/>
        <v>484341</v>
      </c>
      <c r="J9" s="61">
        <f t="shared" si="0"/>
        <v>1383187</v>
      </c>
      <c r="K9" s="61">
        <f t="shared" si="0"/>
        <v>608633</v>
      </c>
      <c r="L9" s="61">
        <f t="shared" si="0"/>
        <v>713654</v>
      </c>
      <c r="M9" s="61">
        <f t="shared" si="0"/>
        <v>956727</v>
      </c>
      <c r="N9" s="61">
        <f t="shared" si="0"/>
        <v>743448</v>
      </c>
      <c r="O9" s="61">
        <f t="shared" si="0"/>
        <v>3022462</v>
      </c>
      <c r="P9" s="61">
        <f t="shared" si="0"/>
        <v>802522</v>
      </c>
      <c r="Q9" s="61">
        <f t="shared" si="0"/>
        <v>671206.84663999989</v>
      </c>
      <c r="R9" s="61">
        <f t="shared" si="0"/>
        <v>570329.98698999989</v>
      </c>
      <c r="S9" s="61">
        <f t="shared" si="0"/>
        <v>484952.35088000004</v>
      </c>
      <c r="T9" s="61">
        <f t="shared" si="0"/>
        <v>2529010.1845100001</v>
      </c>
      <c r="U9" s="61">
        <f t="shared" si="0"/>
        <v>567925</v>
      </c>
      <c r="V9" s="61">
        <f t="shared" si="0"/>
        <v>471281</v>
      </c>
      <c r="W9" s="61">
        <f t="shared" si="0"/>
        <v>442586</v>
      </c>
      <c r="X9" s="61">
        <f t="shared" si="0"/>
        <v>331840</v>
      </c>
      <c r="Y9" s="61">
        <f t="shared" si="0"/>
        <v>1813632</v>
      </c>
      <c r="Z9" s="61">
        <f t="shared" si="0"/>
        <v>650901</v>
      </c>
      <c r="AA9" s="61">
        <f t="shared" si="0"/>
        <v>1099571</v>
      </c>
    </row>
    <row r="10" spans="1:27" ht="15" customHeight="1" x14ac:dyDescent="0.45">
      <c r="A10" s="4"/>
      <c r="B10" s="20" t="s">
        <v>83</v>
      </c>
      <c r="C10" s="21">
        <f t="shared" ref="C10:AA10" si="1">C9/C7</f>
        <v>0.41398408480634646</v>
      </c>
      <c r="D10" s="21">
        <f t="shared" si="1"/>
        <v>0.44867199966034893</v>
      </c>
      <c r="E10" s="21">
        <f t="shared" si="1"/>
        <v>0.4529289993667906</v>
      </c>
      <c r="F10" s="21">
        <f t="shared" si="1"/>
        <v>0.3452682781327796</v>
      </c>
      <c r="G10" s="21">
        <f t="shared" si="1"/>
        <v>0.44888818369336081</v>
      </c>
      <c r="H10" s="21">
        <f t="shared" si="1"/>
        <v>0.4659954844128843</v>
      </c>
      <c r="I10" s="21">
        <f t="shared" si="1"/>
        <v>0.48605970712439184</v>
      </c>
      <c r="J10" s="21">
        <f t="shared" si="1"/>
        <v>0.44508339439129158</v>
      </c>
      <c r="K10" s="21">
        <f t="shared" si="1"/>
        <v>0.47012881881711005</v>
      </c>
      <c r="L10" s="21">
        <f t="shared" si="1"/>
        <v>0.46941285736085753</v>
      </c>
      <c r="M10" s="21">
        <f t="shared" si="1"/>
        <v>0.47466161407185359</v>
      </c>
      <c r="N10" s="21">
        <f t="shared" si="1"/>
        <v>0.4119320716119334</v>
      </c>
      <c r="O10" s="21">
        <f t="shared" si="1"/>
        <v>0.45551234894809611</v>
      </c>
      <c r="P10" s="21">
        <f t="shared" si="1"/>
        <v>0.42538072518932235</v>
      </c>
      <c r="Q10" s="21">
        <f t="shared" si="1"/>
        <v>0.352018052081295</v>
      </c>
      <c r="R10" s="21">
        <f t="shared" si="1"/>
        <v>0.30157600786473088</v>
      </c>
      <c r="S10" s="21">
        <f t="shared" si="1"/>
        <v>0.25988797441084432</v>
      </c>
      <c r="T10" s="21">
        <f t="shared" si="1"/>
        <v>0.33494578015157583</v>
      </c>
      <c r="U10" s="21">
        <f t="shared" si="1"/>
        <v>0.31178117537262223</v>
      </c>
      <c r="V10" s="21">
        <f t="shared" si="1"/>
        <v>0.23526889278384791</v>
      </c>
      <c r="W10" s="21">
        <f t="shared" si="1"/>
        <v>0.19436951753904422</v>
      </c>
      <c r="X10" s="21">
        <f t="shared" si="1"/>
        <v>0.16842045427438465</v>
      </c>
      <c r="Y10" s="21">
        <f t="shared" si="1"/>
        <v>0.22468047150352141</v>
      </c>
      <c r="Z10" s="21">
        <f t="shared" si="1"/>
        <v>0.31940700015015883</v>
      </c>
      <c r="AA10" s="21">
        <f t="shared" si="1"/>
        <v>0.4105428971890735</v>
      </c>
    </row>
    <row r="11" spans="1:27" ht="15.75" customHeight="1" x14ac:dyDescent="0.45">
      <c r="A11" s="4"/>
      <c r="B11" s="22" t="s">
        <v>84</v>
      </c>
      <c r="C11" s="56">
        <v>-21827</v>
      </c>
      <c r="D11" s="56">
        <v>-30132</v>
      </c>
      <c r="E11" s="56">
        <v>-73441</v>
      </c>
      <c r="F11" s="56">
        <v>-52371</v>
      </c>
      <c r="G11" s="56">
        <v>-67228</v>
      </c>
      <c r="H11" s="56">
        <v>-67694</v>
      </c>
      <c r="I11" s="56">
        <v>-67967</v>
      </c>
      <c r="J11" s="56">
        <v>-255260</v>
      </c>
      <c r="K11" s="56">
        <v>-90762</v>
      </c>
      <c r="L11" s="56">
        <v>-104650</v>
      </c>
      <c r="M11" s="56">
        <v>-120077</v>
      </c>
      <c r="N11" s="56">
        <v>-138328</v>
      </c>
      <c r="O11" s="56">
        <v>-453816</v>
      </c>
      <c r="P11" s="56">
        <v>-171059</v>
      </c>
      <c r="Q11" s="56">
        <v>-212383</v>
      </c>
      <c r="R11" s="56">
        <v>-211151</v>
      </c>
      <c r="S11" s="56">
        <f>T11-R11-Q11-P11</f>
        <v>-200168</v>
      </c>
      <c r="T11" s="56">
        <v>-794761</v>
      </c>
      <c r="U11" s="56">
        <v>-220455</v>
      </c>
      <c r="V11" s="56">
        <v>-307877</v>
      </c>
      <c r="W11" s="56">
        <v>-339243</v>
      </c>
      <c r="X11" s="56">
        <f>Y11-W11-V11-U11</f>
        <v>-280841</v>
      </c>
      <c r="Y11" s="56">
        <v>-1148416</v>
      </c>
      <c r="Z11" s="56">
        <v>-280945</v>
      </c>
      <c r="AA11" s="56">
        <v>-372501</v>
      </c>
    </row>
    <row r="12" spans="1:27" ht="15.75" customHeight="1" x14ac:dyDescent="0.45">
      <c r="A12" s="4"/>
      <c r="B12" s="22" t="s">
        <v>85</v>
      </c>
      <c r="C12" s="56">
        <v>-27426.091</v>
      </c>
      <c r="D12" s="56">
        <v>-24852</v>
      </c>
      <c r="E12" s="56">
        <v>-52195</v>
      </c>
      <c r="F12" s="56">
        <v>-12964</v>
      </c>
      <c r="G12" s="56">
        <v>-15454</v>
      </c>
      <c r="H12" s="56">
        <v>-15809</v>
      </c>
      <c r="I12" s="56">
        <v>-17885</v>
      </c>
      <c r="J12" s="56">
        <v>-62126</v>
      </c>
      <c r="K12" s="56">
        <v>-18876</v>
      </c>
      <c r="L12" s="56">
        <v>-23482.687771524699</v>
      </c>
      <c r="M12" s="56">
        <v>-30148</v>
      </c>
      <c r="N12" s="56">
        <v>-39315.550608067897</v>
      </c>
      <c r="O12" s="56">
        <v>-111829</v>
      </c>
      <c r="P12" s="56">
        <v>-31400</v>
      </c>
      <c r="Q12" s="56">
        <v>-36490</v>
      </c>
      <c r="R12" s="56">
        <v>-48475</v>
      </c>
      <c r="S12" s="56">
        <f>T12-R12-Q12-P12</f>
        <v>-47851</v>
      </c>
      <c r="T12" s="56">
        <v>-164216</v>
      </c>
      <c r="U12" s="56">
        <v>-41757</v>
      </c>
      <c r="V12" s="56">
        <v>-51292</v>
      </c>
      <c r="W12" s="56">
        <v>-57030</v>
      </c>
      <c r="X12" s="56">
        <f>Y12-W12-V12-U12</f>
        <v>-63287</v>
      </c>
      <c r="Y12" s="56">
        <v>-213366</v>
      </c>
      <c r="Z12" s="56">
        <v>-71096</v>
      </c>
      <c r="AA12" s="56">
        <v>-70077</v>
      </c>
    </row>
    <row r="13" spans="1:27" ht="15.75" customHeight="1" x14ac:dyDescent="0.45">
      <c r="A13" s="4"/>
      <c r="B13" s="22" t="s">
        <v>86</v>
      </c>
      <c r="C13" s="56">
        <v>-1898.9090000000001</v>
      </c>
      <c r="D13" s="56">
        <v>-3043</v>
      </c>
      <c r="E13" s="56">
        <v>6534</v>
      </c>
      <c r="F13" s="56">
        <v>455</v>
      </c>
      <c r="G13" s="56">
        <v>12231</v>
      </c>
      <c r="H13" s="56">
        <v>-131</v>
      </c>
      <c r="I13" s="56">
        <v>2309</v>
      </c>
      <c r="J13" s="56">
        <v>14876</v>
      </c>
      <c r="K13" s="56">
        <v>-4134</v>
      </c>
      <c r="L13" s="56">
        <v>2162</v>
      </c>
      <c r="M13" s="56">
        <v>10903</v>
      </c>
      <c r="N13" s="56">
        <v>26177.550608067901</v>
      </c>
      <c r="O13" s="56">
        <v>35115</v>
      </c>
      <c r="P13" s="56">
        <v>43070</v>
      </c>
      <c r="Q13" s="56">
        <v>250973</v>
      </c>
      <c r="R13" s="56">
        <v>171167</v>
      </c>
      <c r="S13" s="56">
        <f>T13-R13-Q13-P13</f>
        <v>208953</v>
      </c>
      <c r="T13" s="56">
        <v>674163</v>
      </c>
      <c r="U13" s="56">
        <v>23483</v>
      </c>
      <c r="V13" s="56">
        <v>43289</v>
      </c>
      <c r="W13" s="56">
        <v>55100</v>
      </c>
      <c r="X13" s="56">
        <f>Y13-W13-V13-U13</f>
        <v>18252</v>
      </c>
      <c r="Y13" s="56">
        <v>140124</v>
      </c>
      <c r="Z13" s="56">
        <v>33066</v>
      </c>
      <c r="AA13" s="56">
        <v>19831</v>
      </c>
    </row>
    <row r="14" spans="1:27" ht="15.75" customHeight="1" x14ac:dyDescent="0.45">
      <c r="A14" s="4"/>
      <c r="B14" s="8" t="s">
        <v>87</v>
      </c>
      <c r="C14" s="56">
        <f t="shared" ref="C14:R14" si="2">SUM(C11:C13)</f>
        <v>-51152</v>
      </c>
      <c r="D14" s="56">
        <f t="shared" si="2"/>
        <v>-58027</v>
      </c>
      <c r="E14" s="56">
        <f t="shared" si="2"/>
        <v>-119102</v>
      </c>
      <c r="F14" s="56">
        <f t="shared" si="2"/>
        <v>-64880</v>
      </c>
      <c r="G14" s="56">
        <f t="shared" si="2"/>
        <v>-70451</v>
      </c>
      <c r="H14" s="56">
        <f t="shared" si="2"/>
        <v>-83634</v>
      </c>
      <c r="I14" s="56">
        <f t="shared" si="2"/>
        <v>-83543</v>
      </c>
      <c r="J14" s="56">
        <f t="shared" si="2"/>
        <v>-302510</v>
      </c>
      <c r="K14" s="56">
        <f t="shared" si="2"/>
        <v>-113772</v>
      </c>
      <c r="L14" s="56">
        <f t="shared" si="2"/>
        <v>-125970.6877715247</v>
      </c>
      <c r="M14" s="56">
        <f t="shared" si="2"/>
        <v>-139322</v>
      </c>
      <c r="N14" s="56">
        <f t="shared" si="2"/>
        <v>-151466</v>
      </c>
      <c r="O14" s="56">
        <f t="shared" si="2"/>
        <v>-530530</v>
      </c>
      <c r="P14" s="56">
        <f t="shared" si="2"/>
        <v>-159389</v>
      </c>
      <c r="Q14" s="56">
        <f t="shared" si="2"/>
        <v>2100</v>
      </c>
      <c r="R14" s="56">
        <f t="shared" si="2"/>
        <v>-88459</v>
      </c>
      <c r="S14" s="56">
        <f>T14-R14-Q14-P14</f>
        <v>-39066</v>
      </c>
      <c r="T14" s="56">
        <f>SUM(T11:T13)</f>
        <v>-284814</v>
      </c>
      <c r="U14" s="56">
        <f>SUM(U11:U13)</f>
        <v>-238729</v>
      </c>
      <c r="V14" s="56">
        <f>SUM(V11:V13)</f>
        <v>-315880</v>
      </c>
      <c r="W14" s="56">
        <f>SUM(W11:W13)</f>
        <v>-341173</v>
      </c>
      <c r="X14" s="56">
        <f>Y14-W14-V14-U14</f>
        <v>-325876</v>
      </c>
      <c r="Y14" s="56">
        <f>SUM(Y11:Y13)</f>
        <v>-1221658</v>
      </c>
      <c r="Z14" s="56">
        <f>SUM(Z11:Z13)</f>
        <v>-318975</v>
      </c>
      <c r="AA14" s="56">
        <f>SUM(AA11:AA13)</f>
        <v>-422747</v>
      </c>
    </row>
    <row r="15" spans="1:27" ht="15.75" customHeight="1" x14ac:dyDescent="0.45">
      <c r="A15" s="19"/>
      <c r="B15" s="9" t="s">
        <v>88</v>
      </c>
      <c r="C15" s="58">
        <f t="shared" ref="C15:AA15" si="3">C9+C14</f>
        <v>67098</v>
      </c>
      <c r="D15" s="58">
        <f t="shared" si="3"/>
        <v>195601</v>
      </c>
      <c r="E15" s="58">
        <f t="shared" si="3"/>
        <v>438825</v>
      </c>
      <c r="F15" s="58">
        <f t="shared" si="3"/>
        <v>145792</v>
      </c>
      <c r="G15" s="58">
        <f t="shared" si="3"/>
        <v>226603</v>
      </c>
      <c r="H15" s="58">
        <f t="shared" si="3"/>
        <v>307483</v>
      </c>
      <c r="I15" s="58">
        <f t="shared" si="3"/>
        <v>400798</v>
      </c>
      <c r="J15" s="58">
        <f t="shared" si="3"/>
        <v>1080677</v>
      </c>
      <c r="K15" s="58">
        <f t="shared" si="3"/>
        <v>494861</v>
      </c>
      <c r="L15" s="58">
        <f t="shared" si="3"/>
        <v>587683.31222847535</v>
      </c>
      <c r="M15" s="58">
        <f t="shared" si="3"/>
        <v>817405</v>
      </c>
      <c r="N15" s="58">
        <f t="shared" si="3"/>
        <v>591982</v>
      </c>
      <c r="O15" s="58">
        <f t="shared" si="3"/>
        <v>2491932</v>
      </c>
      <c r="P15" s="58">
        <f t="shared" si="3"/>
        <v>643133</v>
      </c>
      <c r="Q15" s="58">
        <f t="shared" si="3"/>
        <v>673306.84663999989</v>
      </c>
      <c r="R15" s="58">
        <f t="shared" si="3"/>
        <v>481870.98698999989</v>
      </c>
      <c r="S15" s="58">
        <f t="shared" si="3"/>
        <v>445886.35088000004</v>
      </c>
      <c r="T15" s="58">
        <f t="shared" si="3"/>
        <v>2244196.1845100001</v>
      </c>
      <c r="U15" s="58">
        <f t="shared" si="3"/>
        <v>329196</v>
      </c>
      <c r="V15" s="58">
        <f t="shared" si="3"/>
        <v>155401</v>
      </c>
      <c r="W15" s="58">
        <f t="shared" si="3"/>
        <v>101413</v>
      </c>
      <c r="X15" s="58">
        <f t="shared" si="3"/>
        <v>5964</v>
      </c>
      <c r="Y15" s="58">
        <f t="shared" si="3"/>
        <v>591974</v>
      </c>
      <c r="Z15" s="58">
        <f t="shared" si="3"/>
        <v>331926</v>
      </c>
      <c r="AA15" s="58">
        <f t="shared" si="3"/>
        <v>676824</v>
      </c>
    </row>
    <row r="16" spans="1:27" ht="15.75" customHeight="1" x14ac:dyDescent="0.45">
      <c r="A16" s="4"/>
      <c r="B16" s="22" t="s">
        <v>89</v>
      </c>
      <c r="C16" s="56">
        <v>2577</v>
      </c>
      <c r="D16" s="56">
        <v>26564</v>
      </c>
      <c r="E16" s="56">
        <v>84080</v>
      </c>
      <c r="F16" s="56">
        <v>102024</v>
      </c>
      <c r="G16" s="56">
        <v>105987</v>
      </c>
      <c r="H16" s="56">
        <v>24402</v>
      </c>
      <c r="I16" s="56">
        <v>-97527</v>
      </c>
      <c r="J16" s="56">
        <v>268632</v>
      </c>
      <c r="K16" s="56">
        <v>132467</v>
      </c>
      <c r="L16" s="56">
        <v>109564</v>
      </c>
      <c r="M16" s="56">
        <v>232354</v>
      </c>
      <c r="N16" s="56">
        <f>O16-M16-L16-K16</f>
        <v>94972</v>
      </c>
      <c r="O16" s="56">
        <v>569357</v>
      </c>
      <c r="P16" s="56">
        <v>611170</v>
      </c>
      <c r="Q16" s="56">
        <v>259988</v>
      </c>
      <c r="R16" s="56">
        <v>252520</v>
      </c>
      <c r="S16" s="56">
        <f>T16-R16-Q16-P16</f>
        <v>-45342</v>
      </c>
      <c r="T16" s="56">
        <v>1078336</v>
      </c>
      <c r="U16" s="56">
        <v>212783</v>
      </c>
      <c r="V16" s="56">
        <v>208003</v>
      </c>
      <c r="W16" s="56">
        <v>341636</v>
      </c>
      <c r="X16" s="56">
        <f>Y16-W16-V16-U16</f>
        <v>172317</v>
      </c>
      <c r="Y16" s="56">
        <v>934739</v>
      </c>
      <c r="Z16" s="56">
        <v>338563</v>
      </c>
      <c r="AA16" s="56">
        <v>175207</v>
      </c>
    </row>
    <row r="17" spans="1:27" ht="15.75" customHeight="1" x14ac:dyDescent="0.45">
      <c r="A17" s="4"/>
      <c r="B17" s="22" t="s">
        <v>90</v>
      </c>
      <c r="C17" s="56">
        <v>-28913</v>
      </c>
      <c r="D17" s="56">
        <v>-87561</v>
      </c>
      <c r="E17" s="56">
        <v>-287457</v>
      </c>
      <c r="F17" s="56">
        <v>-13970</v>
      </c>
      <c r="G17" s="56">
        <v>-132733</v>
      </c>
      <c r="H17" s="56">
        <v>-163751</v>
      </c>
      <c r="I17" s="56">
        <v>228616</v>
      </c>
      <c r="J17" s="56">
        <v>-600380</v>
      </c>
      <c r="K17" s="56">
        <v>-480963</v>
      </c>
      <c r="L17" s="56">
        <v>-280423</v>
      </c>
      <c r="M17" s="56">
        <v>-328669</v>
      </c>
      <c r="N17" s="56">
        <f>O17-M17-L17-K17</f>
        <v>-833633</v>
      </c>
      <c r="O17" s="56">
        <v>-1923688</v>
      </c>
      <c r="P17" s="56">
        <v>-593360</v>
      </c>
      <c r="Q17" s="56">
        <v>-456451</v>
      </c>
      <c r="R17" s="56">
        <v>-659150</v>
      </c>
      <c r="S17" s="56">
        <f>T17-R17-Q17-P17</f>
        <v>-314751</v>
      </c>
      <c r="T17" s="56">
        <v>-2023712</v>
      </c>
      <c r="U17" s="56">
        <v>-703117</v>
      </c>
      <c r="V17" s="56">
        <v>-576485</v>
      </c>
      <c r="W17" s="56">
        <v>-742868</v>
      </c>
      <c r="X17" s="56">
        <f>Y17-W17-V17-U17</f>
        <v>-509257</v>
      </c>
      <c r="Y17" s="56">
        <v>-2531727</v>
      </c>
      <c r="Z17" s="56">
        <v>-533492</v>
      </c>
      <c r="AA17" s="56">
        <v>-597903</v>
      </c>
    </row>
    <row r="18" spans="1:27" ht="15.75" customHeight="1" x14ac:dyDescent="0.45">
      <c r="A18" s="4"/>
      <c r="B18" s="22" t="s">
        <v>91</v>
      </c>
      <c r="C18" s="56">
        <v>-17707</v>
      </c>
      <c r="D18" s="56">
        <v>-79913</v>
      </c>
      <c r="E18" s="56">
        <v>-563330</v>
      </c>
      <c r="F18" s="56">
        <v>-134061</v>
      </c>
      <c r="G18" s="56">
        <v>-82904</v>
      </c>
      <c r="H18" s="56">
        <v>202255</v>
      </c>
      <c r="I18" s="56">
        <v>-288116</v>
      </c>
      <c r="J18" s="56">
        <v>-302826</v>
      </c>
      <c r="K18" s="56">
        <v>436649</v>
      </c>
      <c r="L18" s="56">
        <v>-272214</v>
      </c>
      <c r="M18" s="56">
        <v>-97342</v>
      </c>
      <c r="N18" s="56">
        <f>O18-M18-L18-K18</f>
        <v>521968</v>
      </c>
      <c r="O18" s="56">
        <v>589061</v>
      </c>
      <c r="P18" s="56">
        <v>-298325</v>
      </c>
      <c r="Q18" s="56">
        <v>-115413</v>
      </c>
      <c r="R18" s="56">
        <v>119747</v>
      </c>
      <c r="S18" s="56">
        <f>T18-R18-Q18-P18</f>
        <v>87285</v>
      </c>
      <c r="T18" s="56">
        <v>-206706</v>
      </c>
      <c r="U18" s="56">
        <v>160205</v>
      </c>
      <c r="V18" s="56">
        <v>-103862</v>
      </c>
      <c r="W18" s="56">
        <v>83676</v>
      </c>
      <c r="X18" s="56">
        <f>Y18-W18-V18-U18</f>
        <v>-66010</v>
      </c>
      <c r="Y18" s="56">
        <v>74009</v>
      </c>
      <c r="Z18" s="56">
        <v>-232307</v>
      </c>
      <c r="AA18" s="56">
        <v>52063</v>
      </c>
    </row>
    <row r="19" spans="1:27" ht="15.75" customHeight="1" x14ac:dyDescent="0.45">
      <c r="A19" s="4"/>
      <c r="B19" s="8" t="s">
        <v>92</v>
      </c>
      <c r="C19" s="56">
        <f t="shared" ref="C19:W19" si="4">C18+C17+C16</f>
        <v>-44043</v>
      </c>
      <c r="D19" s="56">
        <f t="shared" si="4"/>
        <v>-140910</v>
      </c>
      <c r="E19" s="56">
        <f t="shared" si="4"/>
        <v>-766707</v>
      </c>
      <c r="F19" s="56">
        <f t="shared" si="4"/>
        <v>-46007</v>
      </c>
      <c r="G19" s="56">
        <f t="shared" si="4"/>
        <v>-109650</v>
      </c>
      <c r="H19" s="56">
        <f t="shared" si="4"/>
        <v>62906</v>
      </c>
      <c r="I19" s="56">
        <f t="shared" si="4"/>
        <v>-157027</v>
      </c>
      <c r="J19" s="56">
        <f t="shared" si="4"/>
        <v>-634574</v>
      </c>
      <c r="K19" s="56">
        <f t="shared" si="4"/>
        <v>88153</v>
      </c>
      <c r="L19" s="56">
        <f t="shared" si="4"/>
        <v>-443073</v>
      </c>
      <c r="M19" s="56">
        <f t="shared" si="4"/>
        <v>-193657</v>
      </c>
      <c r="N19" s="56">
        <f t="shared" si="4"/>
        <v>-216693</v>
      </c>
      <c r="O19" s="56">
        <f t="shared" si="4"/>
        <v>-765270</v>
      </c>
      <c r="P19" s="56">
        <f t="shared" si="4"/>
        <v>-280515</v>
      </c>
      <c r="Q19" s="56">
        <f t="shared" si="4"/>
        <v>-311876</v>
      </c>
      <c r="R19" s="56">
        <f t="shared" si="4"/>
        <v>-286883</v>
      </c>
      <c r="S19" s="56">
        <f t="shared" si="4"/>
        <v>-272808</v>
      </c>
      <c r="T19" s="56">
        <f t="shared" si="4"/>
        <v>-1152082</v>
      </c>
      <c r="U19" s="56">
        <f t="shared" si="4"/>
        <v>-330129</v>
      </c>
      <c r="V19" s="56">
        <f t="shared" si="4"/>
        <v>-472344</v>
      </c>
      <c r="W19" s="56">
        <f t="shared" si="4"/>
        <v>-317556</v>
      </c>
      <c r="X19" s="56">
        <f>Y19-W19-V19-U19</f>
        <v>-402950</v>
      </c>
      <c r="Y19" s="56">
        <f>Y18+Y17+Y16</f>
        <v>-1522979</v>
      </c>
      <c r="Z19" s="56">
        <f>Z18+Z17+Z16</f>
        <v>-427236</v>
      </c>
      <c r="AA19" s="56">
        <f>AA18+AA17+AA16</f>
        <v>-370633</v>
      </c>
    </row>
    <row r="20" spans="1:27" ht="15.75" customHeight="1" x14ac:dyDescent="0.45">
      <c r="A20" s="19"/>
      <c r="B20" s="9" t="s">
        <v>93</v>
      </c>
      <c r="C20" s="58">
        <f t="shared" ref="C20:AA20" si="5">C19+C15</f>
        <v>23055</v>
      </c>
      <c r="D20" s="58">
        <f t="shared" si="5"/>
        <v>54691</v>
      </c>
      <c r="E20" s="58">
        <f t="shared" si="5"/>
        <v>-327882</v>
      </c>
      <c r="F20" s="58">
        <f t="shared" si="5"/>
        <v>99785</v>
      </c>
      <c r="G20" s="58">
        <f t="shared" si="5"/>
        <v>116953</v>
      </c>
      <c r="H20" s="58">
        <f t="shared" si="5"/>
        <v>370389</v>
      </c>
      <c r="I20" s="58">
        <f t="shared" si="5"/>
        <v>243771</v>
      </c>
      <c r="J20" s="58">
        <f t="shared" si="5"/>
        <v>446103</v>
      </c>
      <c r="K20" s="58">
        <f t="shared" si="5"/>
        <v>583014</v>
      </c>
      <c r="L20" s="58">
        <f t="shared" si="5"/>
        <v>144610.31222847535</v>
      </c>
      <c r="M20" s="58">
        <f t="shared" si="5"/>
        <v>623748</v>
      </c>
      <c r="N20" s="58">
        <f t="shared" si="5"/>
        <v>375289</v>
      </c>
      <c r="O20" s="58">
        <f t="shared" si="5"/>
        <v>1726662</v>
      </c>
      <c r="P20" s="58">
        <f t="shared" si="5"/>
        <v>362618</v>
      </c>
      <c r="Q20" s="58">
        <f t="shared" si="5"/>
        <v>361430.84663999989</v>
      </c>
      <c r="R20" s="58">
        <f t="shared" si="5"/>
        <v>194987.98698999989</v>
      </c>
      <c r="S20" s="58">
        <f t="shared" si="5"/>
        <v>173078.35088000004</v>
      </c>
      <c r="T20" s="58">
        <f t="shared" si="5"/>
        <v>1092114.1845100001</v>
      </c>
      <c r="U20" s="58">
        <f t="shared" si="5"/>
        <v>-933</v>
      </c>
      <c r="V20" s="58">
        <f t="shared" si="5"/>
        <v>-316943</v>
      </c>
      <c r="W20" s="58">
        <f t="shared" si="5"/>
        <v>-216143</v>
      </c>
      <c r="X20" s="58">
        <f t="shared" si="5"/>
        <v>-396986</v>
      </c>
      <c r="Y20" s="58">
        <f t="shared" si="5"/>
        <v>-931005</v>
      </c>
      <c r="Z20" s="58">
        <f t="shared" si="5"/>
        <v>-95310</v>
      </c>
      <c r="AA20" s="58">
        <f t="shared" si="5"/>
        <v>306191</v>
      </c>
    </row>
    <row r="21" spans="1:27" ht="15.75" customHeight="1" x14ac:dyDescent="0.45">
      <c r="A21" s="4"/>
      <c r="B21" s="8" t="s">
        <v>94</v>
      </c>
      <c r="C21" s="56">
        <v>-11158</v>
      </c>
      <c r="D21" s="56">
        <v>-20856</v>
      </c>
      <c r="E21" s="56">
        <v>4091</v>
      </c>
      <c r="F21" s="56">
        <v>0</v>
      </c>
      <c r="G21" s="56">
        <v>0</v>
      </c>
      <c r="H21" s="56">
        <v>0</v>
      </c>
      <c r="I21" s="56">
        <v>0</v>
      </c>
      <c r="J21" s="56">
        <v>0</v>
      </c>
      <c r="K21" s="56">
        <v>-160212</v>
      </c>
      <c r="L21" s="56">
        <v>-10171</v>
      </c>
      <c r="M21" s="56">
        <v>-96109</v>
      </c>
      <c r="N21" s="56">
        <f>O21-M21-L21-K21</f>
        <v>-187683</v>
      </c>
      <c r="O21" s="56">
        <v>-454175</v>
      </c>
      <c r="P21" s="56">
        <v>-85256</v>
      </c>
      <c r="Q21" s="56">
        <v>-114677</v>
      </c>
      <c r="R21" s="56">
        <v>-6833</v>
      </c>
      <c r="S21" s="56">
        <v>-78791</v>
      </c>
      <c r="T21" s="56">
        <v>-285557</v>
      </c>
      <c r="U21" s="56">
        <v>0</v>
      </c>
      <c r="V21" s="56">
        <v>10361</v>
      </c>
      <c r="W21" s="56">
        <v>366</v>
      </c>
      <c r="X21" s="56">
        <f>Y21-W21-V21-U21</f>
        <v>0</v>
      </c>
      <c r="Y21" s="56">
        <v>10727</v>
      </c>
      <c r="Z21" s="56">
        <v>-4633</v>
      </c>
      <c r="AA21" s="56">
        <v>-109378</v>
      </c>
    </row>
    <row r="22" spans="1:27" ht="15.75" customHeight="1" x14ac:dyDescent="0.45">
      <c r="A22" s="4"/>
      <c r="B22" s="8" t="s">
        <v>95</v>
      </c>
      <c r="C22" s="56">
        <v>2499</v>
      </c>
      <c r="D22" s="56">
        <v>4494</v>
      </c>
      <c r="E22" s="56">
        <v>115147</v>
      </c>
      <c r="F22" s="56">
        <v>22889</v>
      </c>
      <c r="G22" s="56">
        <v>-51726</v>
      </c>
      <c r="H22" s="56">
        <v>-119762</v>
      </c>
      <c r="I22" s="56">
        <v>23622</v>
      </c>
      <c r="J22" s="56">
        <v>-124977</v>
      </c>
      <c r="K22" s="56">
        <v>-23174</v>
      </c>
      <c r="L22" s="56">
        <v>-27128</v>
      </c>
      <c r="M22" s="56">
        <v>-95270</v>
      </c>
      <c r="N22" s="56">
        <f>O22-M22-L22-K22</f>
        <v>77197</v>
      </c>
      <c r="O22" s="56">
        <v>-68375</v>
      </c>
      <c r="P22" s="56">
        <v>-10113.3368335999</v>
      </c>
      <c r="Q22" s="56">
        <v>4694</v>
      </c>
      <c r="R22" s="56">
        <v>-28061</v>
      </c>
      <c r="S22" s="56">
        <v>45652.336833599897</v>
      </c>
      <c r="T22" s="56">
        <v>12172</v>
      </c>
      <c r="U22" s="56">
        <v>34937</v>
      </c>
      <c r="V22" s="56">
        <v>132464</v>
      </c>
      <c r="W22" s="56">
        <v>100621</v>
      </c>
      <c r="X22" s="56">
        <f>Y22-W22-V22-U22</f>
        <v>168242</v>
      </c>
      <c r="Y22" s="56">
        <v>436264</v>
      </c>
      <c r="Z22" s="56">
        <v>55958</v>
      </c>
      <c r="AA22" s="56">
        <v>17962</v>
      </c>
    </row>
    <row r="23" spans="1:27" ht="15.75" customHeight="1" x14ac:dyDescent="0.45">
      <c r="A23" s="4"/>
      <c r="B23" s="8" t="s">
        <v>96</v>
      </c>
      <c r="C23" s="56">
        <v>0</v>
      </c>
      <c r="D23" s="56">
        <v>22777</v>
      </c>
      <c r="E23" s="56">
        <v>0</v>
      </c>
      <c r="F23" s="56">
        <v>0</v>
      </c>
      <c r="G23" s="56">
        <v>0</v>
      </c>
      <c r="H23" s="56">
        <v>0</v>
      </c>
      <c r="I23" s="56">
        <v>0</v>
      </c>
      <c r="J23" s="56">
        <v>0</v>
      </c>
      <c r="K23" s="56">
        <v>106961</v>
      </c>
      <c r="L23" s="56">
        <v>17641</v>
      </c>
      <c r="M23" s="56">
        <v>37413</v>
      </c>
      <c r="N23" s="56">
        <f>O23-M23-L23-K23</f>
        <v>118946</v>
      </c>
      <c r="O23" s="56">
        <v>280961</v>
      </c>
      <c r="P23" s="56">
        <v>0</v>
      </c>
      <c r="Q23" s="56">
        <v>23064</v>
      </c>
      <c r="R23" s="56">
        <v>8229</v>
      </c>
      <c r="S23" s="56">
        <v>27389</v>
      </c>
      <c r="T23" s="56">
        <v>58682</v>
      </c>
      <c r="U23" s="56">
        <v>0</v>
      </c>
      <c r="V23" s="56">
        <v>-5715</v>
      </c>
      <c r="W23" s="56">
        <v>429</v>
      </c>
      <c r="X23" s="56">
        <f>Y23-W23-V23-U23</f>
        <v>0</v>
      </c>
      <c r="Y23" s="56">
        <v>-5286</v>
      </c>
      <c r="Z23" s="56">
        <v>3699</v>
      </c>
      <c r="AA23" s="56">
        <v>80801</v>
      </c>
    </row>
    <row r="24" spans="1:27" ht="15.75" customHeight="1" x14ac:dyDescent="0.45">
      <c r="A24" s="19"/>
      <c r="B24" s="9" t="s">
        <v>97</v>
      </c>
      <c r="C24" s="58">
        <f t="shared" ref="C24:O24" si="6">C23+C22+C21+C20</f>
        <v>14396</v>
      </c>
      <c r="D24" s="58">
        <f t="shared" si="6"/>
        <v>61106</v>
      </c>
      <c r="E24" s="58">
        <f t="shared" si="6"/>
        <v>-208644</v>
      </c>
      <c r="F24" s="58">
        <f t="shared" si="6"/>
        <v>122674</v>
      </c>
      <c r="G24" s="58">
        <f t="shared" si="6"/>
        <v>65227</v>
      </c>
      <c r="H24" s="58">
        <f t="shared" si="6"/>
        <v>250627</v>
      </c>
      <c r="I24" s="58">
        <f t="shared" si="6"/>
        <v>267393</v>
      </c>
      <c r="J24" s="58">
        <f t="shared" si="6"/>
        <v>321126</v>
      </c>
      <c r="K24" s="58">
        <f t="shared" si="6"/>
        <v>506589</v>
      </c>
      <c r="L24" s="58">
        <f t="shared" si="6"/>
        <v>124952.31222847535</v>
      </c>
      <c r="M24" s="58">
        <f t="shared" si="6"/>
        <v>469782</v>
      </c>
      <c r="N24" s="58">
        <f t="shared" si="6"/>
        <v>383749</v>
      </c>
      <c r="O24" s="58">
        <f t="shared" si="6"/>
        <v>1485073</v>
      </c>
      <c r="P24" s="58">
        <f t="shared" ref="P24:AA24" si="7">SUM(P20:P23)</f>
        <v>267248.6631664001</v>
      </c>
      <c r="Q24" s="58">
        <f t="shared" si="7"/>
        <v>274511.84663999989</v>
      </c>
      <c r="R24" s="58">
        <f t="shared" si="7"/>
        <v>168322.98698999989</v>
      </c>
      <c r="S24" s="58">
        <f t="shared" si="7"/>
        <v>167328.68771359994</v>
      </c>
      <c r="T24" s="58">
        <f t="shared" si="7"/>
        <v>877411.18451000005</v>
      </c>
      <c r="U24" s="58">
        <f t="shared" si="7"/>
        <v>34004</v>
      </c>
      <c r="V24" s="58">
        <f t="shared" si="7"/>
        <v>-179833</v>
      </c>
      <c r="W24" s="58">
        <f t="shared" si="7"/>
        <v>-114727</v>
      </c>
      <c r="X24" s="58">
        <f t="shared" si="7"/>
        <v>-228744</v>
      </c>
      <c r="Y24" s="58">
        <f t="shared" si="7"/>
        <v>-489300</v>
      </c>
      <c r="Z24" s="58">
        <f t="shared" si="7"/>
        <v>-40286</v>
      </c>
      <c r="AA24" s="58">
        <f t="shared" si="7"/>
        <v>295576</v>
      </c>
    </row>
    <row r="25" spans="1:27" ht="15.75" customHeight="1" x14ac:dyDescent="0.45">
      <c r="A25" s="4"/>
      <c r="B25" s="20" t="s">
        <v>98</v>
      </c>
      <c r="C25" s="23">
        <f>C24/C7</f>
        <v>5.039928021033542E-2</v>
      </c>
      <c r="D25" s="23">
        <f>D24/D7</f>
        <v>0.10809749401188071</v>
      </c>
      <c r="E25" s="23">
        <f>E24/E7</f>
        <v>-0.16937864298355279</v>
      </c>
      <c r="F25" s="23">
        <f>F24/F7</f>
        <v>0.20104921751186966</v>
      </c>
      <c r="G25" s="23">
        <f>G24/G7</f>
        <v>9.8566690089232425E-2</v>
      </c>
      <c r="H25" s="23">
        <v>0.29860898470776798</v>
      </c>
      <c r="I25" s="23">
        <f t="shared" ref="I25:AA25" si="8">I24/I7</f>
        <v>0.26834185680566486</v>
      </c>
      <c r="J25" s="23">
        <f t="shared" si="8"/>
        <v>0.103332268237988</v>
      </c>
      <c r="K25" s="23">
        <f t="shared" si="8"/>
        <v>0.39130656437580769</v>
      </c>
      <c r="L25" s="23">
        <f t="shared" si="8"/>
        <v>8.2188598280139441E-2</v>
      </c>
      <c r="M25" s="23">
        <f t="shared" si="8"/>
        <v>0.23307326163252792</v>
      </c>
      <c r="N25" s="23">
        <f t="shared" si="8"/>
        <v>0.21262888668610022</v>
      </c>
      <c r="O25" s="23">
        <f t="shared" si="8"/>
        <v>0.22381392738416428</v>
      </c>
      <c r="P25" s="23">
        <f t="shared" si="8"/>
        <v>0.14165646567147097</v>
      </c>
      <c r="Q25" s="23">
        <f t="shared" si="8"/>
        <v>0.14396921904356091</v>
      </c>
      <c r="R25" s="23">
        <f t="shared" si="8"/>
        <v>8.9004919268257349E-2</v>
      </c>
      <c r="S25" s="23">
        <f t="shared" si="8"/>
        <v>8.9672137132237303E-2</v>
      </c>
      <c r="T25" s="23">
        <f t="shared" si="8"/>
        <v>0.11620561099731631</v>
      </c>
      <c r="U25" s="23">
        <f t="shared" si="8"/>
        <v>1.8667618237215557E-2</v>
      </c>
      <c r="V25" s="23">
        <f t="shared" si="8"/>
        <v>-8.9774700859991646E-2</v>
      </c>
      <c r="W25" s="23">
        <f t="shared" si="8"/>
        <v>-5.0384403570609838E-2</v>
      </c>
      <c r="X25" s="23">
        <f t="shared" si="8"/>
        <v>-0.11609561352621699</v>
      </c>
      <c r="Y25" s="23">
        <f t="shared" si="8"/>
        <v>-6.0616571998439062E-2</v>
      </c>
      <c r="Z25" s="23">
        <f t="shared" si="8"/>
        <v>-1.9768951665536386E-2</v>
      </c>
      <c r="AA25" s="23">
        <f t="shared" si="8"/>
        <v>0.1103581554802351</v>
      </c>
    </row>
    <row r="26" spans="1:27" ht="15.75" customHeight="1" x14ac:dyDescent="0.45">
      <c r="A26" s="4"/>
      <c r="B26" s="24"/>
      <c r="C26" s="62"/>
      <c r="D26" s="62"/>
      <c r="E26" s="62"/>
      <c r="F26" s="62"/>
      <c r="G26" s="62"/>
      <c r="H26" s="62"/>
      <c r="I26" s="62"/>
      <c r="J26" s="62"/>
      <c r="K26" s="62"/>
      <c r="L26" s="62"/>
      <c r="M26" s="62"/>
      <c r="N26" s="62"/>
      <c r="O26" s="62"/>
      <c r="P26" s="62"/>
      <c r="Q26" s="62"/>
      <c r="R26" s="62"/>
      <c r="S26" s="62"/>
      <c r="T26" s="62"/>
      <c r="U26" s="62"/>
      <c r="V26" s="62"/>
      <c r="W26" s="62"/>
      <c r="X26" s="62"/>
      <c r="Y26" s="62"/>
      <c r="Z26" s="62"/>
      <c r="AA26" s="62"/>
    </row>
    <row r="27" spans="1:27" ht="16.649999999999999" customHeight="1" x14ac:dyDescent="0.45">
      <c r="A27" s="19"/>
      <c r="B27" s="9" t="s">
        <v>99</v>
      </c>
      <c r="C27" s="58">
        <f t="shared" ref="C27:AA27" si="9">C15</f>
        <v>67098</v>
      </c>
      <c r="D27" s="58">
        <f t="shared" si="9"/>
        <v>195601</v>
      </c>
      <c r="E27" s="58">
        <f t="shared" si="9"/>
        <v>438825</v>
      </c>
      <c r="F27" s="58">
        <f t="shared" si="9"/>
        <v>145792</v>
      </c>
      <c r="G27" s="58">
        <f t="shared" si="9"/>
        <v>226603</v>
      </c>
      <c r="H27" s="58">
        <f t="shared" si="9"/>
        <v>307483</v>
      </c>
      <c r="I27" s="58">
        <f t="shared" si="9"/>
        <v>400798</v>
      </c>
      <c r="J27" s="58">
        <f t="shared" si="9"/>
        <v>1080677</v>
      </c>
      <c r="K27" s="58">
        <f t="shared" si="9"/>
        <v>494861</v>
      </c>
      <c r="L27" s="58">
        <f t="shared" si="9"/>
        <v>587683.31222847535</v>
      </c>
      <c r="M27" s="58">
        <f t="shared" si="9"/>
        <v>817405</v>
      </c>
      <c r="N27" s="58">
        <f t="shared" si="9"/>
        <v>591982</v>
      </c>
      <c r="O27" s="58">
        <f t="shared" si="9"/>
        <v>2491932</v>
      </c>
      <c r="P27" s="58">
        <f t="shared" si="9"/>
        <v>643133</v>
      </c>
      <c r="Q27" s="58">
        <f t="shared" si="9"/>
        <v>673306.84663999989</v>
      </c>
      <c r="R27" s="58">
        <f t="shared" si="9"/>
        <v>481870.98698999989</v>
      </c>
      <c r="S27" s="58">
        <f t="shared" si="9"/>
        <v>445886.35088000004</v>
      </c>
      <c r="T27" s="58">
        <f t="shared" si="9"/>
        <v>2244196.1845100001</v>
      </c>
      <c r="U27" s="58">
        <f t="shared" si="9"/>
        <v>329196</v>
      </c>
      <c r="V27" s="58">
        <f t="shared" si="9"/>
        <v>155401</v>
      </c>
      <c r="W27" s="58">
        <f t="shared" si="9"/>
        <v>101413</v>
      </c>
      <c r="X27" s="58">
        <f t="shared" si="9"/>
        <v>5964</v>
      </c>
      <c r="Y27" s="58">
        <f t="shared" si="9"/>
        <v>591974</v>
      </c>
      <c r="Z27" s="58">
        <f t="shared" si="9"/>
        <v>331926</v>
      </c>
      <c r="AA27" s="58">
        <f t="shared" si="9"/>
        <v>676824</v>
      </c>
    </row>
    <row r="28" spans="1:27" ht="15.75" customHeight="1" x14ac:dyDescent="0.45">
      <c r="A28" s="4"/>
      <c r="B28" s="20" t="s">
        <v>100</v>
      </c>
      <c r="C28" s="23">
        <f t="shared" ref="C28:AA28" si="10">C27/C7</f>
        <v>0.23490489744047557</v>
      </c>
      <c r="D28" s="23">
        <f t="shared" si="10"/>
        <v>0.34602130602916048</v>
      </c>
      <c r="E28" s="23">
        <f t="shared" si="10"/>
        <v>0.35624117159974672</v>
      </c>
      <c r="F28" s="23">
        <f t="shared" si="10"/>
        <v>0.23893708136598221</v>
      </c>
      <c r="G28" s="23">
        <f t="shared" si="10"/>
        <v>0.34242733337866732</v>
      </c>
      <c r="H28" s="23">
        <f t="shared" si="10"/>
        <v>0.36634994012974864</v>
      </c>
      <c r="I28" s="23">
        <f t="shared" si="10"/>
        <v>0.40222025080685303</v>
      </c>
      <c r="J28" s="23">
        <f t="shared" si="10"/>
        <v>0.3477414025728971</v>
      </c>
      <c r="K28" s="23">
        <f t="shared" si="10"/>
        <v>0.38224745849905262</v>
      </c>
      <c r="L28" s="23">
        <f t="shared" si="10"/>
        <v>0.38655441266560769</v>
      </c>
      <c r="M28" s="23">
        <f t="shared" si="10"/>
        <v>0.40553969591158556</v>
      </c>
      <c r="N28" s="23">
        <f t="shared" si="10"/>
        <v>0.32800730060068162</v>
      </c>
      <c r="O28" s="23">
        <f t="shared" si="10"/>
        <v>0.37555668151954502</v>
      </c>
      <c r="P28" s="23">
        <f t="shared" si="10"/>
        <v>0.34089580339627384</v>
      </c>
      <c r="Q28" s="23">
        <f t="shared" si="10"/>
        <v>0.35311940841142075</v>
      </c>
      <c r="R28" s="23">
        <f t="shared" si="10"/>
        <v>0.25480113596907866</v>
      </c>
      <c r="S28" s="23">
        <f t="shared" si="10"/>
        <v>0.23895234312684149</v>
      </c>
      <c r="T28" s="23">
        <f t="shared" si="10"/>
        <v>0.29722460053261185</v>
      </c>
      <c r="U28" s="23">
        <f t="shared" si="10"/>
        <v>0.18072301062282123</v>
      </c>
      <c r="V28" s="23">
        <f t="shared" si="10"/>
        <v>7.7577965603329538E-2</v>
      </c>
      <c r="W28" s="23">
        <f t="shared" si="10"/>
        <v>4.4537323553359327E-2</v>
      </c>
      <c r="X28" s="23">
        <f t="shared" si="10"/>
        <v>3.0269394566430513E-3</v>
      </c>
      <c r="Y28" s="23">
        <f t="shared" si="10"/>
        <v>7.3336265260993183E-2</v>
      </c>
      <c r="Z28" s="23">
        <f t="shared" si="10"/>
        <v>0.16288112621096237</v>
      </c>
      <c r="AA28" s="23">
        <f t="shared" si="10"/>
        <v>0.25270335962579721</v>
      </c>
    </row>
    <row r="29" spans="1:27" ht="16.649999999999999" customHeight="1" x14ac:dyDescent="0.45">
      <c r="A29" s="19"/>
      <c r="B29" s="9" t="s">
        <v>101</v>
      </c>
      <c r="C29" s="58">
        <v>78219</v>
      </c>
      <c r="D29" s="58">
        <v>212614.28200000001</v>
      </c>
      <c r="E29" s="58">
        <v>480522</v>
      </c>
      <c r="F29" s="58">
        <v>170730.840049233</v>
      </c>
      <c r="G29" s="58">
        <v>244134.226075741</v>
      </c>
      <c r="H29" s="58">
        <v>325091.183478355</v>
      </c>
      <c r="I29" s="58">
        <v>420123</v>
      </c>
      <c r="J29" s="58">
        <v>1160080</v>
      </c>
      <c r="K29" s="58">
        <v>526202</v>
      </c>
      <c r="L29" s="58">
        <v>616978</v>
      </c>
      <c r="M29" s="58">
        <v>852664</v>
      </c>
      <c r="N29" s="58">
        <v>625923</v>
      </c>
      <c r="O29" s="58">
        <v>2621767</v>
      </c>
      <c r="P29" s="58">
        <v>675996.87303999998</v>
      </c>
      <c r="Q29" s="58">
        <v>707433.84664</v>
      </c>
      <c r="R29" s="58">
        <v>519503.09030712402</v>
      </c>
      <c r="S29" s="58">
        <v>489164.37452287599</v>
      </c>
      <c r="T29" s="58">
        <v>2392097.1845100001</v>
      </c>
      <c r="U29" s="58">
        <v>377102</v>
      </c>
      <c r="V29" s="58">
        <v>218761</v>
      </c>
      <c r="W29" s="58">
        <v>174637</v>
      </c>
      <c r="X29" s="58">
        <v>75692</v>
      </c>
      <c r="Y29" s="58">
        <v>846192</v>
      </c>
      <c r="Z29" s="58">
        <v>398900</v>
      </c>
      <c r="AA29" s="58">
        <v>752428</v>
      </c>
    </row>
    <row r="30" spans="1:27" ht="15.75" customHeight="1" x14ac:dyDescent="0.45">
      <c r="A30" s="4"/>
      <c r="B30" s="20" t="s">
        <v>102</v>
      </c>
      <c r="C30" s="23">
        <f t="shared" ref="C30:AA30" si="11">C29/C7</f>
        <v>0.27383865648598404</v>
      </c>
      <c r="D30" s="23">
        <f t="shared" si="11"/>
        <v>0.37611807474446562</v>
      </c>
      <c r="E30" s="23">
        <f t="shared" si="11"/>
        <v>0.3900910847364063</v>
      </c>
      <c r="F30" s="23">
        <f t="shared" si="11"/>
        <v>0.2798091021491308</v>
      </c>
      <c r="G30" s="23">
        <f t="shared" si="11"/>
        <v>0.36891935244273333</v>
      </c>
      <c r="H30" s="23">
        <f t="shared" si="11"/>
        <v>0.38732917138184708</v>
      </c>
      <c r="I30" s="23">
        <f t="shared" si="11"/>
        <v>0.4216138264904703</v>
      </c>
      <c r="J30" s="23">
        <f t="shared" si="11"/>
        <v>0.37329178496143295</v>
      </c>
      <c r="K30" s="23">
        <f t="shared" si="11"/>
        <v>0.40645631229197388</v>
      </c>
      <c r="L30" s="23">
        <f t="shared" si="11"/>
        <v>0.405823278379701</v>
      </c>
      <c r="M30" s="23">
        <f t="shared" si="11"/>
        <v>0.42303276744668333</v>
      </c>
      <c r="N30" s="23">
        <f t="shared" si="11"/>
        <v>0.34681343962127303</v>
      </c>
      <c r="O30" s="23">
        <f t="shared" si="11"/>
        <v>0.3951239898349766</v>
      </c>
      <c r="P30" s="23">
        <f t="shared" si="11"/>
        <v>0.35831546060976455</v>
      </c>
      <c r="Q30" s="23">
        <f t="shared" si="11"/>
        <v>0.37101749768675513</v>
      </c>
      <c r="R30" s="23">
        <f t="shared" si="11"/>
        <v>0.27470003615812028</v>
      </c>
      <c r="S30" s="23">
        <f t="shared" si="11"/>
        <v>0.26214521533509438</v>
      </c>
      <c r="T30" s="23">
        <f t="shared" si="11"/>
        <v>0.31681282367762714</v>
      </c>
      <c r="U30" s="23">
        <f t="shared" si="11"/>
        <v>0.20702259065081935</v>
      </c>
      <c r="V30" s="23">
        <f t="shared" si="11"/>
        <v>0.10920800595459472</v>
      </c>
      <c r="W30" s="23">
        <f t="shared" si="11"/>
        <v>7.6694946144853351E-2</v>
      </c>
      <c r="X30" s="23">
        <f t="shared" si="11"/>
        <v>3.8416348315262548E-2</v>
      </c>
      <c r="Y30" s="23">
        <f t="shared" si="11"/>
        <v>0.10482987592990628</v>
      </c>
      <c r="Z30" s="23">
        <f t="shared" si="11"/>
        <v>0.1957462845500289</v>
      </c>
      <c r="AA30" s="23">
        <f t="shared" si="11"/>
        <v>0.28093135508864842</v>
      </c>
    </row>
    <row r="31" spans="1:27" ht="15.75" customHeight="1" x14ac:dyDescent="0.25"/>
    <row r="32" spans="1:27" ht="15.75" customHeight="1" x14ac:dyDescent="0.45">
      <c r="B32" s="26"/>
      <c r="AA32" s="27"/>
    </row>
    <row r="33" ht="15.7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mergeCells count="26">
    <mergeCell ref="C5:C6"/>
    <mergeCell ref="D5:D6"/>
    <mergeCell ref="I5:I6"/>
    <mergeCell ref="J5:J6"/>
    <mergeCell ref="K5:K6"/>
    <mergeCell ref="L5:L6"/>
    <mergeCell ref="H5:H6"/>
    <mergeCell ref="G5:G6"/>
    <mergeCell ref="F5:F6"/>
    <mergeCell ref="E5:E6"/>
    <mergeCell ref="T5:T6"/>
    <mergeCell ref="S5:S6"/>
    <mergeCell ref="R5:R6"/>
    <mergeCell ref="Q5:Q6"/>
    <mergeCell ref="M5:M6"/>
    <mergeCell ref="N5:N6"/>
    <mergeCell ref="O5:O6"/>
    <mergeCell ref="P5:P6"/>
    <mergeCell ref="AA5:AA6"/>
    <mergeCell ref="V2:AA3"/>
    <mergeCell ref="U5:U6"/>
    <mergeCell ref="V5:V6"/>
    <mergeCell ref="W5:W6"/>
    <mergeCell ref="X5:X6"/>
    <mergeCell ref="Y5:Y6"/>
    <mergeCell ref="Z5:Z6"/>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B7754"/>
  </sheetPr>
  <dimension ref="B1:AW72"/>
  <sheetViews>
    <sheetView showGridLines="0" workbookViewId="0"/>
  </sheetViews>
  <sheetFormatPr defaultColWidth="13.08984375" defaultRowHeight="12.5" x14ac:dyDescent="0.25"/>
  <cols>
    <col min="1" max="1" width="1.08984375" customWidth="1"/>
    <col min="2" max="2" width="60.1796875" customWidth="1"/>
    <col min="3" max="49" width="10.90625" customWidth="1"/>
  </cols>
  <sheetData>
    <row r="1" spans="2:49" ht="15.75" customHeight="1" x14ac:dyDescent="0.35">
      <c r="X1" s="2"/>
    </row>
    <row r="2" spans="2:49" ht="15.75" customHeight="1" x14ac:dyDescent="0.45">
      <c r="B2" s="4"/>
      <c r="C2" s="4"/>
      <c r="D2" s="4"/>
      <c r="E2" s="4"/>
      <c r="F2" s="4"/>
      <c r="G2" s="4"/>
      <c r="H2" s="4"/>
      <c r="I2" s="2"/>
      <c r="J2" s="2"/>
      <c r="K2" s="2"/>
      <c r="L2" s="2"/>
      <c r="M2" s="2"/>
      <c r="N2" s="2"/>
      <c r="O2" s="2"/>
      <c r="R2" s="100" t="s">
        <v>1</v>
      </c>
      <c r="S2" s="101"/>
      <c r="T2" s="101"/>
      <c r="U2" s="101"/>
      <c r="V2" s="101"/>
      <c r="W2" s="101"/>
      <c r="X2" s="101"/>
      <c r="AF2" s="2"/>
      <c r="AG2" s="2"/>
      <c r="AH2" s="2"/>
      <c r="AI2" s="2"/>
      <c r="AJ2" s="2"/>
      <c r="AK2" s="2"/>
      <c r="AL2" s="2"/>
      <c r="AM2" s="2"/>
      <c r="AN2" s="2"/>
      <c r="AO2" s="2"/>
      <c r="AP2" s="2"/>
      <c r="AQ2" s="2"/>
      <c r="AR2" s="2"/>
      <c r="AS2" s="2"/>
      <c r="AT2" s="2"/>
      <c r="AU2" s="2"/>
      <c r="AV2" s="2"/>
      <c r="AW2" s="2"/>
    </row>
    <row r="3" spans="2:49" ht="15.75" customHeight="1" x14ac:dyDescent="0.45">
      <c r="B3" s="4"/>
      <c r="C3" s="4"/>
      <c r="D3" s="4"/>
      <c r="E3" s="4"/>
      <c r="F3" s="4"/>
      <c r="G3" s="4"/>
      <c r="H3" s="4"/>
      <c r="I3" s="2"/>
      <c r="J3" s="2"/>
      <c r="K3" s="2"/>
      <c r="L3" s="2"/>
      <c r="M3" s="2"/>
      <c r="N3" s="2"/>
      <c r="O3" s="2"/>
      <c r="R3" s="101"/>
      <c r="S3" s="101"/>
      <c r="T3" s="101"/>
      <c r="U3" s="101"/>
      <c r="V3" s="101"/>
      <c r="W3" s="101"/>
      <c r="X3" s="101"/>
      <c r="AF3" s="2"/>
      <c r="AG3" s="2"/>
      <c r="AH3" s="2"/>
      <c r="AI3" s="2"/>
      <c r="AJ3" s="2"/>
      <c r="AK3" s="2"/>
      <c r="AL3" s="2"/>
      <c r="AM3" s="2"/>
      <c r="AN3" s="2"/>
      <c r="AO3" s="2"/>
      <c r="AP3" s="2"/>
      <c r="AQ3" s="2"/>
      <c r="AR3" s="2"/>
      <c r="AS3" s="2"/>
      <c r="AT3" s="2"/>
      <c r="AU3" s="2"/>
      <c r="AV3" s="2"/>
      <c r="AW3" s="2"/>
    </row>
    <row r="4" spans="2:49" ht="15.75" customHeight="1" x14ac:dyDescent="0.45">
      <c r="B4" s="4"/>
      <c r="C4" s="4"/>
      <c r="D4" s="4"/>
      <c r="E4" s="4"/>
      <c r="F4" s="4"/>
      <c r="G4" s="4"/>
      <c r="H4" s="4"/>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2:49" ht="15.75" customHeight="1" x14ac:dyDescent="0.35">
      <c r="B5" s="5" t="s">
        <v>103</v>
      </c>
      <c r="C5" s="99" t="s">
        <v>3</v>
      </c>
      <c r="D5" s="99" t="s">
        <v>4</v>
      </c>
      <c r="E5" s="99" t="s">
        <v>5</v>
      </c>
      <c r="F5" s="99" t="s">
        <v>6</v>
      </c>
      <c r="G5" s="99" t="s">
        <v>104</v>
      </c>
      <c r="H5" s="99" t="s">
        <v>105</v>
      </c>
      <c r="I5" s="99" t="s">
        <v>9</v>
      </c>
      <c r="J5" s="99" t="s">
        <v>10</v>
      </c>
      <c r="K5" s="99" t="s">
        <v>106</v>
      </c>
      <c r="L5" s="99" t="s">
        <v>107</v>
      </c>
      <c r="M5" s="99" t="s">
        <v>13</v>
      </c>
      <c r="N5" s="99" t="s">
        <v>14</v>
      </c>
      <c r="O5" s="99" t="s">
        <v>108</v>
      </c>
      <c r="P5" s="99" t="s">
        <v>109</v>
      </c>
      <c r="Q5" s="99" t="s">
        <v>17</v>
      </c>
      <c r="R5" s="99" t="s">
        <v>18</v>
      </c>
      <c r="S5" s="99" t="s">
        <v>110</v>
      </c>
      <c r="T5" s="99" t="s">
        <v>111</v>
      </c>
      <c r="U5" s="99" t="s">
        <v>21</v>
      </c>
      <c r="V5" s="99" t="s">
        <v>22</v>
      </c>
      <c r="W5" s="99" t="s">
        <v>23</v>
      </c>
      <c r="X5" s="99" t="s">
        <v>112</v>
      </c>
      <c r="Y5" s="2"/>
      <c r="Z5" s="99" t="s">
        <v>6</v>
      </c>
      <c r="AA5" s="99" t="s">
        <v>7</v>
      </c>
      <c r="AB5" s="99" t="s">
        <v>8</v>
      </c>
      <c r="AC5" s="99" t="s">
        <v>76</v>
      </c>
      <c r="AD5" s="99" t="str">
        <f>J5</f>
        <v>1Q22</v>
      </c>
      <c r="AE5" s="99" t="s">
        <v>11</v>
      </c>
      <c r="AF5" s="99" t="s">
        <v>12</v>
      </c>
      <c r="AG5" s="99" t="s">
        <v>77</v>
      </c>
      <c r="AH5" s="99" t="s">
        <v>14</v>
      </c>
      <c r="AI5" s="99" t="s">
        <v>15</v>
      </c>
      <c r="AJ5" s="99" t="s">
        <v>16</v>
      </c>
      <c r="AK5" s="99" t="s">
        <v>78</v>
      </c>
      <c r="AL5" s="99" t="s">
        <v>18</v>
      </c>
      <c r="AM5" s="99" t="s">
        <v>19</v>
      </c>
      <c r="AN5" s="99" t="s">
        <v>20</v>
      </c>
      <c r="AO5" s="99" t="s">
        <v>79</v>
      </c>
      <c r="AP5" s="99" t="s">
        <v>22</v>
      </c>
      <c r="AQ5" s="99" t="s">
        <v>23</v>
      </c>
      <c r="AR5" s="2"/>
      <c r="AS5" s="99" t="s">
        <v>113</v>
      </c>
      <c r="AT5" s="99" t="s">
        <v>114</v>
      </c>
      <c r="AU5" s="99" t="s">
        <v>115</v>
      </c>
      <c r="AV5" s="99" t="s">
        <v>116</v>
      </c>
      <c r="AW5" s="99" t="s">
        <v>117</v>
      </c>
    </row>
    <row r="6" spans="2:49" ht="15.75" customHeight="1" x14ac:dyDescent="0.35">
      <c r="B6" s="6" t="s">
        <v>24</v>
      </c>
      <c r="C6" s="99"/>
      <c r="D6" s="99"/>
      <c r="E6" s="99"/>
      <c r="F6" s="99"/>
      <c r="G6" s="99"/>
      <c r="H6" s="99"/>
      <c r="I6" s="99"/>
      <c r="J6" s="99"/>
      <c r="K6" s="99"/>
      <c r="L6" s="99"/>
      <c r="M6" s="99"/>
      <c r="N6" s="99"/>
      <c r="O6" s="99"/>
      <c r="P6" s="99"/>
      <c r="Q6" s="99"/>
      <c r="R6" s="99"/>
      <c r="S6" s="99"/>
      <c r="T6" s="99"/>
      <c r="U6" s="99"/>
      <c r="V6" s="99"/>
      <c r="W6" s="99"/>
      <c r="X6" s="99"/>
      <c r="Y6" s="2"/>
      <c r="Z6" s="99"/>
      <c r="AA6" s="99"/>
      <c r="AB6" s="99"/>
      <c r="AC6" s="99"/>
      <c r="AD6" s="99"/>
      <c r="AE6" s="99"/>
      <c r="AF6" s="99"/>
      <c r="AG6" s="99"/>
      <c r="AH6" s="99"/>
      <c r="AI6" s="99"/>
      <c r="AJ6" s="99"/>
      <c r="AK6" s="99"/>
      <c r="AL6" s="99"/>
      <c r="AM6" s="99"/>
      <c r="AN6" s="99"/>
      <c r="AO6" s="99"/>
      <c r="AP6" s="99"/>
      <c r="AQ6" s="99"/>
      <c r="AR6" s="2"/>
      <c r="AS6" s="99"/>
      <c r="AT6" s="99"/>
      <c r="AU6" s="99"/>
      <c r="AV6" s="99"/>
      <c r="AW6" s="99"/>
    </row>
    <row r="7" spans="2:49" ht="15" customHeight="1" x14ac:dyDescent="0.35">
      <c r="B7" s="9" t="s">
        <v>97</v>
      </c>
      <c r="C7" s="58">
        <v>14396</v>
      </c>
      <c r="D7" s="58">
        <v>61106</v>
      </c>
      <c r="E7" s="58">
        <v>-208644</v>
      </c>
      <c r="F7" s="58">
        <v>-53434</v>
      </c>
      <c r="G7" s="58">
        <v>65284</v>
      </c>
      <c r="H7" s="58">
        <v>315911</v>
      </c>
      <c r="I7" s="58">
        <v>321126</v>
      </c>
      <c r="J7" s="58">
        <v>506589</v>
      </c>
      <c r="K7" s="58">
        <v>631542</v>
      </c>
      <c r="L7" s="58">
        <v>1101324</v>
      </c>
      <c r="M7" s="58">
        <v>1485073</v>
      </c>
      <c r="N7" s="58">
        <v>267248.53620640002</v>
      </c>
      <c r="O7" s="58">
        <v>541564.84664</v>
      </c>
      <c r="P7" s="58">
        <v>709880.83363000001</v>
      </c>
      <c r="Q7" s="58">
        <v>877411.18451000005</v>
      </c>
      <c r="R7" s="58">
        <v>34004</v>
      </c>
      <c r="S7" s="58">
        <v>-145829</v>
      </c>
      <c r="T7" s="58">
        <v>-260556</v>
      </c>
      <c r="U7" s="58">
        <v>-489300</v>
      </c>
      <c r="V7" s="58">
        <v>-40286</v>
      </c>
      <c r="W7" s="58">
        <v>295576</v>
      </c>
      <c r="X7" s="58">
        <v>255290</v>
      </c>
      <c r="Y7" s="2"/>
      <c r="Z7" s="58">
        <f>F7</f>
        <v>-53434</v>
      </c>
      <c r="AA7" s="58">
        <f>G7-F7</f>
        <v>118718</v>
      </c>
      <c r="AB7" s="58">
        <f>H7-G7</f>
        <v>250627</v>
      </c>
      <c r="AC7" s="58">
        <f>I7-H7</f>
        <v>5215</v>
      </c>
      <c r="AD7" s="58">
        <f>J7</f>
        <v>506589</v>
      </c>
      <c r="AE7" s="58">
        <f>K7-J7</f>
        <v>124953</v>
      </c>
      <c r="AF7" s="58">
        <f>L7-K7</f>
        <v>469782</v>
      </c>
      <c r="AG7" s="58">
        <f>M7-L7</f>
        <v>383749</v>
      </c>
      <c r="AH7" s="58">
        <f>N7</f>
        <v>267248.53620640002</v>
      </c>
      <c r="AI7" s="58">
        <f>O7-N7</f>
        <v>274316.31043359998</v>
      </c>
      <c r="AJ7" s="58">
        <f>P7-O7</f>
        <v>168315.98699</v>
      </c>
      <c r="AK7" s="58">
        <f>Q7-P7</f>
        <v>167530.35088000004</v>
      </c>
      <c r="AL7" s="58">
        <f>R7</f>
        <v>34004</v>
      </c>
      <c r="AM7" s="58">
        <f>S7-R7</f>
        <v>-179833</v>
      </c>
      <c r="AN7" s="58">
        <v>-114727</v>
      </c>
      <c r="AO7" s="58">
        <f>U7-T7</f>
        <v>-228744</v>
      </c>
      <c r="AP7" s="58">
        <f>V7</f>
        <v>-40286</v>
      </c>
      <c r="AQ7" s="58">
        <f>W7</f>
        <v>295576</v>
      </c>
      <c r="AR7" s="2"/>
      <c r="AS7" s="58">
        <f>E7-D7</f>
        <v>-269750</v>
      </c>
      <c r="AT7" s="58">
        <f>I7-E7</f>
        <v>529770</v>
      </c>
      <c r="AU7" s="58">
        <f>M7-I7</f>
        <v>1163947</v>
      </c>
      <c r="AV7" s="58">
        <f>Q7-M7</f>
        <v>-607661.81548999995</v>
      </c>
      <c r="AW7" s="58">
        <f>U7-Q7</f>
        <v>-1366711.1845100001</v>
      </c>
    </row>
    <row r="8" spans="2:49" ht="15.75" customHeight="1" x14ac:dyDescent="0.35">
      <c r="B8" s="8" t="s">
        <v>118</v>
      </c>
      <c r="C8" s="14"/>
      <c r="D8" s="28"/>
      <c r="E8" s="28"/>
      <c r="F8" s="28"/>
      <c r="G8" s="28"/>
      <c r="H8" s="28"/>
      <c r="I8" s="28"/>
      <c r="J8" s="28"/>
      <c r="K8" s="28"/>
      <c r="L8" s="28"/>
      <c r="M8" s="28"/>
      <c r="N8" s="14"/>
      <c r="O8" s="14"/>
      <c r="P8" s="14"/>
      <c r="Q8" s="14"/>
      <c r="R8" s="14"/>
      <c r="S8" s="14"/>
      <c r="T8" s="14"/>
      <c r="U8" s="14"/>
      <c r="V8" s="14"/>
      <c r="W8" s="14"/>
      <c r="X8" s="14"/>
      <c r="Y8" s="2"/>
      <c r="Z8" s="28"/>
      <c r="AA8" s="28"/>
      <c r="AB8" s="28"/>
      <c r="AC8" s="28"/>
      <c r="AD8" s="28"/>
      <c r="AE8" s="28"/>
      <c r="AF8" s="28"/>
      <c r="AG8" s="28"/>
      <c r="AH8" s="28"/>
      <c r="AI8" s="14"/>
      <c r="AJ8" s="14"/>
      <c r="AK8" s="14"/>
      <c r="AL8" s="14"/>
      <c r="AM8" s="14"/>
      <c r="AN8" s="14"/>
      <c r="AO8" s="14"/>
      <c r="AP8" s="14"/>
      <c r="AQ8" s="14"/>
      <c r="AR8" s="2"/>
      <c r="AS8" s="28"/>
      <c r="AT8" s="28"/>
      <c r="AU8" s="28"/>
      <c r="AV8" s="28"/>
      <c r="AW8" s="28"/>
    </row>
    <row r="9" spans="2:49" ht="15.75" customHeight="1" x14ac:dyDescent="0.35">
      <c r="B9" s="22" t="s">
        <v>119</v>
      </c>
      <c r="C9" s="56">
        <v>11121</v>
      </c>
      <c r="D9" s="56">
        <v>17013</v>
      </c>
      <c r="E9" s="56">
        <v>41696.552072974002</v>
      </c>
      <c r="F9" s="56">
        <v>24938.8400492328</v>
      </c>
      <c r="G9" s="56">
        <v>42470.066124973797</v>
      </c>
      <c r="H9" s="56">
        <v>60078</v>
      </c>
      <c r="I9" s="56">
        <v>79403</v>
      </c>
      <c r="J9" s="56">
        <v>31341</v>
      </c>
      <c r="K9" s="56">
        <v>60635</v>
      </c>
      <c r="L9" s="56">
        <v>95894</v>
      </c>
      <c r="M9" s="56">
        <v>129835</v>
      </c>
      <c r="N9" s="56">
        <v>32864</v>
      </c>
      <c r="O9" s="56">
        <v>66991</v>
      </c>
      <c r="P9" s="56">
        <v>104623</v>
      </c>
      <c r="Q9" s="56">
        <v>147901</v>
      </c>
      <c r="R9" s="56">
        <v>47906</v>
      </c>
      <c r="S9" s="56">
        <v>111266</v>
      </c>
      <c r="T9" s="56">
        <v>184490</v>
      </c>
      <c r="U9" s="56">
        <v>254218</v>
      </c>
      <c r="V9" s="56">
        <v>66974</v>
      </c>
      <c r="W9" s="56">
        <v>75604</v>
      </c>
      <c r="X9" s="56">
        <v>142578</v>
      </c>
      <c r="Y9" s="2"/>
      <c r="Z9" s="56">
        <f t="shared" ref="Z9:Z21" si="0">F9</f>
        <v>24938.8400492328</v>
      </c>
      <c r="AA9" s="56">
        <f t="shared" ref="AA9:AA21" si="1">G9-F9</f>
        <v>17531.226075740997</v>
      </c>
      <c r="AB9" s="56">
        <f t="shared" ref="AB9:AB21" si="2">H9-G9</f>
        <v>17607.933875026203</v>
      </c>
      <c r="AC9" s="56">
        <f t="shared" ref="AC9:AC21" si="3">I9-H9</f>
        <v>19325</v>
      </c>
      <c r="AD9" s="56">
        <f t="shared" ref="AD9:AD21" si="4">J9</f>
        <v>31341</v>
      </c>
      <c r="AE9" s="56">
        <f t="shared" ref="AE9:AE21" si="5">K9-J9</f>
        <v>29294</v>
      </c>
      <c r="AF9" s="56">
        <f t="shared" ref="AF9:AF21" si="6">L9-K9</f>
        <v>35259</v>
      </c>
      <c r="AG9" s="56">
        <f t="shared" ref="AG9:AG21" si="7">M9-L9</f>
        <v>33941</v>
      </c>
      <c r="AH9" s="56">
        <f t="shared" ref="AH9:AH21" si="8">N9</f>
        <v>32864</v>
      </c>
      <c r="AI9" s="56">
        <f t="shared" ref="AI9:AI21" si="9">O9-N9</f>
        <v>34127</v>
      </c>
      <c r="AJ9" s="56">
        <f t="shared" ref="AJ9:AJ21" si="10">P9-O9</f>
        <v>37632</v>
      </c>
      <c r="AK9" s="56">
        <f t="shared" ref="AK9:AK21" si="11">Q9-P9</f>
        <v>43278</v>
      </c>
      <c r="AL9" s="56">
        <f t="shared" ref="AL9:AL21" si="12">R9</f>
        <v>47906</v>
      </c>
      <c r="AM9" s="56">
        <f t="shared" ref="AM9:AM21" si="13">S9-R9</f>
        <v>63360</v>
      </c>
      <c r="AN9" s="56">
        <v>73224</v>
      </c>
      <c r="AO9" s="56">
        <f t="shared" ref="AO9:AO21" si="14">U9-T9</f>
        <v>69728</v>
      </c>
      <c r="AP9" s="56">
        <f t="shared" ref="AP9:AP21" si="15">V9</f>
        <v>66974</v>
      </c>
      <c r="AQ9" s="56">
        <f t="shared" ref="AQ9:AQ21" si="16">W9</f>
        <v>75604</v>
      </c>
      <c r="AR9" s="2"/>
      <c r="AS9" s="56">
        <f t="shared" ref="AS9:AS21" si="17">E9-D9</f>
        <v>24683.552072974002</v>
      </c>
      <c r="AT9" s="56">
        <f t="shared" ref="AT9:AT20" si="18">I9-E9</f>
        <v>37706.447927025998</v>
      </c>
      <c r="AU9" s="56">
        <f t="shared" ref="AU9:AU20" si="19">M9-I9</f>
        <v>50432</v>
      </c>
      <c r="AV9" s="56">
        <f t="shared" ref="AV9:AV21" si="20">Q9-M9</f>
        <v>18066</v>
      </c>
      <c r="AW9" s="56">
        <f t="shared" ref="AW9:AW39" si="21">U9-Q9</f>
        <v>106317</v>
      </c>
    </row>
    <row r="10" spans="2:49" ht="16.649999999999999" customHeight="1" x14ac:dyDescent="0.35">
      <c r="B10" s="22" t="s">
        <v>120</v>
      </c>
      <c r="C10" s="56">
        <v>-2311</v>
      </c>
      <c r="D10" s="56">
        <v>0</v>
      </c>
      <c r="E10" s="56">
        <v>0</v>
      </c>
      <c r="F10" s="56">
        <v>0</v>
      </c>
      <c r="G10" s="56">
        <v>0</v>
      </c>
      <c r="H10" s="56">
        <v>0</v>
      </c>
      <c r="I10" s="56">
        <v>-98939</v>
      </c>
      <c r="J10" s="56">
        <v>-97862</v>
      </c>
      <c r="K10" s="56">
        <v>-190588</v>
      </c>
      <c r="L10" s="56">
        <v>-303767</v>
      </c>
      <c r="M10" s="56">
        <v>-400347</v>
      </c>
      <c r="N10" s="56">
        <v>-82450</v>
      </c>
      <c r="O10" s="56">
        <v>-212915</v>
      </c>
      <c r="P10" s="56">
        <v>-477128</v>
      </c>
      <c r="Q10" s="56">
        <v>-776539</v>
      </c>
      <c r="R10" s="56">
        <v>27347</v>
      </c>
      <c r="S10" s="56">
        <v>-342183</v>
      </c>
      <c r="T10" s="56">
        <v>-472677</v>
      </c>
      <c r="U10" s="56">
        <v>-598046</v>
      </c>
      <c r="V10" s="56">
        <v>-56101</v>
      </c>
      <c r="W10" s="56">
        <v>11089</v>
      </c>
      <c r="X10" s="56">
        <v>-45012</v>
      </c>
      <c r="Y10" s="2"/>
      <c r="Z10" s="56">
        <f t="shared" si="0"/>
        <v>0</v>
      </c>
      <c r="AA10" s="56">
        <f t="shared" si="1"/>
        <v>0</v>
      </c>
      <c r="AB10" s="56">
        <f t="shared" si="2"/>
        <v>0</v>
      </c>
      <c r="AC10" s="56">
        <f t="shared" si="3"/>
        <v>-98939</v>
      </c>
      <c r="AD10" s="56">
        <f t="shared" si="4"/>
        <v>-97862</v>
      </c>
      <c r="AE10" s="56">
        <f t="shared" si="5"/>
        <v>-92726</v>
      </c>
      <c r="AF10" s="56">
        <f t="shared" si="6"/>
        <v>-113179</v>
      </c>
      <c r="AG10" s="56">
        <f t="shared" si="7"/>
        <v>-96580</v>
      </c>
      <c r="AH10" s="56">
        <f t="shared" si="8"/>
        <v>-82450</v>
      </c>
      <c r="AI10" s="56">
        <f t="shared" si="9"/>
        <v>-130465</v>
      </c>
      <c r="AJ10" s="56">
        <f t="shared" si="10"/>
        <v>-264213</v>
      </c>
      <c r="AK10" s="56">
        <f t="shared" si="11"/>
        <v>-299411</v>
      </c>
      <c r="AL10" s="56">
        <f t="shared" si="12"/>
        <v>27347</v>
      </c>
      <c r="AM10" s="56">
        <f t="shared" si="13"/>
        <v>-369530</v>
      </c>
      <c r="AN10" s="56">
        <v>-130494</v>
      </c>
      <c r="AO10" s="56">
        <f t="shared" si="14"/>
        <v>-125369</v>
      </c>
      <c r="AP10" s="56">
        <f t="shared" si="15"/>
        <v>-56101</v>
      </c>
      <c r="AQ10" s="56">
        <f t="shared" si="16"/>
        <v>11089</v>
      </c>
      <c r="AR10" s="2"/>
      <c r="AS10" s="56">
        <f t="shared" si="17"/>
        <v>0</v>
      </c>
      <c r="AT10" s="56">
        <f t="shared" si="18"/>
        <v>-98939</v>
      </c>
      <c r="AU10" s="56">
        <f t="shared" si="19"/>
        <v>-301408</v>
      </c>
      <c r="AV10" s="56">
        <f t="shared" si="20"/>
        <v>-376192</v>
      </c>
      <c r="AW10" s="56">
        <f t="shared" si="21"/>
        <v>178493</v>
      </c>
    </row>
    <row r="11" spans="2:49" ht="15.75" customHeight="1" x14ac:dyDescent="0.35">
      <c r="B11" s="22" t="s">
        <v>121</v>
      </c>
      <c r="C11" s="56">
        <v>8659</v>
      </c>
      <c r="D11" s="56">
        <v>-6415</v>
      </c>
      <c r="E11" s="56">
        <v>-119238</v>
      </c>
      <c r="F11" s="56">
        <v>-22889</v>
      </c>
      <c r="G11" s="56">
        <v>28838</v>
      </c>
      <c r="H11" s="56">
        <v>148599.75224999999</v>
      </c>
      <c r="I11" s="56">
        <v>124977</v>
      </c>
      <c r="J11" s="56">
        <v>76425</v>
      </c>
      <c r="K11" s="56">
        <v>96083</v>
      </c>
      <c r="L11" s="56">
        <v>250049</v>
      </c>
      <c r="M11" s="56">
        <v>241589</v>
      </c>
      <c r="N11" s="56">
        <v>95369</v>
      </c>
      <c r="O11" s="56">
        <v>182289</v>
      </c>
      <c r="P11" s="56">
        <v>208953</v>
      </c>
      <c r="Q11" s="56">
        <v>214772</v>
      </c>
      <c r="R11" s="56">
        <v>-34937</v>
      </c>
      <c r="S11" s="56">
        <v>-172047</v>
      </c>
      <c r="T11" s="56">
        <v>-273463</v>
      </c>
      <c r="U11" s="56">
        <v>-441705</v>
      </c>
      <c r="V11" s="56">
        <v>-55024</v>
      </c>
      <c r="W11" s="56">
        <v>10615</v>
      </c>
      <c r="X11" s="56">
        <v>-44409</v>
      </c>
      <c r="Y11" s="2"/>
      <c r="Z11" s="56">
        <f t="shared" si="0"/>
        <v>-22889</v>
      </c>
      <c r="AA11" s="56">
        <f t="shared" si="1"/>
        <v>51727</v>
      </c>
      <c r="AB11" s="56">
        <f t="shared" si="2"/>
        <v>119761.75224999999</v>
      </c>
      <c r="AC11" s="56">
        <f t="shared" si="3"/>
        <v>-23622.75224999999</v>
      </c>
      <c r="AD11" s="56">
        <f t="shared" si="4"/>
        <v>76425</v>
      </c>
      <c r="AE11" s="56">
        <f t="shared" si="5"/>
        <v>19658</v>
      </c>
      <c r="AF11" s="56">
        <f t="shared" si="6"/>
        <v>153966</v>
      </c>
      <c r="AG11" s="56">
        <f t="shared" si="7"/>
        <v>-8460</v>
      </c>
      <c r="AH11" s="56">
        <f t="shared" si="8"/>
        <v>95369</v>
      </c>
      <c r="AI11" s="56">
        <f t="shared" si="9"/>
        <v>86920</v>
      </c>
      <c r="AJ11" s="56">
        <f t="shared" si="10"/>
        <v>26664</v>
      </c>
      <c r="AK11" s="56">
        <f t="shared" si="11"/>
        <v>5819</v>
      </c>
      <c r="AL11" s="56">
        <f t="shared" si="12"/>
        <v>-34937</v>
      </c>
      <c r="AM11" s="56">
        <f t="shared" si="13"/>
        <v>-137110</v>
      </c>
      <c r="AN11" s="56">
        <v>-101416</v>
      </c>
      <c r="AO11" s="56">
        <f t="shared" si="14"/>
        <v>-168242</v>
      </c>
      <c r="AP11" s="56">
        <f t="shared" si="15"/>
        <v>-55024</v>
      </c>
      <c r="AQ11" s="56">
        <f t="shared" si="16"/>
        <v>10615</v>
      </c>
      <c r="AR11" s="2"/>
      <c r="AS11" s="56">
        <f t="shared" si="17"/>
        <v>-112823</v>
      </c>
      <c r="AT11" s="56">
        <f t="shared" si="18"/>
        <v>244215</v>
      </c>
      <c r="AU11" s="56">
        <f t="shared" si="19"/>
        <v>116612</v>
      </c>
      <c r="AV11" s="56">
        <f t="shared" si="20"/>
        <v>-26817</v>
      </c>
      <c r="AW11" s="56">
        <f t="shared" si="21"/>
        <v>-656477</v>
      </c>
    </row>
    <row r="12" spans="2:49" ht="15.75" customHeight="1" x14ac:dyDescent="0.35">
      <c r="B12" s="22" t="s">
        <v>122</v>
      </c>
      <c r="C12" s="56">
        <v>17555.623</v>
      </c>
      <c r="D12" s="56">
        <v>79829</v>
      </c>
      <c r="E12" s="56">
        <v>570838</v>
      </c>
      <c r="F12" s="56">
        <v>131767.93152000001</v>
      </c>
      <c r="G12" s="56">
        <v>213613</v>
      </c>
      <c r="H12" s="56">
        <v>-584116.40226</v>
      </c>
      <c r="I12" s="56">
        <v>-294056</v>
      </c>
      <c r="J12" s="56">
        <v>-436922</v>
      </c>
      <c r="K12" s="56">
        <v>-170740.00305</v>
      </c>
      <c r="L12" s="56">
        <v>-73431</v>
      </c>
      <c r="M12" s="56">
        <v>-613429</v>
      </c>
      <c r="N12" s="56">
        <v>297681</v>
      </c>
      <c r="O12" s="56">
        <v>413179</v>
      </c>
      <c r="P12" s="56">
        <v>293092</v>
      </c>
      <c r="Q12" s="56">
        <v>203105</v>
      </c>
      <c r="R12" s="56">
        <v>-163119</v>
      </c>
      <c r="S12" s="56">
        <v>-83635</v>
      </c>
      <c r="T12" s="56">
        <v>-140019</v>
      </c>
      <c r="U12" s="56">
        <v>-192996</v>
      </c>
      <c r="V12" s="56">
        <v>232307</v>
      </c>
      <c r="W12" s="56">
        <v>-52063</v>
      </c>
      <c r="X12" s="56">
        <v>180244</v>
      </c>
      <c r="Y12" s="2"/>
      <c r="Z12" s="56">
        <f t="shared" si="0"/>
        <v>131767.93152000001</v>
      </c>
      <c r="AA12" s="56">
        <f t="shared" si="1"/>
        <v>81845.068479999987</v>
      </c>
      <c r="AB12" s="56">
        <f t="shared" si="2"/>
        <v>-797729.40226</v>
      </c>
      <c r="AC12" s="56">
        <f t="shared" si="3"/>
        <v>290060.40226</v>
      </c>
      <c r="AD12" s="56">
        <f t="shared" si="4"/>
        <v>-436922</v>
      </c>
      <c r="AE12" s="56">
        <f t="shared" si="5"/>
        <v>266181.99695</v>
      </c>
      <c r="AF12" s="56">
        <f t="shared" si="6"/>
        <v>97309.003049999999</v>
      </c>
      <c r="AG12" s="56">
        <f t="shared" si="7"/>
        <v>-539998</v>
      </c>
      <c r="AH12" s="56">
        <f t="shared" si="8"/>
        <v>297681</v>
      </c>
      <c r="AI12" s="56">
        <f t="shared" si="9"/>
        <v>115498</v>
      </c>
      <c r="AJ12" s="56">
        <f t="shared" si="10"/>
        <v>-120087</v>
      </c>
      <c r="AK12" s="56">
        <f t="shared" si="11"/>
        <v>-89987</v>
      </c>
      <c r="AL12" s="56">
        <f t="shared" si="12"/>
        <v>-163119</v>
      </c>
      <c r="AM12" s="56">
        <f t="shared" si="13"/>
        <v>79484</v>
      </c>
      <c r="AN12" s="56">
        <v>-56384</v>
      </c>
      <c r="AO12" s="56">
        <f t="shared" si="14"/>
        <v>-52977</v>
      </c>
      <c r="AP12" s="56">
        <f t="shared" si="15"/>
        <v>232307</v>
      </c>
      <c r="AQ12" s="56">
        <f t="shared" si="16"/>
        <v>-52063</v>
      </c>
      <c r="AR12" s="2"/>
      <c r="AS12" s="56">
        <f t="shared" si="17"/>
        <v>491009</v>
      </c>
      <c r="AT12" s="56">
        <f t="shared" si="18"/>
        <v>-864894</v>
      </c>
      <c r="AU12" s="56">
        <f t="shared" si="19"/>
        <v>-319373</v>
      </c>
      <c r="AV12" s="56">
        <f t="shared" si="20"/>
        <v>816534</v>
      </c>
      <c r="AW12" s="56">
        <f t="shared" si="21"/>
        <v>-396101</v>
      </c>
    </row>
    <row r="13" spans="2:49" ht="16.649999999999999" customHeight="1" x14ac:dyDescent="0.35">
      <c r="B13" s="22" t="s">
        <v>123</v>
      </c>
      <c r="C13" s="56">
        <v>0</v>
      </c>
      <c r="D13" s="56">
        <v>23443</v>
      </c>
      <c r="E13" s="56">
        <v>-12018</v>
      </c>
      <c r="F13" s="56">
        <v>-19224</v>
      </c>
      <c r="G13" s="56">
        <v>-32764</v>
      </c>
      <c r="H13" s="56">
        <v>-5124.4967500000002</v>
      </c>
      <c r="I13" s="56">
        <v>36093</v>
      </c>
      <c r="J13" s="56">
        <v>270796</v>
      </c>
      <c r="K13" s="56">
        <v>232580</v>
      </c>
      <c r="L13" s="56">
        <v>221469</v>
      </c>
      <c r="M13" s="56">
        <v>706071</v>
      </c>
      <c r="N13" s="56">
        <v>-166491</v>
      </c>
      <c r="O13" s="56">
        <v>-117117</v>
      </c>
      <c r="P13" s="56">
        <v>71282</v>
      </c>
      <c r="Q13" s="56">
        <v>230284</v>
      </c>
      <c r="R13" s="56">
        <v>229379</v>
      </c>
      <c r="S13" s="56">
        <v>257214</v>
      </c>
      <c r="T13" s="56">
        <v>328886</v>
      </c>
      <c r="U13" s="56">
        <v>307533</v>
      </c>
      <c r="V13" s="56">
        <v>-155146</v>
      </c>
      <c r="W13" s="56">
        <v>66619</v>
      </c>
      <c r="X13" s="56">
        <v>-88527</v>
      </c>
      <c r="Y13" s="2"/>
      <c r="Z13" s="56">
        <f t="shared" si="0"/>
        <v>-19224</v>
      </c>
      <c r="AA13" s="56">
        <f t="shared" si="1"/>
        <v>-13540</v>
      </c>
      <c r="AB13" s="56">
        <f t="shared" si="2"/>
        <v>27639.503250000002</v>
      </c>
      <c r="AC13" s="56">
        <f t="shared" si="3"/>
        <v>41217.496749999998</v>
      </c>
      <c r="AD13" s="56">
        <f t="shared" si="4"/>
        <v>270796</v>
      </c>
      <c r="AE13" s="56">
        <f t="shared" si="5"/>
        <v>-38216</v>
      </c>
      <c r="AF13" s="56">
        <f t="shared" si="6"/>
        <v>-11111</v>
      </c>
      <c r="AG13" s="56">
        <f t="shared" si="7"/>
        <v>484602</v>
      </c>
      <c r="AH13" s="56">
        <f t="shared" si="8"/>
        <v>-166491</v>
      </c>
      <c r="AI13" s="56">
        <f t="shared" si="9"/>
        <v>49374</v>
      </c>
      <c r="AJ13" s="56">
        <f t="shared" si="10"/>
        <v>188399</v>
      </c>
      <c r="AK13" s="56">
        <f t="shared" si="11"/>
        <v>159002</v>
      </c>
      <c r="AL13" s="56">
        <f t="shared" si="12"/>
        <v>229379</v>
      </c>
      <c r="AM13" s="56">
        <f t="shared" si="13"/>
        <v>27835</v>
      </c>
      <c r="AN13" s="56">
        <v>71672</v>
      </c>
      <c r="AO13" s="56">
        <f t="shared" si="14"/>
        <v>-21353</v>
      </c>
      <c r="AP13" s="56">
        <f t="shared" si="15"/>
        <v>-155146</v>
      </c>
      <c r="AQ13" s="56">
        <f t="shared" si="16"/>
        <v>66619</v>
      </c>
      <c r="AR13" s="2"/>
      <c r="AS13" s="56">
        <f t="shared" si="17"/>
        <v>-35461</v>
      </c>
      <c r="AT13" s="56">
        <f t="shared" si="18"/>
        <v>48111</v>
      </c>
      <c r="AU13" s="56">
        <f t="shared" si="19"/>
        <v>669978</v>
      </c>
      <c r="AV13" s="56">
        <f t="shared" si="20"/>
        <v>-475787</v>
      </c>
      <c r="AW13" s="56">
        <f t="shared" si="21"/>
        <v>77249</v>
      </c>
    </row>
    <row r="14" spans="2:49" ht="16.649999999999999" customHeight="1" x14ac:dyDescent="0.35">
      <c r="B14" s="22" t="s">
        <v>124</v>
      </c>
      <c r="C14" s="56">
        <v>6945</v>
      </c>
      <c r="D14" s="56">
        <v>0</v>
      </c>
      <c r="E14" s="56">
        <v>0</v>
      </c>
      <c r="F14" s="56">
        <v>0</v>
      </c>
      <c r="G14" s="56">
        <v>-12827</v>
      </c>
      <c r="H14" s="56">
        <v>-13547.24073</v>
      </c>
      <c r="I14" s="56">
        <v>-17319</v>
      </c>
      <c r="J14" s="56">
        <v>4929</v>
      </c>
      <c r="K14" s="56">
        <v>3844</v>
      </c>
      <c r="L14" s="56">
        <v>1659</v>
      </c>
      <c r="M14" s="56">
        <v>-15190</v>
      </c>
      <c r="N14" s="56">
        <v>0</v>
      </c>
      <c r="O14" s="56">
        <v>-4419</v>
      </c>
      <c r="P14" s="56">
        <v>-4419</v>
      </c>
      <c r="Q14" s="56">
        <v>4420</v>
      </c>
      <c r="R14" s="56">
        <v>0</v>
      </c>
      <c r="S14" s="56">
        <v>0</v>
      </c>
      <c r="T14" s="56">
        <v>0</v>
      </c>
      <c r="U14" s="56">
        <v>0</v>
      </c>
      <c r="V14" s="56">
        <v>0</v>
      </c>
      <c r="W14" s="56">
        <v>0</v>
      </c>
      <c r="X14" s="56">
        <v>0</v>
      </c>
      <c r="Y14" s="2"/>
      <c r="Z14" s="56">
        <f t="shared" si="0"/>
        <v>0</v>
      </c>
      <c r="AA14" s="56">
        <f t="shared" si="1"/>
        <v>-12827</v>
      </c>
      <c r="AB14" s="56">
        <f t="shared" si="2"/>
        <v>-720.24072999999953</v>
      </c>
      <c r="AC14" s="56">
        <f t="shared" si="3"/>
        <v>-3771.7592700000005</v>
      </c>
      <c r="AD14" s="56">
        <f t="shared" si="4"/>
        <v>4929</v>
      </c>
      <c r="AE14" s="56">
        <f t="shared" si="5"/>
        <v>-1085</v>
      </c>
      <c r="AF14" s="56">
        <f t="shared" si="6"/>
        <v>-2185</v>
      </c>
      <c r="AG14" s="56">
        <f t="shared" si="7"/>
        <v>-16849</v>
      </c>
      <c r="AH14" s="56">
        <f t="shared" si="8"/>
        <v>0</v>
      </c>
      <c r="AI14" s="56">
        <f t="shared" si="9"/>
        <v>-4419</v>
      </c>
      <c r="AJ14" s="56">
        <f t="shared" si="10"/>
        <v>0</v>
      </c>
      <c r="AK14" s="56">
        <f t="shared" si="11"/>
        <v>8839</v>
      </c>
      <c r="AL14" s="56">
        <f t="shared" si="12"/>
        <v>0</v>
      </c>
      <c r="AM14" s="56">
        <f t="shared" si="13"/>
        <v>0</v>
      </c>
      <c r="AN14" s="56">
        <v>0</v>
      </c>
      <c r="AO14" s="56">
        <f t="shared" si="14"/>
        <v>0</v>
      </c>
      <c r="AP14" s="56">
        <f t="shared" si="15"/>
        <v>0</v>
      </c>
      <c r="AQ14" s="56">
        <f t="shared" si="16"/>
        <v>0</v>
      </c>
      <c r="AR14" s="2"/>
      <c r="AS14" s="56">
        <f t="shared" si="17"/>
        <v>0</v>
      </c>
      <c r="AT14" s="56">
        <f t="shared" si="18"/>
        <v>-17319</v>
      </c>
      <c r="AU14" s="56">
        <f t="shared" si="19"/>
        <v>2129</v>
      </c>
      <c r="AV14" s="56">
        <f t="shared" si="20"/>
        <v>19610</v>
      </c>
      <c r="AW14" s="56">
        <f t="shared" si="21"/>
        <v>-4420</v>
      </c>
    </row>
    <row r="15" spans="2:49" ht="16.649999999999999" customHeight="1" x14ac:dyDescent="0.35">
      <c r="B15" s="22" t="s">
        <v>125</v>
      </c>
      <c r="C15" s="56">
        <v>16216</v>
      </c>
      <c r="D15" s="56">
        <v>2425</v>
      </c>
      <c r="E15" s="56">
        <v>-9897</v>
      </c>
      <c r="F15" s="56">
        <v>-3199</v>
      </c>
      <c r="G15" s="56">
        <v>-6888</v>
      </c>
      <c r="H15" s="56">
        <v>-11442.9949405717</v>
      </c>
      <c r="I15" s="56">
        <v>-14734</v>
      </c>
      <c r="J15" s="56">
        <v>-2738</v>
      </c>
      <c r="K15" s="56">
        <v>-9738</v>
      </c>
      <c r="L15" s="56">
        <v>-18940</v>
      </c>
      <c r="M15" s="56">
        <v>-28681</v>
      </c>
      <c r="N15" s="56">
        <v>-12543</v>
      </c>
      <c r="O15" s="56">
        <v>-26297</v>
      </c>
      <c r="P15" s="56">
        <v>-64189</v>
      </c>
      <c r="Q15" s="56">
        <v>-83899</v>
      </c>
      <c r="R15" s="56">
        <v>-13424</v>
      </c>
      <c r="S15" s="56">
        <v>65926</v>
      </c>
      <c r="T15" s="56">
        <v>80282</v>
      </c>
      <c r="U15" s="56">
        <v>88254</v>
      </c>
      <c r="V15" s="56">
        <v>4173</v>
      </c>
      <c r="W15" s="56">
        <v>67889</v>
      </c>
      <c r="X15" s="56">
        <v>72062</v>
      </c>
      <c r="Y15" s="2"/>
      <c r="Z15" s="56">
        <f t="shared" si="0"/>
        <v>-3199</v>
      </c>
      <c r="AA15" s="56">
        <f t="shared" si="1"/>
        <v>-3689</v>
      </c>
      <c r="AB15" s="56">
        <f t="shared" si="2"/>
        <v>-4554.9949405716998</v>
      </c>
      <c r="AC15" s="56">
        <f t="shared" si="3"/>
        <v>-3291.0050594283002</v>
      </c>
      <c r="AD15" s="56">
        <f t="shared" si="4"/>
        <v>-2738</v>
      </c>
      <c r="AE15" s="56">
        <f t="shared" si="5"/>
        <v>-7000</v>
      </c>
      <c r="AF15" s="56">
        <f t="shared" si="6"/>
        <v>-9202</v>
      </c>
      <c r="AG15" s="56">
        <f t="shared" si="7"/>
        <v>-9741</v>
      </c>
      <c r="AH15" s="56">
        <f t="shared" si="8"/>
        <v>-12543</v>
      </c>
      <c r="AI15" s="56">
        <f t="shared" si="9"/>
        <v>-13754</v>
      </c>
      <c r="AJ15" s="56">
        <f t="shared" si="10"/>
        <v>-37892</v>
      </c>
      <c r="AK15" s="56">
        <f t="shared" si="11"/>
        <v>-19710</v>
      </c>
      <c r="AL15" s="56">
        <f t="shared" si="12"/>
        <v>-13424</v>
      </c>
      <c r="AM15" s="56">
        <f t="shared" si="13"/>
        <v>79350</v>
      </c>
      <c r="AN15" s="56">
        <v>14356</v>
      </c>
      <c r="AO15" s="56">
        <f t="shared" si="14"/>
        <v>7972</v>
      </c>
      <c r="AP15" s="56">
        <f t="shared" si="15"/>
        <v>4173</v>
      </c>
      <c r="AQ15" s="56">
        <f t="shared" si="16"/>
        <v>67889</v>
      </c>
      <c r="AR15" s="2"/>
      <c r="AS15" s="56">
        <f t="shared" si="17"/>
        <v>-12322</v>
      </c>
      <c r="AT15" s="56">
        <f t="shared" si="18"/>
        <v>-4837</v>
      </c>
      <c r="AU15" s="56">
        <f t="shared" si="19"/>
        <v>-13947</v>
      </c>
      <c r="AV15" s="56">
        <f t="shared" si="20"/>
        <v>-55218</v>
      </c>
      <c r="AW15" s="56">
        <f t="shared" si="21"/>
        <v>172153</v>
      </c>
    </row>
    <row r="16" spans="2:49" ht="15.75" customHeight="1" x14ac:dyDescent="0.35">
      <c r="B16" s="22" t="s">
        <v>126</v>
      </c>
      <c r="C16" s="56">
        <v>1850</v>
      </c>
      <c r="D16" s="56">
        <v>29333</v>
      </c>
      <c r="E16" s="56">
        <v>105676.909108561</v>
      </c>
      <c r="F16" s="56">
        <v>67693</v>
      </c>
      <c r="G16" s="56">
        <v>143973.47881999999</v>
      </c>
      <c r="H16" s="56">
        <v>215850.1599</v>
      </c>
      <c r="I16" s="56">
        <v>384410</v>
      </c>
      <c r="J16" s="56">
        <v>178380</v>
      </c>
      <c r="K16" s="56">
        <v>362046</v>
      </c>
      <c r="L16" s="56">
        <v>592297</v>
      </c>
      <c r="M16" s="56">
        <v>826580</v>
      </c>
      <c r="N16" s="56">
        <v>264333</v>
      </c>
      <c r="O16" s="56">
        <v>513271</v>
      </c>
      <c r="P16" s="56">
        <v>782581</v>
      </c>
      <c r="Q16" s="56">
        <v>1073677</v>
      </c>
      <c r="R16" s="56">
        <v>309947</v>
      </c>
      <c r="S16" s="56">
        <v>811653</v>
      </c>
      <c r="T16" s="56">
        <v>1251927</v>
      </c>
      <c r="U16" s="56">
        <v>1788156</v>
      </c>
      <c r="V16" s="56">
        <v>448700</v>
      </c>
      <c r="W16" s="56">
        <v>336314</v>
      </c>
      <c r="X16" s="56">
        <v>785014</v>
      </c>
      <c r="Y16" s="2"/>
      <c r="Z16" s="56">
        <f t="shared" si="0"/>
        <v>67693</v>
      </c>
      <c r="AA16" s="56">
        <f t="shared" si="1"/>
        <v>76280.478819999989</v>
      </c>
      <c r="AB16" s="56">
        <f t="shared" si="2"/>
        <v>71876.681080000009</v>
      </c>
      <c r="AC16" s="56">
        <f t="shared" si="3"/>
        <v>168559.8401</v>
      </c>
      <c r="AD16" s="56">
        <f t="shared" si="4"/>
        <v>178380</v>
      </c>
      <c r="AE16" s="56">
        <f t="shared" si="5"/>
        <v>183666</v>
      </c>
      <c r="AF16" s="56">
        <f t="shared" si="6"/>
        <v>230251</v>
      </c>
      <c r="AG16" s="56">
        <f t="shared" si="7"/>
        <v>234283</v>
      </c>
      <c r="AH16" s="56">
        <f t="shared" si="8"/>
        <v>264333</v>
      </c>
      <c r="AI16" s="56">
        <f t="shared" si="9"/>
        <v>248938</v>
      </c>
      <c r="AJ16" s="56">
        <f t="shared" si="10"/>
        <v>269310</v>
      </c>
      <c r="AK16" s="56">
        <f t="shared" si="11"/>
        <v>291096</v>
      </c>
      <c r="AL16" s="56">
        <f t="shared" si="12"/>
        <v>309947</v>
      </c>
      <c r="AM16" s="56">
        <f t="shared" si="13"/>
        <v>501706</v>
      </c>
      <c r="AN16" s="56">
        <v>440274</v>
      </c>
      <c r="AO16" s="56">
        <f t="shared" si="14"/>
        <v>536229</v>
      </c>
      <c r="AP16" s="56">
        <f t="shared" si="15"/>
        <v>448700</v>
      </c>
      <c r="AQ16" s="56">
        <f t="shared" si="16"/>
        <v>336314</v>
      </c>
      <c r="AR16" s="2"/>
      <c r="AS16" s="56">
        <f t="shared" si="17"/>
        <v>76343.909108560998</v>
      </c>
      <c r="AT16" s="56">
        <f t="shared" si="18"/>
        <v>278733.090891439</v>
      </c>
      <c r="AU16" s="56">
        <f t="shared" si="19"/>
        <v>442170</v>
      </c>
      <c r="AV16" s="56">
        <f t="shared" si="20"/>
        <v>247097</v>
      </c>
      <c r="AW16" s="56">
        <f t="shared" si="21"/>
        <v>714479</v>
      </c>
    </row>
    <row r="17" spans="2:49" ht="16.649999999999999" customHeight="1" x14ac:dyDescent="0.35">
      <c r="B17" s="22" t="s">
        <v>127</v>
      </c>
      <c r="C17" s="56">
        <v>0</v>
      </c>
      <c r="D17" s="56">
        <v>4883</v>
      </c>
      <c r="E17" s="56">
        <v>5393.4370304632403</v>
      </c>
      <c r="F17" s="56">
        <v>1425</v>
      </c>
      <c r="G17" s="56">
        <v>2899</v>
      </c>
      <c r="H17" s="56">
        <v>5159</v>
      </c>
      <c r="I17" s="56">
        <v>0</v>
      </c>
      <c r="J17" s="56">
        <v>0</v>
      </c>
      <c r="K17" s="56">
        <v>0</v>
      </c>
      <c r="L17" s="56">
        <v>0</v>
      </c>
      <c r="M17" s="56">
        <v>0</v>
      </c>
      <c r="N17" s="56">
        <v>0</v>
      </c>
      <c r="O17" s="56">
        <v>0</v>
      </c>
      <c r="P17" s="56">
        <v>0</v>
      </c>
      <c r="Q17" s="56">
        <v>0</v>
      </c>
      <c r="R17" s="56">
        <v>0</v>
      </c>
      <c r="S17" s="56">
        <v>0</v>
      </c>
      <c r="T17" s="56">
        <v>0</v>
      </c>
      <c r="U17" s="56">
        <v>0</v>
      </c>
      <c r="V17" s="56">
        <v>0</v>
      </c>
      <c r="W17" s="56">
        <v>0</v>
      </c>
      <c r="X17" s="56">
        <v>0</v>
      </c>
      <c r="Y17" s="2"/>
      <c r="Z17" s="56">
        <f t="shared" si="0"/>
        <v>1425</v>
      </c>
      <c r="AA17" s="56">
        <f t="shared" si="1"/>
        <v>1474</v>
      </c>
      <c r="AB17" s="56">
        <f t="shared" si="2"/>
        <v>2260</v>
      </c>
      <c r="AC17" s="56">
        <f t="shared" si="3"/>
        <v>-5159</v>
      </c>
      <c r="AD17" s="56">
        <f t="shared" si="4"/>
        <v>0</v>
      </c>
      <c r="AE17" s="56">
        <f t="shared" si="5"/>
        <v>0</v>
      </c>
      <c r="AF17" s="56">
        <f t="shared" si="6"/>
        <v>0</v>
      </c>
      <c r="AG17" s="56">
        <f t="shared" si="7"/>
        <v>0</v>
      </c>
      <c r="AH17" s="56">
        <f t="shared" si="8"/>
        <v>0</v>
      </c>
      <c r="AI17" s="56">
        <f t="shared" si="9"/>
        <v>0</v>
      </c>
      <c r="AJ17" s="56">
        <f t="shared" si="10"/>
        <v>0</v>
      </c>
      <c r="AK17" s="56">
        <f t="shared" si="11"/>
        <v>0</v>
      </c>
      <c r="AL17" s="56">
        <f t="shared" si="12"/>
        <v>0</v>
      </c>
      <c r="AM17" s="56">
        <f t="shared" si="13"/>
        <v>0</v>
      </c>
      <c r="AN17" s="56">
        <v>0</v>
      </c>
      <c r="AO17" s="56">
        <f t="shared" si="14"/>
        <v>0</v>
      </c>
      <c r="AP17" s="56">
        <f t="shared" si="15"/>
        <v>0</v>
      </c>
      <c r="AQ17" s="56">
        <f t="shared" si="16"/>
        <v>0</v>
      </c>
      <c r="AR17" s="2"/>
      <c r="AS17" s="56">
        <f t="shared" si="17"/>
        <v>510.43703046324026</v>
      </c>
      <c r="AT17" s="56">
        <f t="shared" si="18"/>
        <v>-5393.4370304632403</v>
      </c>
      <c r="AU17" s="56">
        <f t="shared" si="19"/>
        <v>0</v>
      </c>
      <c r="AV17" s="56">
        <f t="shared" si="20"/>
        <v>0</v>
      </c>
      <c r="AW17" s="56">
        <f t="shared" si="21"/>
        <v>0</v>
      </c>
    </row>
    <row r="18" spans="2:49" ht="16.649999999999999" customHeight="1" x14ac:dyDescent="0.35">
      <c r="B18" s="22" t="s">
        <v>128</v>
      </c>
      <c r="C18" s="56">
        <v>0</v>
      </c>
      <c r="D18" s="56">
        <v>0</v>
      </c>
      <c r="E18" s="56">
        <v>0</v>
      </c>
      <c r="F18" s="56">
        <v>0</v>
      </c>
      <c r="G18" s="56">
        <v>-520</v>
      </c>
      <c r="H18" s="56">
        <v>-13465</v>
      </c>
      <c r="I18" s="56">
        <v>0</v>
      </c>
      <c r="J18" s="56">
        <v>0</v>
      </c>
      <c r="K18" s="56">
        <v>0</v>
      </c>
      <c r="L18" s="56">
        <v>0</v>
      </c>
      <c r="M18" s="56">
        <v>0</v>
      </c>
      <c r="N18" s="56">
        <v>0</v>
      </c>
      <c r="O18" s="56">
        <v>0</v>
      </c>
      <c r="P18" s="56">
        <v>0</v>
      </c>
      <c r="Q18" s="56">
        <v>0</v>
      </c>
      <c r="R18" s="56">
        <v>0</v>
      </c>
      <c r="S18" s="56">
        <v>0</v>
      </c>
      <c r="T18" s="56">
        <v>0</v>
      </c>
      <c r="U18" s="56">
        <v>0</v>
      </c>
      <c r="V18" s="56">
        <v>0</v>
      </c>
      <c r="W18" s="56">
        <v>0</v>
      </c>
      <c r="X18" s="56">
        <v>0</v>
      </c>
      <c r="Y18" s="2"/>
      <c r="Z18" s="56">
        <f t="shared" si="0"/>
        <v>0</v>
      </c>
      <c r="AA18" s="56">
        <f t="shared" si="1"/>
        <v>-520</v>
      </c>
      <c r="AB18" s="56">
        <f t="shared" si="2"/>
        <v>-12945</v>
      </c>
      <c r="AC18" s="56">
        <f t="shared" si="3"/>
        <v>13465</v>
      </c>
      <c r="AD18" s="56">
        <f t="shared" si="4"/>
        <v>0</v>
      </c>
      <c r="AE18" s="56">
        <f t="shared" si="5"/>
        <v>0</v>
      </c>
      <c r="AF18" s="56">
        <f t="shared" si="6"/>
        <v>0</v>
      </c>
      <c r="AG18" s="56">
        <f t="shared" si="7"/>
        <v>0</v>
      </c>
      <c r="AH18" s="56">
        <f t="shared" si="8"/>
        <v>0</v>
      </c>
      <c r="AI18" s="56">
        <f t="shared" si="9"/>
        <v>0</v>
      </c>
      <c r="AJ18" s="56">
        <f t="shared" si="10"/>
        <v>0</v>
      </c>
      <c r="AK18" s="56">
        <f t="shared" si="11"/>
        <v>0</v>
      </c>
      <c r="AL18" s="56">
        <f t="shared" si="12"/>
        <v>0</v>
      </c>
      <c r="AM18" s="56">
        <f t="shared" si="13"/>
        <v>0</v>
      </c>
      <c r="AN18" s="56">
        <v>0</v>
      </c>
      <c r="AO18" s="56">
        <f t="shared" si="14"/>
        <v>0</v>
      </c>
      <c r="AP18" s="56">
        <f t="shared" si="15"/>
        <v>0</v>
      </c>
      <c r="AQ18" s="56">
        <f t="shared" si="16"/>
        <v>0</v>
      </c>
      <c r="AR18" s="2"/>
      <c r="AS18" s="56">
        <f t="shared" si="17"/>
        <v>0</v>
      </c>
      <c r="AT18" s="56">
        <f t="shared" si="18"/>
        <v>0</v>
      </c>
      <c r="AU18" s="56">
        <f t="shared" si="19"/>
        <v>0</v>
      </c>
      <c r="AV18" s="56">
        <f t="shared" si="20"/>
        <v>0</v>
      </c>
      <c r="AW18" s="56">
        <f t="shared" si="21"/>
        <v>0</v>
      </c>
    </row>
    <row r="19" spans="2:49" ht="16.649999999999999" customHeight="1" x14ac:dyDescent="0.35">
      <c r="B19" s="22" t="s">
        <v>129</v>
      </c>
      <c r="C19" s="56">
        <v>0</v>
      </c>
      <c r="D19" s="56">
        <v>576</v>
      </c>
      <c r="E19" s="56">
        <v>5</v>
      </c>
      <c r="F19" s="56">
        <v>-110</v>
      </c>
      <c r="G19" s="56">
        <v>-209</v>
      </c>
      <c r="H19" s="56">
        <v>-446.54512</v>
      </c>
      <c r="I19" s="56">
        <v>-437</v>
      </c>
      <c r="J19" s="56">
        <v>3</v>
      </c>
      <c r="K19" s="56">
        <v>-10</v>
      </c>
      <c r="L19" s="56">
        <v>-30</v>
      </c>
      <c r="M19" s="56">
        <v>-29</v>
      </c>
      <c r="N19" s="56">
        <v>0</v>
      </c>
      <c r="O19" s="56">
        <v>-2</v>
      </c>
      <c r="P19" s="56">
        <v>0</v>
      </c>
      <c r="Q19" s="56">
        <v>-110</v>
      </c>
      <c r="R19" s="56">
        <v>51</v>
      </c>
      <c r="S19" s="56">
        <v>123</v>
      </c>
      <c r="T19" s="56">
        <v>413</v>
      </c>
      <c r="U19" s="56">
        <v>340</v>
      </c>
      <c r="V19" s="56">
        <v>5</v>
      </c>
      <c r="W19" s="56">
        <v>596</v>
      </c>
      <c r="X19" s="56">
        <v>601</v>
      </c>
      <c r="Y19" s="2"/>
      <c r="Z19" s="56">
        <f t="shared" si="0"/>
        <v>-110</v>
      </c>
      <c r="AA19" s="56">
        <f t="shared" si="1"/>
        <v>-99</v>
      </c>
      <c r="AB19" s="56">
        <f t="shared" si="2"/>
        <v>-237.54512</v>
      </c>
      <c r="AC19" s="56">
        <f t="shared" si="3"/>
        <v>9.5451199999999972</v>
      </c>
      <c r="AD19" s="56">
        <f t="shared" si="4"/>
        <v>3</v>
      </c>
      <c r="AE19" s="56">
        <f t="shared" si="5"/>
        <v>-13</v>
      </c>
      <c r="AF19" s="56">
        <f t="shared" si="6"/>
        <v>-20</v>
      </c>
      <c r="AG19" s="56">
        <f t="shared" si="7"/>
        <v>1</v>
      </c>
      <c r="AH19" s="56">
        <f t="shared" si="8"/>
        <v>0</v>
      </c>
      <c r="AI19" s="56">
        <f t="shared" si="9"/>
        <v>-2</v>
      </c>
      <c r="AJ19" s="56">
        <f t="shared" si="10"/>
        <v>2</v>
      </c>
      <c r="AK19" s="56">
        <f t="shared" si="11"/>
        <v>-110</v>
      </c>
      <c r="AL19" s="56">
        <f t="shared" si="12"/>
        <v>51</v>
      </c>
      <c r="AM19" s="56">
        <f t="shared" si="13"/>
        <v>72</v>
      </c>
      <c r="AN19" s="56">
        <v>290</v>
      </c>
      <c r="AO19" s="56">
        <f t="shared" si="14"/>
        <v>-73</v>
      </c>
      <c r="AP19" s="56">
        <f t="shared" si="15"/>
        <v>5</v>
      </c>
      <c r="AQ19" s="56">
        <f t="shared" si="16"/>
        <v>596</v>
      </c>
      <c r="AR19" s="2"/>
      <c r="AS19" s="56">
        <f t="shared" si="17"/>
        <v>-571</v>
      </c>
      <c r="AT19" s="56">
        <f t="shared" si="18"/>
        <v>-442</v>
      </c>
      <c r="AU19" s="56">
        <f t="shared" si="19"/>
        <v>408</v>
      </c>
      <c r="AV19" s="56">
        <f t="shared" si="20"/>
        <v>-81</v>
      </c>
      <c r="AW19" s="56">
        <f t="shared" si="21"/>
        <v>450</v>
      </c>
    </row>
    <row r="20" spans="2:49" ht="15.75" customHeight="1" x14ac:dyDescent="0.35">
      <c r="B20" s="22" t="s">
        <v>63</v>
      </c>
      <c r="C20" s="56">
        <v>0</v>
      </c>
      <c r="D20" s="56">
        <v>1841</v>
      </c>
      <c r="E20" s="56">
        <v>0</v>
      </c>
      <c r="F20" s="56">
        <v>0</v>
      </c>
      <c r="G20" s="56">
        <v>0</v>
      </c>
      <c r="H20" s="56">
        <v>0</v>
      </c>
      <c r="I20" s="56">
        <v>0</v>
      </c>
      <c r="J20" s="56">
        <v>0</v>
      </c>
      <c r="K20" s="56">
        <v>0</v>
      </c>
      <c r="L20" s="56">
        <v>0</v>
      </c>
      <c r="M20" s="56">
        <v>0</v>
      </c>
      <c r="N20" s="56">
        <v>0</v>
      </c>
      <c r="O20" s="56">
        <v>0</v>
      </c>
      <c r="P20" s="56">
        <v>0</v>
      </c>
      <c r="Q20" s="56">
        <v>0</v>
      </c>
      <c r="R20" s="56">
        <v>0</v>
      </c>
      <c r="S20" s="56">
        <v>189</v>
      </c>
      <c r="T20" s="56">
        <v>160</v>
      </c>
      <c r="U20" s="56">
        <v>538</v>
      </c>
      <c r="V20" s="56">
        <v>2096</v>
      </c>
      <c r="W20" s="56">
        <v>1081</v>
      </c>
      <c r="X20" s="56">
        <v>3177</v>
      </c>
      <c r="Y20" s="2"/>
      <c r="Z20" s="56">
        <f t="shared" si="0"/>
        <v>0</v>
      </c>
      <c r="AA20" s="56">
        <f t="shared" si="1"/>
        <v>0</v>
      </c>
      <c r="AB20" s="56">
        <f t="shared" si="2"/>
        <v>0</v>
      </c>
      <c r="AC20" s="56">
        <f t="shared" si="3"/>
        <v>0</v>
      </c>
      <c r="AD20" s="56">
        <f t="shared" si="4"/>
        <v>0</v>
      </c>
      <c r="AE20" s="56">
        <f t="shared" si="5"/>
        <v>0</v>
      </c>
      <c r="AF20" s="56">
        <f t="shared" si="6"/>
        <v>0</v>
      </c>
      <c r="AG20" s="56">
        <f t="shared" si="7"/>
        <v>0</v>
      </c>
      <c r="AH20" s="56">
        <f t="shared" si="8"/>
        <v>0</v>
      </c>
      <c r="AI20" s="56">
        <f t="shared" si="9"/>
        <v>0</v>
      </c>
      <c r="AJ20" s="56">
        <f t="shared" si="10"/>
        <v>0</v>
      </c>
      <c r="AK20" s="56">
        <f t="shared" si="11"/>
        <v>0</v>
      </c>
      <c r="AL20" s="56">
        <f t="shared" si="12"/>
        <v>0</v>
      </c>
      <c r="AM20" s="56">
        <f t="shared" si="13"/>
        <v>189</v>
      </c>
      <c r="AN20" s="56">
        <v>-29</v>
      </c>
      <c r="AO20" s="56">
        <f t="shared" si="14"/>
        <v>378</v>
      </c>
      <c r="AP20" s="56">
        <f t="shared" si="15"/>
        <v>2096</v>
      </c>
      <c r="AQ20" s="56">
        <f t="shared" si="16"/>
        <v>1081</v>
      </c>
      <c r="AR20" s="2"/>
      <c r="AS20" s="56">
        <f t="shared" si="17"/>
        <v>-1841</v>
      </c>
      <c r="AT20" s="56">
        <f t="shared" si="18"/>
        <v>0</v>
      </c>
      <c r="AU20" s="56">
        <f t="shared" si="19"/>
        <v>0</v>
      </c>
      <c r="AV20" s="56">
        <f t="shared" si="20"/>
        <v>0</v>
      </c>
      <c r="AW20" s="56">
        <f t="shared" si="21"/>
        <v>538</v>
      </c>
    </row>
    <row r="21" spans="2:49" ht="15.75" customHeight="1" x14ac:dyDescent="0.35">
      <c r="B21" s="22" t="s">
        <v>130</v>
      </c>
      <c r="C21" s="56">
        <v>0</v>
      </c>
      <c r="D21" s="56">
        <v>0</v>
      </c>
      <c r="E21" s="56">
        <v>0</v>
      </c>
      <c r="F21" s="56">
        <v>0</v>
      </c>
      <c r="G21" s="56">
        <v>0</v>
      </c>
      <c r="H21" s="56">
        <v>0</v>
      </c>
      <c r="I21" s="56">
        <v>0</v>
      </c>
      <c r="J21" s="56">
        <v>0</v>
      </c>
      <c r="K21" s="56">
        <v>0</v>
      </c>
      <c r="L21" s="56">
        <v>0</v>
      </c>
      <c r="M21" s="56">
        <v>0</v>
      </c>
      <c r="N21" s="56">
        <v>0</v>
      </c>
      <c r="O21" s="56">
        <v>-171302</v>
      </c>
      <c r="P21" s="56">
        <v>-251037</v>
      </c>
      <c r="Q21" s="56">
        <v>-407379</v>
      </c>
      <c r="R21" s="56">
        <v>0</v>
      </c>
      <c r="S21" s="56">
        <v>-11135</v>
      </c>
      <c r="T21" s="56">
        <v>-20124</v>
      </c>
      <c r="U21" s="56">
        <v>-20124</v>
      </c>
      <c r="V21" s="56">
        <v>255</v>
      </c>
      <c r="W21" s="56">
        <v>-438</v>
      </c>
      <c r="X21" s="56">
        <v>-183</v>
      </c>
      <c r="Y21" s="2"/>
      <c r="Z21" s="56">
        <f t="shared" si="0"/>
        <v>0</v>
      </c>
      <c r="AA21" s="56">
        <f t="shared" si="1"/>
        <v>0</v>
      </c>
      <c r="AB21" s="56">
        <f t="shared" si="2"/>
        <v>0</v>
      </c>
      <c r="AC21" s="56">
        <f t="shared" si="3"/>
        <v>0</v>
      </c>
      <c r="AD21" s="56">
        <f t="shared" si="4"/>
        <v>0</v>
      </c>
      <c r="AE21" s="56">
        <f t="shared" si="5"/>
        <v>0</v>
      </c>
      <c r="AF21" s="56">
        <f t="shared" si="6"/>
        <v>0</v>
      </c>
      <c r="AG21" s="56">
        <f t="shared" si="7"/>
        <v>0</v>
      </c>
      <c r="AH21" s="56">
        <f t="shared" si="8"/>
        <v>0</v>
      </c>
      <c r="AI21" s="56">
        <f t="shared" si="9"/>
        <v>-171302</v>
      </c>
      <c r="AJ21" s="56">
        <f t="shared" si="10"/>
        <v>-79735</v>
      </c>
      <c r="AK21" s="56">
        <f t="shared" si="11"/>
        <v>-156342</v>
      </c>
      <c r="AL21" s="56">
        <f t="shared" si="12"/>
        <v>0</v>
      </c>
      <c r="AM21" s="56">
        <f t="shared" si="13"/>
        <v>-11135</v>
      </c>
      <c r="AN21" s="56">
        <v>-8989</v>
      </c>
      <c r="AO21" s="56">
        <f t="shared" si="14"/>
        <v>0</v>
      </c>
      <c r="AP21" s="56">
        <f t="shared" si="15"/>
        <v>255</v>
      </c>
      <c r="AQ21" s="56">
        <f t="shared" si="16"/>
        <v>-438</v>
      </c>
      <c r="AR21" s="2"/>
      <c r="AS21" s="56">
        <f t="shared" si="17"/>
        <v>0</v>
      </c>
      <c r="AT21" s="56"/>
      <c r="AU21" s="56"/>
      <c r="AV21" s="56">
        <f t="shared" si="20"/>
        <v>-407379</v>
      </c>
      <c r="AW21" s="56">
        <f t="shared" si="21"/>
        <v>387255</v>
      </c>
    </row>
    <row r="22" spans="2:49" ht="15.75" customHeight="1" x14ac:dyDescent="0.35">
      <c r="B22" s="8" t="s">
        <v>131</v>
      </c>
      <c r="C22" s="14"/>
      <c r="D22" s="14"/>
      <c r="E22" s="14"/>
      <c r="F22" s="14"/>
      <c r="G22" s="14"/>
      <c r="H22" s="14"/>
      <c r="I22" s="14"/>
      <c r="J22" s="14"/>
      <c r="K22" s="14"/>
      <c r="L22" s="14"/>
      <c r="M22" s="14"/>
      <c r="N22" s="14"/>
      <c r="O22" s="63"/>
      <c r="P22" s="14"/>
      <c r="Q22" s="14"/>
      <c r="R22" s="14"/>
      <c r="S22" s="14"/>
      <c r="T22" s="14"/>
      <c r="U22" s="14"/>
      <c r="V22" s="14"/>
      <c r="W22" s="14"/>
      <c r="X22" s="14"/>
      <c r="Y22" s="2"/>
      <c r="Z22" s="14"/>
      <c r="AA22" s="14"/>
      <c r="AB22" s="14"/>
      <c r="AC22" s="14"/>
      <c r="AD22" s="14"/>
      <c r="AE22" s="14"/>
      <c r="AF22" s="64"/>
      <c r="AG22" s="64"/>
      <c r="AH22" s="64"/>
      <c r="AI22" s="14"/>
      <c r="AJ22" s="14"/>
      <c r="AK22" s="14"/>
      <c r="AL22" s="14"/>
      <c r="AM22" s="14"/>
      <c r="AN22" s="14"/>
      <c r="AO22" s="14"/>
      <c r="AP22" s="14"/>
      <c r="AQ22" s="14"/>
      <c r="AR22" s="2"/>
      <c r="AS22" s="14"/>
      <c r="AT22" s="14"/>
      <c r="AU22" s="14"/>
      <c r="AV22" s="14"/>
      <c r="AW22" s="56">
        <f t="shared" si="21"/>
        <v>0</v>
      </c>
    </row>
    <row r="23" spans="2:49" ht="15.75" customHeight="1" x14ac:dyDescent="0.35">
      <c r="B23" s="22" t="s">
        <v>28</v>
      </c>
      <c r="C23" s="56">
        <v>-25297</v>
      </c>
      <c r="D23" s="56">
        <v>-16594</v>
      </c>
      <c r="E23" s="56">
        <v>-68776.649000000005</v>
      </c>
      <c r="F23" s="56">
        <v>-23494</v>
      </c>
      <c r="G23" s="56">
        <v>55550</v>
      </c>
      <c r="H23" s="56">
        <v>-21283.358489999999</v>
      </c>
      <c r="I23" s="56">
        <v>-14896</v>
      </c>
      <c r="J23" s="56">
        <v>-46618</v>
      </c>
      <c r="K23" s="56">
        <v>-61527</v>
      </c>
      <c r="L23" s="56">
        <v>-77247</v>
      </c>
      <c r="M23" s="56">
        <v>-183130</v>
      </c>
      <c r="N23" s="56">
        <v>9476</v>
      </c>
      <c r="O23" s="56">
        <v>-34980</v>
      </c>
      <c r="P23" s="56">
        <v>-65122</v>
      </c>
      <c r="Q23" s="56">
        <v>-18548</v>
      </c>
      <c r="R23" s="56">
        <v>242508</v>
      </c>
      <c r="S23" s="56">
        <v>297034</v>
      </c>
      <c r="T23" s="56">
        <v>95454</v>
      </c>
      <c r="U23" s="56">
        <v>28884</v>
      </c>
      <c r="V23" s="56">
        <v>-98994</v>
      </c>
      <c r="W23" s="56">
        <v>124313</v>
      </c>
      <c r="X23" s="56">
        <v>25319</v>
      </c>
      <c r="Y23" s="2"/>
      <c r="Z23" s="56">
        <f t="shared" ref="Z23:Z39" si="22">F23</f>
        <v>-23494</v>
      </c>
      <c r="AA23" s="56">
        <f t="shared" ref="AA23:AA39" si="23">G23-F23</f>
        <v>79044</v>
      </c>
      <c r="AB23" s="56">
        <f t="shared" ref="AB23:AB39" si="24">H23-G23</f>
        <v>-76833.358489999999</v>
      </c>
      <c r="AC23" s="56">
        <f t="shared" ref="AC23:AC39" si="25">I23-H23</f>
        <v>6387.3584899999987</v>
      </c>
      <c r="AD23" s="56">
        <f t="shared" ref="AD23:AD39" si="26">J23</f>
        <v>-46618</v>
      </c>
      <c r="AE23" s="56">
        <f t="shared" ref="AE23:AE39" si="27">K23-J23</f>
        <v>-14909</v>
      </c>
      <c r="AF23" s="56">
        <f t="shared" ref="AF23:AF39" si="28">L23-K23</f>
        <v>-15720</v>
      </c>
      <c r="AG23" s="56">
        <f t="shared" ref="AG23:AG39" si="29">M23-L23</f>
        <v>-105883</v>
      </c>
      <c r="AH23" s="56">
        <f t="shared" ref="AH23:AH39" si="30">N23</f>
        <v>9476</v>
      </c>
      <c r="AI23" s="56">
        <f t="shared" ref="AI23:AI39" si="31">O23-N23</f>
        <v>-44456</v>
      </c>
      <c r="AJ23" s="56">
        <f t="shared" ref="AJ23:AJ39" si="32">P23-O23</f>
        <v>-30142</v>
      </c>
      <c r="AK23" s="56">
        <f t="shared" ref="AK23:AK39" si="33">Q23-P23</f>
        <v>46574</v>
      </c>
      <c r="AL23" s="56">
        <f t="shared" ref="AL23:AL39" si="34">R23</f>
        <v>242508</v>
      </c>
      <c r="AM23" s="56">
        <f t="shared" ref="AM23:AM39" si="35">S23-R23</f>
        <v>54526</v>
      </c>
      <c r="AN23" s="56">
        <v>-201580</v>
      </c>
      <c r="AO23" s="56">
        <f t="shared" ref="AO23:AO39" si="36">U23-T23</f>
        <v>-66570</v>
      </c>
      <c r="AP23" s="56">
        <f t="shared" ref="AP23:AP39" si="37">V23</f>
        <v>-98994</v>
      </c>
      <c r="AQ23" s="56">
        <f t="shared" ref="AQ23:AQ39" si="38">W23</f>
        <v>124313</v>
      </c>
      <c r="AR23" s="2"/>
      <c r="AS23" s="56">
        <f t="shared" ref="AS23:AS39" si="39">E23-D23</f>
        <v>-52182.649000000005</v>
      </c>
      <c r="AT23" s="56">
        <f>I23-E23</f>
        <v>53880.649000000005</v>
      </c>
      <c r="AU23" s="56">
        <f>M23-I23</f>
        <v>-168234</v>
      </c>
      <c r="AV23" s="56">
        <f t="shared" ref="AV23:AV39" si="40">Q23-M23</f>
        <v>164582</v>
      </c>
      <c r="AW23" s="56">
        <f t="shared" si="21"/>
        <v>47432</v>
      </c>
    </row>
    <row r="24" spans="2:49" ht="15.75" customHeight="1" x14ac:dyDescent="0.35">
      <c r="B24" s="22" t="s">
        <v>132</v>
      </c>
      <c r="C24" s="56">
        <v>0</v>
      </c>
      <c r="D24" s="56">
        <v>0</v>
      </c>
      <c r="E24" s="56">
        <v>0</v>
      </c>
      <c r="F24" s="56">
        <v>0</v>
      </c>
      <c r="G24" s="56">
        <v>0</v>
      </c>
      <c r="H24" s="56">
        <v>0</v>
      </c>
      <c r="I24" s="56">
        <v>0</v>
      </c>
      <c r="J24" s="56">
        <v>0</v>
      </c>
      <c r="K24" s="56">
        <v>0</v>
      </c>
      <c r="L24" s="56">
        <v>0</v>
      </c>
      <c r="M24" s="56">
        <v>0</v>
      </c>
      <c r="N24" s="56">
        <v>0</v>
      </c>
      <c r="O24" s="56">
        <v>0</v>
      </c>
      <c r="P24" s="56">
        <v>0</v>
      </c>
      <c r="Q24" s="56">
        <v>0</v>
      </c>
      <c r="R24" s="56">
        <v>86996</v>
      </c>
      <c r="S24" s="56">
        <v>16516</v>
      </c>
      <c r="T24" s="56">
        <v>12624</v>
      </c>
      <c r="U24" s="56">
        <v>0</v>
      </c>
      <c r="V24" s="56">
        <v>0</v>
      </c>
      <c r="W24" s="56">
        <v>0</v>
      </c>
      <c r="X24" s="56">
        <v>0</v>
      </c>
      <c r="Y24" s="2"/>
      <c r="Z24" s="56">
        <f t="shared" si="22"/>
        <v>0</v>
      </c>
      <c r="AA24" s="56">
        <f t="shared" si="23"/>
        <v>0</v>
      </c>
      <c r="AB24" s="56">
        <f t="shared" si="24"/>
        <v>0</v>
      </c>
      <c r="AC24" s="56">
        <f t="shared" si="25"/>
        <v>0</v>
      </c>
      <c r="AD24" s="56">
        <f t="shared" si="26"/>
        <v>0</v>
      </c>
      <c r="AE24" s="56">
        <f t="shared" si="27"/>
        <v>0</v>
      </c>
      <c r="AF24" s="56">
        <f t="shared" si="28"/>
        <v>0</v>
      </c>
      <c r="AG24" s="56">
        <f t="shared" si="29"/>
        <v>0</v>
      </c>
      <c r="AH24" s="56">
        <f t="shared" si="30"/>
        <v>0</v>
      </c>
      <c r="AI24" s="56">
        <f t="shared" si="31"/>
        <v>0</v>
      </c>
      <c r="AJ24" s="56">
        <f t="shared" si="32"/>
        <v>0</v>
      </c>
      <c r="AK24" s="56">
        <f t="shared" si="33"/>
        <v>0</v>
      </c>
      <c r="AL24" s="56">
        <f t="shared" si="34"/>
        <v>86996</v>
      </c>
      <c r="AM24" s="56">
        <f t="shared" si="35"/>
        <v>-70480</v>
      </c>
      <c r="AN24" s="56">
        <v>-3892</v>
      </c>
      <c r="AO24" s="56">
        <f t="shared" si="36"/>
        <v>-12624</v>
      </c>
      <c r="AP24" s="56">
        <f t="shared" si="37"/>
        <v>0</v>
      </c>
      <c r="AQ24" s="56">
        <f t="shared" si="38"/>
        <v>0</v>
      </c>
      <c r="AR24" s="2"/>
      <c r="AS24" s="56">
        <f t="shared" si="39"/>
        <v>0</v>
      </c>
      <c r="AT24" s="14"/>
      <c r="AU24" s="14"/>
      <c r="AV24" s="56">
        <f t="shared" si="40"/>
        <v>0</v>
      </c>
      <c r="AW24" s="56">
        <f t="shared" si="21"/>
        <v>0</v>
      </c>
    </row>
    <row r="25" spans="2:49" ht="15.75" customHeight="1" x14ac:dyDescent="0.35">
      <c r="B25" s="22" t="s">
        <v>133</v>
      </c>
      <c r="C25" s="56">
        <v>-34426</v>
      </c>
      <c r="D25" s="56">
        <v>-85853</v>
      </c>
      <c r="E25" s="56">
        <v>-176245.90165297399</v>
      </c>
      <c r="F25" s="56">
        <v>-39001</v>
      </c>
      <c r="G25" s="56">
        <v>-496962</v>
      </c>
      <c r="H25" s="56">
        <v>-476740</v>
      </c>
      <c r="I25" s="56">
        <v>-164707</v>
      </c>
      <c r="J25" s="56">
        <v>-236955</v>
      </c>
      <c r="K25" s="56">
        <v>-1507241</v>
      </c>
      <c r="L25" s="56">
        <v>-935630</v>
      </c>
      <c r="M25" s="56">
        <v>-316844</v>
      </c>
      <c r="N25" s="56">
        <v>-699340</v>
      </c>
      <c r="O25" s="56">
        <v>-1590485</v>
      </c>
      <c r="P25" s="56">
        <v>-1134373</v>
      </c>
      <c r="Q25" s="56">
        <v>-272820</v>
      </c>
      <c r="R25" s="56">
        <v>-429421</v>
      </c>
      <c r="S25" s="56">
        <v>-1790208</v>
      </c>
      <c r="T25" s="56">
        <v>-1153395</v>
      </c>
      <c r="U25" s="56">
        <v>-9573</v>
      </c>
      <c r="V25" s="56">
        <v>-570399</v>
      </c>
      <c r="W25" s="56">
        <v>-559253</v>
      </c>
      <c r="X25" s="56">
        <v>-1129652</v>
      </c>
      <c r="Y25" s="2"/>
      <c r="Z25" s="56">
        <f t="shared" si="22"/>
        <v>-39001</v>
      </c>
      <c r="AA25" s="56">
        <f t="shared" si="23"/>
        <v>-457961</v>
      </c>
      <c r="AB25" s="56">
        <f t="shared" si="24"/>
        <v>20222</v>
      </c>
      <c r="AC25" s="56">
        <f t="shared" si="25"/>
        <v>312033</v>
      </c>
      <c r="AD25" s="56">
        <f t="shared" si="26"/>
        <v>-236955</v>
      </c>
      <c r="AE25" s="56">
        <f t="shared" si="27"/>
        <v>-1270286</v>
      </c>
      <c r="AF25" s="56">
        <f t="shared" si="28"/>
        <v>571611</v>
      </c>
      <c r="AG25" s="56">
        <f t="shared" si="29"/>
        <v>618786</v>
      </c>
      <c r="AH25" s="56">
        <f t="shared" si="30"/>
        <v>-699340</v>
      </c>
      <c r="AI25" s="56">
        <f t="shared" si="31"/>
        <v>-891145</v>
      </c>
      <c r="AJ25" s="56">
        <f t="shared" si="32"/>
        <v>456112</v>
      </c>
      <c r="AK25" s="56">
        <f t="shared" si="33"/>
        <v>861553</v>
      </c>
      <c r="AL25" s="56">
        <f t="shared" si="34"/>
        <v>-429421</v>
      </c>
      <c r="AM25" s="56">
        <f t="shared" si="35"/>
        <v>-1360787</v>
      </c>
      <c r="AN25" s="56">
        <v>636813</v>
      </c>
      <c r="AO25" s="56">
        <f t="shared" si="36"/>
        <v>1143822</v>
      </c>
      <c r="AP25" s="56">
        <f t="shared" si="37"/>
        <v>-570399</v>
      </c>
      <c r="AQ25" s="56">
        <f t="shared" si="38"/>
        <v>-559253</v>
      </c>
      <c r="AR25" s="2"/>
      <c r="AS25" s="56">
        <f t="shared" si="39"/>
        <v>-90392.901652973989</v>
      </c>
      <c r="AT25" s="56">
        <f>I25-E25</f>
        <v>11538.901652973989</v>
      </c>
      <c r="AU25" s="56">
        <f>M25-I25</f>
        <v>-152137</v>
      </c>
      <c r="AV25" s="56">
        <f t="shared" si="40"/>
        <v>44024</v>
      </c>
      <c r="AW25" s="56">
        <f t="shared" si="21"/>
        <v>263247</v>
      </c>
    </row>
    <row r="26" spans="2:49" ht="15.75" customHeight="1" x14ac:dyDescent="0.35">
      <c r="B26" s="22" t="s">
        <v>134</v>
      </c>
      <c r="C26" s="56">
        <v>-493</v>
      </c>
      <c r="D26" s="56">
        <v>-22653</v>
      </c>
      <c r="E26" s="56">
        <v>-44971.451000000001</v>
      </c>
      <c r="F26" s="56">
        <v>15553</v>
      </c>
      <c r="G26" s="56">
        <v>-40149</v>
      </c>
      <c r="H26" s="56">
        <v>-50450.895279999997</v>
      </c>
      <c r="I26" s="56">
        <v>-42221</v>
      </c>
      <c r="J26" s="56">
        <v>-35114</v>
      </c>
      <c r="K26" s="56">
        <v>-171453</v>
      </c>
      <c r="L26" s="56">
        <v>-143094</v>
      </c>
      <c r="M26" s="56">
        <v>-53664</v>
      </c>
      <c r="N26" s="56">
        <v>-45835</v>
      </c>
      <c r="O26" s="56">
        <v>-274473</v>
      </c>
      <c r="P26" s="56">
        <v>-335573</v>
      </c>
      <c r="Q26" s="56">
        <v>-368305</v>
      </c>
      <c r="R26" s="56">
        <v>-72853</v>
      </c>
      <c r="S26" s="56">
        <v>-305105</v>
      </c>
      <c r="T26" s="56">
        <v>-355100</v>
      </c>
      <c r="U26" s="56">
        <v>-325764</v>
      </c>
      <c r="V26" s="56">
        <v>-131784</v>
      </c>
      <c r="W26" s="56">
        <v>-90357</v>
      </c>
      <c r="X26" s="56">
        <v>-222141</v>
      </c>
      <c r="Y26" s="2"/>
      <c r="Z26" s="56">
        <f t="shared" si="22"/>
        <v>15553</v>
      </c>
      <c r="AA26" s="56">
        <f t="shared" si="23"/>
        <v>-55702</v>
      </c>
      <c r="AB26" s="56">
        <f t="shared" si="24"/>
        <v>-10301.895279999997</v>
      </c>
      <c r="AC26" s="56">
        <f t="shared" si="25"/>
        <v>8229.895279999997</v>
      </c>
      <c r="AD26" s="56">
        <f t="shared" si="26"/>
        <v>-35114</v>
      </c>
      <c r="AE26" s="56">
        <f t="shared" si="27"/>
        <v>-136339</v>
      </c>
      <c r="AF26" s="56">
        <f t="shared" si="28"/>
        <v>28359</v>
      </c>
      <c r="AG26" s="56">
        <f t="shared" si="29"/>
        <v>89430</v>
      </c>
      <c r="AH26" s="56">
        <f t="shared" si="30"/>
        <v>-45835</v>
      </c>
      <c r="AI26" s="56">
        <f t="shared" si="31"/>
        <v>-228638</v>
      </c>
      <c r="AJ26" s="56">
        <f t="shared" si="32"/>
        <v>-61100</v>
      </c>
      <c r="AK26" s="56">
        <f t="shared" si="33"/>
        <v>-32732</v>
      </c>
      <c r="AL26" s="56">
        <f t="shared" si="34"/>
        <v>-72853</v>
      </c>
      <c r="AM26" s="56">
        <f t="shared" si="35"/>
        <v>-232252</v>
      </c>
      <c r="AN26" s="56">
        <v>-49995</v>
      </c>
      <c r="AO26" s="56">
        <f t="shared" si="36"/>
        <v>29336</v>
      </c>
      <c r="AP26" s="56">
        <f t="shared" si="37"/>
        <v>-131784</v>
      </c>
      <c r="AQ26" s="56">
        <f t="shared" si="38"/>
        <v>-90357</v>
      </c>
      <c r="AR26" s="2"/>
      <c r="AS26" s="56">
        <f t="shared" si="39"/>
        <v>-22318.451000000001</v>
      </c>
      <c r="AT26" s="56">
        <f>I26-E26</f>
        <v>2750.4510000000009</v>
      </c>
      <c r="AU26" s="56">
        <f>M26-I26</f>
        <v>-11443</v>
      </c>
      <c r="AV26" s="56">
        <f t="shared" si="40"/>
        <v>-314641</v>
      </c>
      <c r="AW26" s="56">
        <f t="shared" si="21"/>
        <v>42541</v>
      </c>
    </row>
    <row r="27" spans="2:49" ht="15.75" customHeight="1" x14ac:dyDescent="0.35">
      <c r="B27" s="22" t="s">
        <v>135</v>
      </c>
      <c r="C27" s="56">
        <v>0</v>
      </c>
      <c r="D27" s="56">
        <v>0</v>
      </c>
      <c r="E27" s="56">
        <v>0</v>
      </c>
      <c r="F27" s="56">
        <v>0</v>
      </c>
      <c r="G27" s="56">
        <v>0</v>
      </c>
      <c r="H27" s="56">
        <v>0</v>
      </c>
      <c r="I27" s="56">
        <v>0</v>
      </c>
      <c r="J27" s="56">
        <v>0</v>
      </c>
      <c r="K27" s="56">
        <v>0</v>
      </c>
      <c r="L27" s="56">
        <v>0</v>
      </c>
      <c r="M27" s="56">
        <v>0</v>
      </c>
      <c r="N27" s="56">
        <v>0</v>
      </c>
      <c r="O27" s="56">
        <v>0</v>
      </c>
      <c r="P27" s="56">
        <v>0</v>
      </c>
      <c r="Q27" s="56">
        <v>0</v>
      </c>
      <c r="R27" s="56">
        <v>0</v>
      </c>
      <c r="S27" s="56">
        <v>0</v>
      </c>
      <c r="T27" s="56">
        <v>0</v>
      </c>
      <c r="U27" s="56">
        <v>0</v>
      </c>
      <c r="V27" s="56">
        <v>0</v>
      </c>
      <c r="W27" s="56">
        <v>0</v>
      </c>
      <c r="X27" s="56">
        <v>0</v>
      </c>
      <c r="Y27" s="2"/>
      <c r="Z27" s="56">
        <f t="shared" si="22"/>
        <v>0</v>
      </c>
      <c r="AA27" s="56">
        <f t="shared" si="23"/>
        <v>0</v>
      </c>
      <c r="AB27" s="56">
        <f t="shared" si="24"/>
        <v>0</v>
      </c>
      <c r="AC27" s="56">
        <f t="shared" si="25"/>
        <v>0</v>
      </c>
      <c r="AD27" s="56">
        <f t="shared" si="26"/>
        <v>0</v>
      </c>
      <c r="AE27" s="56">
        <f t="shared" si="27"/>
        <v>0</v>
      </c>
      <c r="AF27" s="56">
        <f t="shared" si="28"/>
        <v>0</v>
      </c>
      <c r="AG27" s="56">
        <f t="shared" si="29"/>
        <v>0</v>
      </c>
      <c r="AH27" s="56">
        <f t="shared" si="30"/>
        <v>0</v>
      </c>
      <c r="AI27" s="56">
        <f t="shared" si="31"/>
        <v>0</v>
      </c>
      <c r="AJ27" s="56">
        <f t="shared" si="32"/>
        <v>0</v>
      </c>
      <c r="AK27" s="56">
        <f t="shared" si="33"/>
        <v>0</v>
      </c>
      <c r="AL27" s="56">
        <f t="shared" si="34"/>
        <v>0</v>
      </c>
      <c r="AM27" s="56">
        <f t="shared" si="35"/>
        <v>0</v>
      </c>
      <c r="AN27" s="56">
        <v>0</v>
      </c>
      <c r="AO27" s="56">
        <f t="shared" si="36"/>
        <v>0</v>
      </c>
      <c r="AP27" s="56">
        <f t="shared" si="37"/>
        <v>0</v>
      </c>
      <c r="AQ27" s="56">
        <f t="shared" si="38"/>
        <v>0</v>
      </c>
      <c r="AR27" s="2"/>
      <c r="AS27" s="56">
        <f t="shared" si="39"/>
        <v>0</v>
      </c>
      <c r="AT27" s="56">
        <f>I27-E27</f>
        <v>0</v>
      </c>
      <c r="AU27" s="56">
        <f>M27-I27</f>
        <v>0</v>
      </c>
      <c r="AV27" s="56">
        <f t="shared" si="40"/>
        <v>0</v>
      </c>
      <c r="AW27" s="56">
        <f t="shared" si="21"/>
        <v>0</v>
      </c>
    </row>
    <row r="28" spans="2:49" ht="15.75" customHeight="1" x14ac:dyDescent="0.35">
      <c r="B28" s="22" t="s">
        <v>136</v>
      </c>
      <c r="C28" s="56">
        <v>0</v>
      </c>
      <c r="D28" s="56">
        <v>0</v>
      </c>
      <c r="E28" s="56">
        <v>0</v>
      </c>
      <c r="F28" s="56">
        <v>0</v>
      </c>
      <c r="G28" s="56">
        <v>0</v>
      </c>
      <c r="H28" s="56">
        <v>0</v>
      </c>
      <c r="I28" s="56">
        <v>0</v>
      </c>
      <c r="J28" s="56">
        <v>0</v>
      </c>
      <c r="K28" s="56">
        <v>0</v>
      </c>
      <c r="L28" s="56">
        <v>0</v>
      </c>
      <c r="M28" s="56">
        <v>0</v>
      </c>
      <c r="N28" s="56">
        <v>-27257</v>
      </c>
      <c r="O28" s="56">
        <v>-28963</v>
      </c>
      <c r="P28" s="56">
        <v>-24903</v>
      </c>
      <c r="Q28" s="56">
        <v>-16075</v>
      </c>
      <c r="R28" s="56">
        <v>-25979</v>
      </c>
      <c r="S28" s="56">
        <v>-54115</v>
      </c>
      <c r="T28" s="56">
        <v>-29758</v>
      </c>
      <c r="U28" s="56">
        <v>-11651</v>
      </c>
      <c r="V28" s="56">
        <v>-13236</v>
      </c>
      <c r="W28" s="56">
        <v>-22202</v>
      </c>
      <c r="X28" s="56">
        <v>-35438</v>
      </c>
      <c r="Y28" s="2"/>
      <c r="Z28" s="56">
        <f t="shared" si="22"/>
        <v>0</v>
      </c>
      <c r="AA28" s="56">
        <f t="shared" si="23"/>
        <v>0</v>
      </c>
      <c r="AB28" s="56">
        <f t="shared" si="24"/>
        <v>0</v>
      </c>
      <c r="AC28" s="56">
        <f t="shared" si="25"/>
        <v>0</v>
      </c>
      <c r="AD28" s="56">
        <f t="shared" si="26"/>
        <v>0</v>
      </c>
      <c r="AE28" s="56">
        <f t="shared" si="27"/>
        <v>0</v>
      </c>
      <c r="AF28" s="56">
        <f t="shared" si="28"/>
        <v>0</v>
      </c>
      <c r="AG28" s="56">
        <f t="shared" si="29"/>
        <v>0</v>
      </c>
      <c r="AH28" s="56">
        <f t="shared" si="30"/>
        <v>-27257</v>
      </c>
      <c r="AI28" s="56">
        <f t="shared" si="31"/>
        <v>-1706</v>
      </c>
      <c r="AJ28" s="56">
        <f t="shared" si="32"/>
        <v>4060</v>
      </c>
      <c r="AK28" s="56">
        <f t="shared" si="33"/>
        <v>8828</v>
      </c>
      <c r="AL28" s="56">
        <f t="shared" si="34"/>
        <v>-25979</v>
      </c>
      <c r="AM28" s="56">
        <f t="shared" si="35"/>
        <v>-28136</v>
      </c>
      <c r="AN28" s="56">
        <v>24357</v>
      </c>
      <c r="AO28" s="56">
        <f t="shared" si="36"/>
        <v>18107</v>
      </c>
      <c r="AP28" s="56">
        <f t="shared" si="37"/>
        <v>-13236</v>
      </c>
      <c r="AQ28" s="56">
        <f t="shared" si="38"/>
        <v>-22202</v>
      </c>
      <c r="AR28" s="2"/>
      <c r="AS28" s="56">
        <f t="shared" si="39"/>
        <v>0</v>
      </c>
      <c r="AT28" s="56">
        <f>I28-E28</f>
        <v>0</v>
      </c>
      <c r="AU28" s="56">
        <f>M28-I28</f>
        <v>0</v>
      </c>
      <c r="AV28" s="56">
        <f t="shared" si="40"/>
        <v>-16075</v>
      </c>
      <c r="AW28" s="56">
        <f t="shared" si="21"/>
        <v>4424</v>
      </c>
    </row>
    <row r="29" spans="2:49" ht="16.649999999999999" customHeight="1" x14ac:dyDescent="0.35">
      <c r="B29" s="22" t="s">
        <v>45</v>
      </c>
      <c r="C29" s="56">
        <v>0</v>
      </c>
      <c r="D29" s="56">
        <v>0</v>
      </c>
      <c r="E29" s="56">
        <v>0</v>
      </c>
      <c r="F29" s="56">
        <v>0</v>
      </c>
      <c r="G29" s="56">
        <v>0</v>
      </c>
      <c r="H29" s="56">
        <v>0</v>
      </c>
      <c r="I29" s="56">
        <v>0</v>
      </c>
      <c r="J29" s="56">
        <v>0</v>
      </c>
      <c r="K29" s="56">
        <v>0</v>
      </c>
      <c r="L29" s="56">
        <v>0</v>
      </c>
      <c r="M29" s="56">
        <v>0</v>
      </c>
      <c r="N29" s="56">
        <v>-79</v>
      </c>
      <c r="O29" s="56">
        <v>-189</v>
      </c>
      <c r="P29" s="56">
        <v>-333</v>
      </c>
      <c r="Q29" s="56">
        <v>-405</v>
      </c>
      <c r="R29" s="56">
        <v>-640</v>
      </c>
      <c r="S29" s="56">
        <v>-728</v>
      </c>
      <c r="T29" s="56">
        <v>-842</v>
      </c>
      <c r="U29" s="56">
        <v>-1193</v>
      </c>
      <c r="V29" s="56">
        <v>-169</v>
      </c>
      <c r="W29" s="56">
        <v>22</v>
      </c>
      <c r="X29" s="56">
        <v>-147</v>
      </c>
      <c r="Y29" s="2"/>
      <c r="Z29" s="56">
        <f t="shared" si="22"/>
        <v>0</v>
      </c>
      <c r="AA29" s="56">
        <f t="shared" si="23"/>
        <v>0</v>
      </c>
      <c r="AB29" s="56">
        <f t="shared" si="24"/>
        <v>0</v>
      </c>
      <c r="AC29" s="56">
        <f t="shared" si="25"/>
        <v>0</v>
      </c>
      <c r="AD29" s="56">
        <f t="shared" si="26"/>
        <v>0</v>
      </c>
      <c r="AE29" s="56">
        <f t="shared" si="27"/>
        <v>0</v>
      </c>
      <c r="AF29" s="56">
        <f t="shared" si="28"/>
        <v>0</v>
      </c>
      <c r="AG29" s="56">
        <f t="shared" si="29"/>
        <v>0</v>
      </c>
      <c r="AH29" s="56">
        <f t="shared" si="30"/>
        <v>-79</v>
      </c>
      <c r="AI29" s="56">
        <f t="shared" si="31"/>
        <v>-110</v>
      </c>
      <c r="AJ29" s="56">
        <f t="shared" si="32"/>
        <v>-144</v>
      </c>
      <c r="AK29" s="56">
        <f t="shared" si="33"/>
        <v>-72</v>
      </c>
      <c r="AL29" s="56">
        <f t="shared" si="34"/>
        <v>-640</v>
      </c>
      <c r="AM29" s="56">
        <f t="shared" si="35"/>
        <v>-88</v>
      </c>
      <c r="AN29" s="56">
        <v>-114</v>
      </c>
      <c r="AO29" s="56">
        <f t="shared" si="36"/>
        <v>-351</v>
      </c>
      <c r="AP29" s="56">
        <f t="shared" si="37"/>
        <v>-169</v>
      </c>
      <c r="AQ29" s="56">
        <f t="shared" si="38"/>
        <v>22</v>
      </c>
      <c r="AR29" s="2"/>
      <c r="AS29" s="56">
        <f t="shared" si="39"/>
        <v>0</v>
      </c>
      <c r="AT29" s="56">
        <f>I29-E29</f>
        <v>0</v>
      </c>
      <c r="AU29" s="56">
        <f>M29-I29</f>
        <v>0</v>
      </c>
      <c r="AV29" s="56">
        <f t="shared" si="40"/>
        <v>-405</v>
      </c>
      <c r="AW29" s="56">
        <f t="shared" si="21"/>
        <v>-788</v>
      </c>
    </row>
    <row r="30" spans="2:49" ht="16.649999999999999" customHeight="1" x14ac:dyDescent="0.35">
      <c r="B30" s="22" t="s">
        <v>137</v>
      </c>
      <c r="C30" s="56">
        <v>0</v>
      </c>
      <c r="D30" s="56">
        <v>0</v>
      </c>
      <c r="E30" s="56">
        <v>0</v>
      </c>
      <c r="F30" s="56">
        <v>0</v>
      </c>
      <c r="G30" s="56">
        <v>0</v>
      </c>
      <c r="H30" s="56">
        <v>0</v>
      </c>
      <c r="I30" s="56">
        <v>0</v>
      </c>
      <c r="J30" s="56">
        <v>0</v>
      </c>
      <c r="K30" s="56">
        <v>0</v>
      </c>
      <c r="L30" s="56">
        <v>0</v>
      </c>
      <c r="M30" s="56">
        <v>0</v>
      </c>
      <c r="N30" s="56">
        <v>-4391</v>
      </c>
      <c r="O30" s="56">
        <v>-7684</v>
      </c>
      <c r="P30" s="56">
        <v>-54067</v>
      </c>
      <c r="Q30" s="56">
        <v>-28032</v>
      </c>
      <c r="R30" s="56">
        <v>25115</v>
      </c>
      <c r="S30" s="56">
        <v>30071</v>
      </c>
      <c r="T30" s="56">
        <v>29162</v>
      </c>
      <c r="U30" s="56">
        <v>44590</v>
      </c>
      <c r="V30" s="56">
        <v>-39305</v>
      </c>
      <c r="W30" s="56">
        <v>13769</v>
      </c>
      <c r="X30" s="56">
        <v>-25536</v>
      </c>
      <c r="Y30" s="2"/>
      <c r="Z30" s="56">
        <f t="shared" si="22"/>
        <v>0</v>
      </c>
      <c r="AA30" s="56">
        <f t="shared" si="23"/>
        <v>0</v>
      </c>
      <c r="AB30" s="56">
        <f t="shared" si="24"/>
        <v>0</v>
      </c>
      <c r="AC30" s="56">
        <f t="shared" si="25"/>
        <v>0</v>
      </c>
      <c r="AD30" s="56">
        <f t="shared" si="26"/>
        <v>0</v>
      </c>
      <c r="AE30" s="56">
        <f t="shared" si="27"/>
        <v>0</v>
      </c>
      <c r="AF30" s="56">
        <f t="shared" si="28"/>
        <v>0</v>
      </c>
      <c r="AG30" s="56">
        <f t="shared" si="29"/>
        <v>0</v>
      </c>
      <c r="AH30" s="56">
        <f t="shared" si="30"/>
        <v>-4391</v>
      </c>
      <c r="AI30" s="56">
        <f t="shared" si="31"/>
        <v>-3293</v>
      </c>
      <c r="AJ30" s="56">
        <f t="shared" si="32"/>
        <v>-46383</v>
      </c>
      <c r="AK30" s="56">
        <f t="shared" si="33"/>
        <v>26035</v>
      </c>
      <c r="AL30" s="56">
        <f t="shared" si="34"/>
        <v>25115</v>
      </c>
      <c r="AM30" s="56">
        <f t="shared" si="35"/>
        <v>4956</v>
      </c>
      <c r="AN30" s="56">
        <v>-909</v>
      </c>
      <c r="AO30" s="56">
        <f t="shared" si="36"/>
        <v>15428</v>
      </c>
      <c r="AP30" s="56">
        <f t="shared" si="37"/>
        <v>-39305</v>
      </c>
      <c r="AQ30" s="56">
        <f t="shared" si="38"/>
        <v>13769</v>
      </c>
      <c r="AR30" s="2"/>
      <c r="AS30" s="56">
        <f t="shared" si="39"/>
        <v>0</v>
      </c>
      <c r="AT30" s="56">
        <v>0</v>
      </c>
      <c r="AU30" s="56">
        <v>0</v>
      </c>
      <c r="AV30" s="56">
        <f t="shared" si="40"/>
        <v>-28032</v>
      </c>
      <c r="AW30" s="56">
        <f t="shared" si="21"/>
        <v>72622</v>
      </c>
    </row>
    <row r="31" spans="2:49" ht="15.75" customHeight="1" x14ac:dyDescent="0.35">
      <c r="B31" s="22" t="s">
        <v>138</v>
      </c>
      <c r="C31" s="56">
        <v>-3869</v>
      </c>
      <c r="D31" s="56">
        <v>-7990</v>
      </c>
      <c r="E31" s="56">
        <v>-56058.641000000003</v>
      </c>
      <c r="F31" s="56">
        <v>44998</v>
      </c>
      <c r="G31" s="56">
        <v>46329</v>
      </c>
      <c r="H31" s="56">
        <v>30905</v>
      </c>
      <c r="I31" s="56">
        <v>29823</v>
      </c>
      <c r="J31" s="56">
        <v>8089</v>
      </c>
      <c r="K31" s="56">
        <v>-6983</v>
      </c>
      <c r="L31" s="56">
        <v>-43016</v>
      </c>
      <c r="M31" s="56">
        <v>-64559</v>
      </c>
      <c r="N31" s="56">
        <v>4542</v>
      </c>
      <c r="O31" s="56">
        <v>-64298</v>
      </c>
      <c r="P31" s="56">
        <v>-30547</v>
      </c>
      <c r="Q31" s="56">
        <v>2172</v>
      </c>
      <c r="R31" s="56">
        <v>-77186</v>
      </c>
      <c r="S31" s="56">
        <v>20703</v>
      </c>
      <c r="T31" s="56">
        <v>23369</v>
      </c>
      <c r="U31" s="56">
        <v>-36910</v>
      </c>
      <c r="V31" s="56">
        <v>51202</v>
      </c>
      <c r="W31" s="56">
        <v>-123304</v>
      </c>
      <c r="X31" s="56">
        <v>-72102</v>
      </c>
      <c r="Y31" s="2"/>
      <c r="Z31" s="56">
        <f t="shared" si="22"/>
        <v>44998</v>
      </c>
      <c r="AA31" s="56">
        <f t="shared" si="23"/>
        <v>1331</v>
      </c>
      <c r="AB31" s="56">
        <f t="shared" si="24"/>
        <v>-15424</v>
      </c>
      <c r="AC31" s="56">
        <f t="shared" si="25"/>
        <v>-1082</v>
      </c>
      <c r="AD31" s="56">
        <f t="shared" si="26"/>
        <v>8089</v>
      </c>
      <c r="AE31" s="56">
        <f t="shared" si="27"/>
        <v>-15072</v>
      </c>
      <c r="AF31" s="56">
        <f t="shared" si="28"/>
        <v>-36033</v>
      </c>
      <c r="AG31" s="56">
        <f t="shared" si="29"/>
        <v>-21543</v>
      </c>
      <c r="AH31" s="56">
        <f t="shared" si="30"/>
        <v>4542</v>
      </c>
      <c r="AI31" s="56">
        <f t="shared" si="31"/>
        <v>-68840</v>
      </c>
      <c r="AJ31" s="56">
        <f t="shared" si="32"/>
        <v>33751</v>
      </c>
      <c r="AK31" s="56">
        <f t="shared" si="33"/>
        <v>32719</v>
      </c>
      <c r="AL31" s="56">
        <f t="shared" si="34"/>
        <v>-77186</v>
      </c>
      <c r="AM31" s="56">
        <f t="shared" si="35"/>
        <v>97889</v>
      </c>
      <c r="AN31" s="56">
        <v>2666</v>
      </c>
      <c r="AO31" s="56">
        <f t="shared" si="36"/>
        <v>-60279</v>
      </c>
      <c r="AP31" s="56">
        <f t="shared" si="37"/>
        <v>51202</v>
      </c>
      <c r="AQ31" s="56">
        <f t="shared" si="38"/>
        <v>-123304</v>
      </c>
      <c r="AR31" s="2"/>
      <c r="AS31" s="56">
        <f t="shared" si="39"/>
        <v>-48068.641000000003</v>
      </c>
      <c r="AT31" s="56">
        <f t="shared" ref="AT31:AT39" si="41">I31-E31</f>
        <v>85881.641000000003</v>
      </c>
      <c r="AU31" s="56">
        <f t="shared" ref="AU31:AU39" si="42">M31-I31</f>
        <v>-94382</v>
      </c>
      <c r="AV31" s="56">
        <f t="shared" si="40"/>
        <v>66731</v>
      </c>
      <c r="AW31" s="56">
        <f t="shared" si="21"/>
        <v>-39082</v>
      </c>
    </row>
    <row r="32" spans="2:49" ht="15.75" customHeight="1" x14ac:dyDescent="0.35">
      <c r="B32" s="22" t="s">
        <v>139</v>
      </c>
      <c r="C32" s="56">
        <v>-12431</v>
      </c>
      <c r="D32" s="56">
        <v>14999</v>
      </c>
      <c r="E32" s="56">
        <v>58693.308299999997</v>
      </c>
      <c r="F32" s="56">
        <v>306161.13900999998</v>
      </c>
      <c r="G32" s="56">
        <v>527863.37893999997</v>
      </c>
      <c r="H32" s="56">
        <v>203265.00008999999</v>
      </c>
      <c r="I32" s="56">
        <v>51136</v>
      </c>
      <c r="J32" s="56">
        <v>570237</v>
      </c>
      <c r="K32" s="56">
        <v>987123</v>
      </c>
      <c r="L32" s="56">
        <v>489159</v>
      </c>
      <c r="M32" s="56">
        <v>423388</v>
      </c>
      <c r="N32" s="56">
        <v>1405903</v>
      </c>
      <c r="O32" s="56">
        <v>1707957</v>
      </c>
      <c r="P32" s="56">
        <v>1096208</v>
      </c>
      <c r="Q32" s="56">
        <v>443496</v>
      </c>
      <c r="R32" s="56">
        <v>1425046</v>
      </c>
      <c r="S32" s="56">
        <v>2411496</v>
      </c>
      <c r="T32" s="56">
        <v>2372360</v>
      </c>
      <c r="U32" s="56">
        <v>1887909</v>
      </c>
      <c r="V32" s="56">
        <v>291098</v>
      </c>
      <c r="W32" s="56">
        <v>-254646</v>
      </c>
      <c r="X32" s="56">
        <v>36452</v>
      </c>
      <c r="Y32" s="2"/>
      <c r="Z32" s="56">
        <f t="shared" si="22"/>
        <v>306161.13900999998</v>
      </c>
      <c r="AA32" s="56">
        <f t="shared" si="23"/>
        <v>221702.23992999998</v>
      </c>
      <c r="AB32" s="56">
        <f t="shared" si="24"/>
        <v>-324598.37884999998</v>
      </c>
      <c r="AC32" s="56">
        <f t="shared" si="25"/>
        <v>-152129.00008999999</v>
      </c>
      <c r="AD32" s="56">
        <f t="shared" si="26"/>
        <v>570237</v>
      </c>
      <c r="AE32" s="56">
        <f t="shared" si="27"/>
        <v>416886</v>
      </c>
      <c r="AF32" s="56">
        <f t="shared" si="28"/>
        <v>-497964</v>
      </c>
      <c r="AG32" s="56">
        <f t="shared" si="29"/>
        <v>-65771</v>
      </c>
      <c r="AH32" s="56">
        <f t="shared" si="30"/>
        <v>1405903</v>
      </c>
      <c r="AI32" s="56">
        <f t="shared" si="31"/>
        <v>302054</v>
      </c>
      <c r="AJ32" s="56">
        <f t="shared" si="32"/>
        <v>-611749</v>
      </c>
      <c r="AK32" s="56">
        <f t="shared" si="33"/>
        <v>-652712</v>
      </c>
      <c r="AL32" s="56">
        <f t="shared" si="34"/>
        <v>1425046</v>
      </c>
      <c r="AM32" s="56">
        <f t="shared" si="35"/>
        <v>986450</v>
      </c>
      <c r="AN32" s="56">
        <v>-39136</v>
      </c>
      <c r="AO32" s="56">
        <f t="shared" si="36"/>
        <v>-484451</v>
      </c>
      <c r="AP32" s="56">
        <f t="shared" si="37"/>
        <v>291098</v>
      </c>
      <c r="AQ32" s="56">
        <f t="shared" si="38"/>
        <v>-254646</v>
      </c>
      <c r="AR32" s="2"/>
      <c r="AS32" s="56">
        <f t="shared" si="39"/>
        <v>43694.308299999997</v>
      </c>
      <c r="AT32" s="56">
        <f t="shared" si="41"/>
        <v>-7557.308299999997</v>
      </c>
      <c r="AU32" s="56">
        <f t="shared" si="42"/>
        <v>372252</v>
      </c>
      <c r="AV32" s="56">
        <f t="shared" si="40"/>
        <v>20108</v>
      </c>
      <c r="AW32" s="56">
        <f t="shared" si="21"/>
        <v>1444413</v>
      </c>
    </row>
    <row r="33" spans="2:49" ht="15.75" customHeight="1" x14ac:dyDescent="0.35">
      <c r="B33" s="22" t="s">
        <v>140</v>
      </c>
      <c r="C33" s="56">
        <v>8854</v>
      </c>
      <c r="D33" s="56">
        <v>1934</v>
      </c>
      <c r="E33" s="56">
        <v>18538.816999999999</v>
      </c>
      <c r="F33" s="56">
        <v>-14191</v>
      </c>
      <c r="G33" s="56">
        <v>-12930</v>
      </c>
      <c r="H33" s="56">
        <v>-1195</v>
      </c>
      <c r="I33" s="56">
        <v>-8439</v>
      </c>
      <c r="J33" s="56">
        <v>125</v>
      </c>
      <c r="K33" s="56">
        <v>4511</v>
      </c>
      <c r="L33" s="56">
        <v>55216</v>
      </c>
      <c r="M33" s="56">
        <v>6080</v>
      </c>
      <c r="N33" s="56">
        <v>979</v>
      </c>
      <c r="O33" s="56">
        <v>34744</v>
      </c>
      <c r="P33" s="56">
        <v>14322</v>
      </c>
      <c r="Q33" s="56">
        <v>13341</v>
      </c>
      <c r="R33" s="56">
        <v>2017</v>
      </c>
      <c r="S33" s="56">
        <v>501774</v>
      </c>
      <c r="T33" s="56">
        <v>420709</v>
      </c>
      <c r="U33" s="56">
        <v>196793</v>
      </c>
      <c r="V33" s="56">
        <v>-190409</v>
      </c>
      <c r="W33" s="56">
        <v>131998</v>
      </c>
      <c r="X33" s="56">
        <v>-58411</v>
      </c>
      <c r="Y33" s="2"/>
      <c r="Z33" s="56">
        <f t="shared" si="22"/>
        <v>-14191</v>
      </c>
      <c r="AA33" s="56">
        <f t="shared" si="23"/>
        <v>1261</v>
      </c>
      <c r="AB33" s="56">
        <f t="shared" si="24"/>
        <v>11735</v>
      </c>
      <c r="AC33" s="56">
        <f t="shared" si="25"/>
        <v>-7244</v>
      </c>
      <c r="AD33" s="56">
        <f t="shared" si="26"/>
        <v>125</v>
      </c>
      <c r="AE33" s="56">
        <f t="shared" si="27"/>
        <v>4386</v>
      </c>
      <c r="AF33" s="56">
        <f t="shared" si="28"/>
        <v>50705</v>
      </c>
      <c r="AG33" s="56">
        <f t="shared" si="29"/>
        <v>-49136</v>
      </c>
      <c r="AH33" s="56">
        <f t="shared" si="30"/>
        <v>979</v>
      </c>
      <c r="AI33" s="56">
        <f t="shared" si="31"/>
        <v>33765</v>
      </c>
      <c r="AJ33" s="56">
        <f t="shared" si="32"/>
        <v>-20422</v>
      </c>
      <c r="AK33" s="56">
        <f t="shared" si="33"/>
        <v>-981</v>
      </c>
      <c r="AL33" s="56">
        <f t="shared" si="34"/>
        <v>2017</v>
      </c>
      <c r="AM33" s="56">
        <f t="shared" si="35"/>
        <v>499757</v>
      </c>
      <c r="AN33" s="56">
        <v>-81065</v>
      </c>
      <c r="AO33" s="56">
        <f t="shared" si="36"/>
        <v>-223916</v>
      </c>
      <c r="AP33" s="56">
        <f t="shared" si="37"/>
        <v>-190409</v>
      </c>
      <c r="AQ33" s="56">
        <f t="shared" si="38"/>
        <v>131998</v>
      </c>
      <c r="AR33" s="2"/>
      <c r="AS33" s="56">
        <f t="shared" si="39"/>
        <v>16604.816999999999</v>
      </c>
      <c r="AT33" s="56">
        <f t="shared" si="41"/>
        <v>-26977.816999999999</v>
      </c>
      <c r="AU33" s="56">
        <f t="shared" si="42"/>
        <v>14519</v>
      </c>
      <c r="AV33" s="56">
        <f t="shared" si="40"/>
        <v>7261</v>
      </c>
      <c r="AW33" s="56">
        <f t="shared" si="21"/>
        <v>183452</v>
      </c>
    </row>
    <row r="34" spans="2:49" ht="16.649999999999999" customHeight="1" x14ac:dyDescent="0.35">
      <c r="B34" s="22" t="s">
        <v>141</v>
      </c>
      <c r="C34" s="56">
        <v>1631</v>
      </c>
      <c r="D34" s="56">
        <v>3078</v>
      </c>
      <c r="E34" s="56">
        <v>18145.077000000001</v>
      </c>
      <c r="F34" s="56">
        <v>5510</v>
      </c>
      <c r="G34" s="56">
        <v>13199</v>
      </c>
      <c r="H34" s="56">
        <v>-1448</v>
      </c>
      <c r="I34" s="56">
        <v>4642</v>
      </c>
      <c r="J34" s="56">
        <v>-2695</v>
      </c>
      <c r="K34" s="56">
        <v>1592</v>
      </c>
      <c r="L34" s="56">
        <v>8687</v>
      </c>
      <c r="M34" s="56">
        <v>19143</v>
      </c>
      <c r="N34" s="56">
        <v>-9335</v>
      </c>
      <c r="O34" s="56">
        <v>-5803</v>
      </c>
      <c r="P34" s="56">
        <v>6287</v>
      </c>
      <c r="Q34" s="56">
        <v>19371</v>
      </c>
      <c r="R34" s="56">
        <v>-8714</v>
      </c>
      <c r="S34" s="56">
        <v>-20934</v>
      </c>
      <c r="T34" s="56">
        <v>-16776</v>
      </c>
      <c r="U34" s="56">
        <v>-5515</v>
      </c>
      <c r="V34" s="56">
        <v>6286</v>
      </c>
      <c r="W34" s="56">
        <v>6996</v>
      </c>
      <c r="X34" s="56">
        <v>13282</v>
      </c>
      <c r="Y34" s="2"/>
      <c r="Z34" s="56">
        <f t="shared" si="22"/>
        <v>5510</v>
      </c>
      <c r="AA34" s="56">
        <f t="shared" si="23"/>
        <v>7689</v>
      </c>
      <c r="AB34" s="56">
        <f t="shared" si="24"/>
        <v>-14647</v>
      </c>
      <c r="AC34" s="56">
        <f t="shared" si="25"/>
        <v>6090</v>
      </c>
      <c r="AD34" s="56">
        <f t="shared" si="26"/>
        <v>-2695</v>
      </c>
      <c r="AE34" s="56">
        <f t="shared" si="27"/>
        <v>4287</v>
      </c>
      <c r="AF34" s="56">
        <f t="shared" si="28"/>
        <v>7095</v>
      </c>
      <c r="AG34" s="56">
        <f t="shared" si="29"/>
        <v>10456</v>
      </c>
      <c r="AH34" s="56">
        <f t="shared" si="30"/>
        <v>-9335</v>
      </c>
      <c r="AI34" s="56">
        <f t="shared" si="31"/>
        <v>3532</v>
      </c>
      <c r="AJ34" s="56">
        <f t="shared" si="32"/>
        <v>12090</v>
      </c>
      <c r="AK34" s="56">
        <f t="shared" si="33"/>
        <v>13084</v>
      </c>
      <c r="AL34" s="56">
        <f t="shared" si="34"/>
        <v>-8714</v>
      </c>
      <c r="AM34" s="56">
        <f t="shared" si="35"/>
        <v>-12220</v>
      </c>
      <c r="AN34" s="56">
        <v>4158</v>
      </c>
      <c r="AO34" s="56">
        <f t="shared" si="36"/>
        <v>11261</v>
      </c>
      <c r="AP34" s="56">
        <f t="shared" si="37"/>
        <v>6286</v>
      </c>
      <c r="AQ34" s="56">
        <f t="shared" si="38"/>
        <v>6996</v>
      </c>
      <c r="AR34" s="2"/>
      <c r="AS34" s="56">
        <f t="shared" si="39"/>
        <v>15067.077000000001</v>
      </c>
      <c r="AT34" s="56">
        <f t="shared" si="41"/>
        <v>-13503.077000000001</v>
      </c>
      <c r="AU34" s="56">
        <f t="shared" si="42"/>
        <v>14501</v>
      </c>
      <c r="AV34" s="56">
        <f t="shared" si="40"/>
        <v>228</v>
      </c>
      <c r="AW34" s="56">
        <f t="shared" si="21"/>
        <v>-24886</v>
      </c>
    </row>
    <row r="35" spans="2:49" ht="16.649999999999999" customHeight="1" x14ac:dyDescent="0.35">
      <c r="B35" s="22" t="s">
        <v>142</v>
      </c>
      <c r="C35" s="56">
        <v>4203</v>
      </c>
      <c r="D35" s="56">
        <v>17382.400000000001</v>
      </c>
      <c r="E35" s="56">
        <v>12377.22625</v>
      </c>
      <c r="F35" s="56">
        <v>7424</v>
      </c>
      <c r="G35" s="56">
        <v>15602</v>
      </c>
      <c r="H35" s="56">
        <v>-22193.65107</v>
      </c>
      <c r="I35" s="56">
        <v>4026</v>
      </c>
      <c r="J35" s="56">
        <v>-7751</v>
      </c>
      <c r="K35" s="56">
        <v>303</v>
      </c>
      <c r="L35" s="56">
        <v>-30706</v>
      </c>
      <c r="M35" s="56">
        <v>-98364</v>
      </c>
      <c r="N35" s="56">
        <v>-65462</v>
      </c>
      <c r="O35" s="56">
        <v>-160179</v>
      </c>
      <c r="P35" s="56">
        <v>-250194</v>
      </c>
      <c r="Q35" s="56">
        <v>-241521</v>
      </c>
      <c r="R35" s="56">
        <v>-49216</v>
      </c>
      <c r="S35" s="56">
        <v>2758</v>
      </c>
      <c r="T35" s="56">
        <v>6025</v>
      </c>
      <c r="U35" s="56">
        <v>-6365</v>
      </c>
      <c r="V35" s="56">
        <v>7599</v>
      </c>
      <c r="W35" s="56">
        <v>1902</v>
      </c>
      <c r="X35" s="56">
        <v>9501</v>
      </c>
      <c r="Y35" s="2"/>
      <c r="Z35" s="56">
        <f t="shared" si="22"/>
        <v>7424</v>
      </c>
      <c r="AA35" s="56">
        <f t="shared" si="23"/>
        <v>8178</v>
      </c>
      <c r="AB35" s="56">
        <f t="shared" si="24"/>
        <v>-37795.65107</v>
      </c>
      <c r="AC35" s="56">
        <f t="shared" si="25"/>
        <v>26219.65107</v>
      </c>
      <c r="AD35" s="56">
        <f t="shared" si="26"/>
        <v>-7751</v>
      </c>
      <c r="AE35" s="56">
        <f t="shared" si="27"/>
        <v>8054</v>
      </c>
      <c r="AF35" s="56">
        <f t="shared" si="28"/>
        <v>-31009</v>
      </c>
      <c r="AG35" s="56">
        <f t="shared" si="29"/>
        <v>-67658</v>
      </c>
      <c r="AH35" s="56">
        <f t="shared" si="30"/>
        <v>-65462</v>
      </c>
      <c r="AI35" s="56">
        <f t="shared" si="31"/>
        <v>-94717</v>
      </c>
      <c r="AJ35" s="56">
        <f t="shared" si="32"/>
        <v>-90015</v>
      </c>
      <c r="AK35" s="56">
        <f t="shared" si="33"/>
        <v>8673</v>
      </c>
      <c r="AL35" s="56">
        <f t="shared" si="34"/>
        <v>-49216</v>
      </c>
      <c r="AM35" s="56">
        <f t="shared" si="35"/>
        <v>51974</v>
      </c>
      <c r="AN35" s="56">
        <v>3267</v>
      </c>
      <c r="AO35" s="56">
        <f t="shared" si="36"/>
        <v>-12390</v>
      </c>
      <c r="AP35" s="56">
        <f t="shared" si="37"/>
        <v>7599</v>
      </c>
      <c r="AQ35" s="56">
        <f t="shared" si="38"/>
        <v>1902</v>
      </c>
      <c r="AR35" s="2"/>
      <c r="AS35" s="56">
        <f t="shared" si="39"/>
        <v>-5005.1737500000017</v>
      </c>
      <c r="AT35" s="56">
        <f t="shared" si="41"/>
        <v>-8351.2262499999997</v>
      </c>
      <c r="AU35" s="56">
        <f t="shared" si="42"/>
        <v>-102390</v>
      </c>
      <c r="AV35" s="56">
        <f t="shared" si="40"/>
        <v>-143157</v>
      </c>
      <c r="AW35" s="56">
        <f t="shared" si="21"/>
        <v>235156</v>
      </c>
    </row>
    <row r="36" spans="2:49" ht="16.649999999999999" customHeight="1" x14ac:dyDescent="0.35">
      <c r="B36" s="22" t="s">
        <v>143</v>
      </c>
      <c r="C36" s="56">
        <v>1146</v>
      </c>
      <c r="D36" s="56">
        <v>-2547.6</v>
      </c>
      <c r="E36" s="56">
        <v>-16577.414209999999</v>
      </c>
      <c r="F36" s="56">
        <v>-4175</v>
      </c>
      <c r="G36" s="56">
        <v>-7088.4474899999996</v>
      </c>
      <c r="H36" s="56">
        <v>-1350</v>
      </c>
      <c r="I36" s="56">
        <v>-23101</v>
      </c>
      <c r="J36" s="56">
        <v>-11326</v>
      </c>
      <c r="K36" s="56">
        <v>-45645.6857746893</v>
      </c>
      <c r="L36" s="56">
        <v>-34380</v>
      </c>
      <c r="M36" s="56">
        <v>-20489.741320000001</v>
      </c>
      <c r="N36" s="56">
        <v>-16667</v>
      </c>
      <c r="O36" s="56">
        <v>-66423</v>
      </c>
      <c r="P36" s="56">
        <v>40297</v>
      </c>
      <c r="Q36" s="56">
        <v>-14604</v>
      </c>
      <c r="R36" s="56">
        <v>0</v>
      </c>
      <c r="S36" s="56">
        <v>0</v>
      </c>
      <c r="T36" s="56">
        <v>0</v>
      </c>
      <c r="U36" s="56">
        <v>0</v>
      </c>
      <c r="V36" s="56">
        <v>0</v>
      </c>
      <c r="W36" s="56">
        <v>0</v>
      </c>
      <c r="X36" s="56">
        <v>0</v>
      </c>
      <c r="Y36" s="2"/>
      <c r="Z36" s="56">
        <f t="shared" si="22"/>
        <v>-4175</v>
      </c>
      <c r="AA36" s="56">
        <f t="shared" si="23"/>
        <v>-2913.4474899999996</v>
      </c>
      <c r="AB36" s="56">
        <f t="shared" si="24"/>
        <v>5738.4474899999996</v>
      </c>
      <c r="AC36" s="56">
        <f t="shared" si="25"/>
        <v>-21751</v>
      </c>
      <c r="AD36" s="56">
        <f t="shared" si="26"/>
        <v>-11326</v>
      </c>
      <c r="AE36" s="56">
        <f t="shared" si="27"/>
        <v>-34319.6857746893</v>
      </c>
      <c r="AF36" s="56">
        <f t="shared" si="28"/>
        <v>11265.6857746893</v>
      </c>
      <c r="AG36" s="56">
        <f t="shared" si="29"/>
        <v>13890.258679999999</v>
      </c>
      <c r="AH36" s="56">
        <f t="shared" si="30"/>
        <v>-16667</v>
      </c>
      <c r="AI36" s="56">
        <f t="shared" si="31"/>
        <v>-49756</v>
      </c>
      <c r="AJ36" s="56">
        <f t="shared" si="32"/>
        <v>106720</v>
      </c>
      <c r="AK36" s="56">
        <f t="shared" si="33"/>
        <v>-54901</v>
      </c>
      <c r="AL36" s="56">
        <f t="shared" si="34"/>
        <v>0</v>
      </c>
      <c r="AM36" s="56">
        <f t="shared" si="35"/>
        <v>0</v>
      </c>
      <c r="AN36" s="56">
        <v>0</v>
      </c>
      <c r="AO36" s="56">
        <f t="shared" si="36"/>
        <v>0</v>
      </c>
      <c r="AP36" s="56">
        <f t="shared" si="37"/>
        <v>0</v>
      </c>
      <c r="AQ36" s="56">
        <f t="shared" si="38"/>
        <v>0</v>
      </c>
      <c r="AR36" s="2"/>
      <c r="AS36" s="56">
        <f t="shared" si="39"/>
        <v>-14029.814209999999</v>
      </c>
      <c r="AT36" s="56">
        <f t="shared" si="41"/>
        <v>-6523.585790000001</v>
      </c>
      <c r="AU36" s="56">
        <f t="shared" si="42"/>
        <v>2611.258679999999</v>
      </c>
      <c r="AV36" s="56">
        <f t="shared" si="40"/>
        <v>5885.741320000001</v>
      </c>
      <c r="AW36" s="56">
        <f t="shared" si="21"/>
        <v>14604</v>
      </c>
    </row>
    <row r="37" spans="2:49" ht="16.649999999999999" customHeight="1" x14ac:dyDescent="0.35">
      <c r="B37" s="8" t="s">
        <v>144</v>
      </c>
      <c r="C37" s="56">
        <v>-2593</v>
      </c>
      <c r="D37" s="56">
        <v>-27155</v>
      </c>
      <c r="E37" s="56">
        <v>-146780.21611285</v>
      </c>
      <c r="F37" s="56">
        <v>-77469</v>
      </c>
      <c r="G37" s="56">
        <v>-144287.84698</v>
      </c>
      <c r="H37" s="56">
        <v>-243088.01243</v>
      </c>
      <c r="I37" s="56">
        <v>-289537</v>
      </c>
      <c r="J37" s="56">
        <v>-340001.08909090899</v>
      </c>
      <c r="K37" s="56">
        <v>-363844.07817090902</v>
      </c>
      <c r="L37" s="56">
        <v>-791033.92325757595</v>
      </c>
      <c r="M37" s="56">
        <v>-845530</v>
      </c>
      <c r="N37" s="56">
        <v>-214319</v>
      </c>
      <c r="O37" s="56">
        <v>-349212</v>
      </c>
      <c r="P37" s="56">
        <v>-643421</v>
      </c>
      <c r="Q37" s="56">
        <v>-630474</v>
      </c>
      <c r="R37" s="56">
        <v>0</v>
      </c>
      <c r="S37" s="56">
        <v>-492577</v>
      </c>
      <c r="T37" s="56">
        <v>-873999</v>
      </c>
      <c r="U37" s="56">
        <v>-1186174</v>
      </c>
      <c r="V37" s="56">
        <v>-253010</v>
      </c>
      <c r="W37" s="56">
        <v>-314682</v>
      </c>
      <c r="X37" s="56">
        <v>-567692</v>
      </c>
      <c r="Y37" s="2"/>
      <c r="Z37" s="56">
        <f t="shared" si="22"/>
        <v>-77469</v>
      </c>
      <c r="AA37" s="56">
        <f t="shared" si="23"/>
        <v>-66818.846980000002</v>
      </c>
      <c r="AB37" s="56">
        <f t="shared" si="24"/>
        <v>-98800.16545</v>
      </c>
      <c r="AC37" s="56">
        <f t="shared" si="25"/>
        <v>-46448.987569999998</v>
      </c>
      <c r="AD37" s="56">
        <f t="shared" si="26"/>
        <v>-340001.08909090899</v>
      </c>
      <c r="AE37" s="56">
        <f t="shared" si="27"/>
        <v>-23842.989080000028</v>
      </c>
      <c r="AF37" s="56">
        <f t="shared" si="28"/>
        <v>-427189.84508666693</v>
      </c>
      <c r="AG37" s="56">
        <f t="shared" si="29"/>
        <v>-54496.076742424048</v>
      </c>
      <c r="AH37" s="56">
        <f t="shared" si="30"/>
        <v>-214319</v>
      </c>
      <c r="AI37" s="56">
        <f t="shared" si="31"/>
        <v>-134893</v>
      </c>
      <c r="AJ37" s="56">
        <f t="shared" si="32"/>
        <v>-294209</v>
      </c>
      <c r="AK37" s="56">
        <f t="shared" si="33"/>
        <v>12947</v>
      </c>
      <c r="AL37" s="56">
        <f t="shared" si="34"/>
        <v>0</v>
      </c>
      <c r="AM37" s="56">
        <f t="shared" si="35"/>
        <v>-492577</v>
      </c>
      <c r="AN37" s="56">
        <v>-381422</v>
      </c>
      <c r="AO37" s="56">
        <f t="shared" si="36"/>
        <v>-312175</v>
      </c>
      <c r="AP37" s="56">
        <f t="shared" si="37"/>
        <v>-253010</v>
      </c>
      <c r="AQ37" s="56">
        <f t="shared" si="38"/>
        <v>-314682</v>
      </c>
      <c r="AR37" s="2"/>
      <c r="AS37" s="56">
        <f t="shared" si="39"/>
        <v>-119625.21611285</v>
      </c>
      <c r="AT37" s="56">
        <f t="shared" si="41"/>
        <v>-142756.78388715</v>
      </c>
      <c r="AU37" s="56">
        <f t="shared" si="42"/>
        <v>-555993</v>
      </c>
      <c r="AV37" s="56">
        <f t="shared" si="40"/>
        <v>215056</v>
      </c>
      <c r="AW37" s="56">
        <f t="shared" si="21"/>
        <v>-555700</v>
      </c>
    </row>
    <row r="38" spans="2:49" ht="16.649999999999999" customHeight="1" x14ac:dyDescent="0.35">
      <c r="B38" s="8" t="s">
        <v>145</v>
      </c>
      <c r="C38" s="56">
        <v>0</v>
      </c>
      <c r="D38" s="56">
        <v>0</v>
      </c>
      <c r="E38" s="56">
        <v>0</v>
      </c>
      <c r="F38" s="56">
        <v>0</v>
      </c>
      <c r="G38" s="56">
        <v>0</v>
      </c>
      <c r="H38" s="56">
        <v>0</v>
      </c>
      <c r="I38" s="56">
        <v>0</v>
      </c>
      <c r="J38" s="56">
        <v>0</v>
      </c>
      <c r="K38" s="56">
        <v>0</v>
      </c>
      <c r="L38" s="56">
        <v>0</v>
      </c>
      <c r="M38" s="56">
        <v>0</v>
      </c>
      <c r="N38" s="56">
        <v>0</v>
      </c>
      <c r="O38" s="56">
        <v>0</v>
      </c>
      <c r="P38" s="56">
        <v>0</v>
      </c>
      <c r="Q38" s="56">
        <v>-197317</v>
      </c>
      <c r="R38" s="56">
        <v>-214151</v>
      </c>
      <c r="S38" s="56">
        <v>0</v>
      </c>
      <c r="T38" s="56">
        <v>0</v>
      </c>
      <c r="U38" s="56">
        <v>-350903</v>
      </c>
      <c r="V38" s="56">
        <v>-79351</v>
      </c>
      <c r="W38" s="56">
        <v>-34712</v>
      </c>
      <c r="X38" s="56">
        <v>-114063</v>
      </c>
      <c r="Y38" s="2"/>
      <c r="Z38" s="56">
        <f t="shared" si="22"/>
        <v>0</v>
      </c>
      <c r="AA38" s="56">
        <f t="shared" si="23"/>
        <v>0</v>
      </c>
      <c r="AB38" s="56">
        <f t="shared" si="24"/>
        <v>0</v>
      </c>
      <c r="AC38" s="56">
        <f t="shared" si="25"/>
        <v>0</v>
      </c>
      <c r="AD38" s="56">
        <f t="shared" si="26"/>
        <v>0</v>
      </c>
      <c r="AE38" s="56">
        <f t="shared" si="27"/>
        <v>0</v>
      </c>
      <c r="AF38" s="56">
        <f t="shared" si="28"/>
        <v>0</v>
      </c>
      <c r="AG38" s="56">
        <f t="shared" si="29"/>
        <v>0</v>
      </c>
      <c r="AH38" s="56">
        <f t="shared" si="30"/>
        <v>0</v>
      </c>
      <c r="AI38" s="56">
        <f t="shared" si="31"/>
        <v>0</v>
      </c>
      <c r="AJ38" s="56">
        <f t="shared" si="32"/>
        <v>0</v>
      </c>
      <c r="AK38" s="56">
        <f t="shared" si="33"/>
        <v>-197317</v>
      </c>
      <c r="AL38" s="56">
        <f t="shared" si="34"/>
        <v>-214151</v>
      </c>
      <c r="AM38" s="56">
        <f t="shared" si="35"/>
        <v>214151</v>
      </c>
      <c r="AN38" s="56">
        <v>0</v>
      </c>
      <c r="AO38" s="56">
        <f t="shared" si="36"/>
        <v>-350903</v>
      </c>
      <c r="AP38" s="56">
        <f t="shared" si="37"/>
        <v>-79351</v>
      </c>
      <c r="AQ38" s="56">
        <f t="shared" si="38"/>
        <v>-34712</v>
      </c>
      <c r="AR38" s="2"/>
      <c r="AS38" s="56">
        <f t="shared" si="39"/>
        <v>0</v>
      </c>
      <c r="AT38" s="56">
        <f t="shared" si="41"/>
        <v>0</v>
      </c>
      <c r="AU38" s="56">
        <f t="shared" si="42"/>
        <v>0</v>
      </c>
      <c r="AV38" s="56">
        <f t="shared" si="40"/>
        <v>-197317</v>
      </c>
      <c r="AW38" s="56">
        <f t="shared" si="21"/>
        <v>-153586</v>
      </c>
    </row>
    <row r="39" spans="2:49" ht="16.649999999999999" customHeight="1" x14ac:dyDescent="0.35">
      <c r="B39" s="8" t="s">
        <v>146</v>
      </c>
      <c r="C39" s="57">
        <v>0</v>
      </c>
      <c r="D39" s="57">
        <v>0</v>
      </c>
      <c r="E39" s="57">
        <v>0</v>
      </c>
      <c r="F39" s="57">
        <v>0</v>
      </c>
      <c r="G39" s="57">
        <v>0</v>
      </c>
      <c r="H39" s="57">
        <v>0</v>
      </c>
      <c r="I39" s="57">
        <v>0</v>
      </c>
      <c r="J39" s="56">
        <v>160304.08909090899</v>
      </c>
      <c r="K39" s="56">
        <v>160304.08909090899</v>
      </c>
      <c r="L39" s="56">
        <v>339976.60659090901</v>
      </c>
      <c r="M39" s="56">
        <v>339977</v>
      </c>
      <c r="N39" s="56">
        <v>151040</v>
      </c>
      <c r="O39" s="56">
        <v>151040</v>
      </c>
      <c r="P39" s="56">
        <v>308380</v>
      </c>
      <c r="Q39" s="56">
        <v>146855</v>
      </c>
      <c r="R39" s="56">
        <v>145407</v>
      </c>
      <c r="S39" s="56">
        <v>512104</v>
      </c>
      <c r="T39" s="56">
        <v>629593</v>
      </c>
      <c r="U39" s="56">
        <v>781099</v>
      </c>
      <c r="V39" s="56">
        <v>0</v>
      </c>
      <c r="W39" s="56">
        <v>0</v>
      </c>
      <c r="X39" s="56">
        <v>0</v>
      </c>
      <c r="Y39" s="2"/>
      <c r="Z39" s="56">
        <f t="shared" si="22"/>
        <v>0</v>
      </c>
      <c r="AA39" s="56">
        <f t="shared" si="23"/>
        <v>0</v>
      </c>
      <c r="AB39" s="56">
        <f t="shared" si="24"/>
        <v>0</v>
      </c>
      <c r="AC39" s="56">
        <f t="shared" si="25"/>
        <v>0</v>
      </c>
      <c r="AD39" s="56">
        <f t="shared" si="26"/>
        <v>160304.08909090899</v>
      </c>
      <c r="AE39" s="56">
        <f t="shared" si="27"/>
        <v>0</v>
      </c>
      <c r="AF39" s="56">
        <f t="shared" si="28"/>
        <v>179672.51750000002</v>
      </c>
      <c r="AG39" s="56">
        <f t="shared" si="29"/>
        <v>0.39340909098973498</v>
      </c>
      <c r="AH39" s="56">
        <f t="shared" si="30"/>
        <v>151040</v>
      </c>
      <c r="AI39" s="56">
        <f t="shared" si="31"/>
        <v>0</v>
      </c>
      <c r="AJ39" s="56">
        <f t="shared" si="32"/>
        <v>157340</v>
      </c>
      <c r="AK39" s="56">
        <f t="shared" si="33"/>
        <v>-161525</v>
      </c>
      <c r="AL39" s="56">
        <f t="shared" si="34"/>
        <v>145407</v>
      </c>
      <c r="AM39" s="56">
        <f t="shared" si="35"/>
        <v>366697</v>
      </c>
      <c r="AN39" s="56">
        <v>117489</v>
      </c>
      <c r="AO39" s="56">
        <f t="shared" si="36"/>
        <v>151506</v>
      </c>
      <c r="AP39" s="56">
        <f t="shared" si="37"/>
        <v>0</v>
      </c>
      <c r="AQ39" s="56">
        <f t="shared" si="38"/>
        <v>0</v>
      </c>
      <c r="AR39" s="2"/>
      <c r="AS39" s="56">
        <f t="shared" si="39"/>
        <v>0</v>
      </c>
      <c r="AT39" s="56">
        <f t="shared" si="41"/>
        <v>0</v>
      </c>
      <c r="AU39" s="56">
        <f t="shared" si="42"/>
        <v>339977</v>
      </c>
      <c r="AV39" s="56">
        <f t="shared" si="40"/>
        <v>-193122</v>
      </c>
      <c r="AW39" s="56">
        <f t="shared" si="21"/>
        <v>634244</v>
      </c>
    </row>
    <row r="40" spans="2:49" ht="16.649999999999999" customHeight="1" x14ac:dyDescent="0.35">
      <c r="B40" s="8" t="s">
        <v>147</v>
      </c>
      <c r="C40" s="57">
        <v>0</v>
      </c>
      <c r="D40" s="57">
        <v>0</v>
      </c>
      <c r="E40" s="57">
        <v>0</v>
      </c>
      <c r="F40" s="57">
        <v>0</v>
      </c>
      <c r="G40" s="57">
        <v>0</v>
      </c>
      <c r="H40" s="57">
        <v>0</v>
      </c>
      <c r="I40" s="57">
        <v>0</v>
      </c>
      <c r="J40" s="56">
        <v>0</v>
      </c>
      <c r="K40" s="56">
        <v>0</v>
      </c>
      <c r="L40" s="56">
        <v>0</v>
      </c>
      <c r="M40" s="56">
        <v>0</v>
      </c>
      <c r="N40" s="56">
        <v>0</v>
      </c>
      <c r="O40" s="56">
        <v>0</v>
      </c>
      <c r="P40" s="56">
        <v>0</v>
      </c>
      <c r="Q40" s="56">
        <v>0</v>
      </c>
      <c r="R40" s="56">
        <v>52124</v>
      </c>
      <c r="S40" s="56">
        <v>0</v>
      </c>
      <c r="T40" s="56">
        <v>0</v>
      </c>
      <c r="U40" s="56">
        <v>0</v>
      </c>
      <c r="V40" s="56">
        <v>23619</v>
      </c>
      <c r="W40" s="56">
        <v>-23619</v>
      </c>
      <c r="X40" s="56">
        <v>0</v>
      </c>
      <c r="Y40" s="2"/>
      <c r="Z40" s="14"/>
      <c r="AA40" s="14"/>
      <c r="AB40" s="14"/>
      <c r="AC40" s="14"/>
      <c r="AD40" s="14"/>
      <c r="AE40" s="14"/>
      <c r="AF40" s="14"/>
      <c r="AG40" s="14"/>
      <c r="AH40" s="14"/>
      <c r="AI40" s="14"/>
      <c r="AJ40" s="14"/>
      <c r="AK40" s="14"/>
      <c r="AL40" s="14"/>
      <c r="AM40" s="14"/>
      <c r="AN40" s="14"/>
      <c r="AO40" s="14"/>
      <c r="AP40" s="14"/>
      <c r="AQ40" s="14"/>
      <c r="AR40" s="2"/>
      <c r="AS40" s="14"/>
      <c r="AT40" s="14"/>
      <c r="AU40" s="14"/>
      <c r="AV40" s="14"/>
      <c r="AW40" s="14"/>
    </row>
    <row r="41" spans="2:49" ht="16.649999999999999" customHeight="1" x14ac:dyDescent="0.35">
      <c r="B41" s="8" t="s">
        <v>148</v>
      </c>
      <c r="C41" s="14"/>
      <c r="D41" s="57">
        <v>-16446</v>
      </c>
      <c r="E41" s="57">
        <v>-8445.8092500000002</v>
      </c>
      <c r="F41" s="57">
        <v>0</v>
      </c>
      <c r="G41" s="57">
        <v>0</v>
      </c>
      <c r="H41" s="57">
        <v>0</v>
      </c>
      <c r="I41" s="57">
        <v>0</v>
      </c>
      <c r="J41" s="56">
        <v>-25867</v>
      </c>
      <c r="K41" s="56">
        <v>-49042</v>
      </c>
      <c r="L41" s="56">
        <v>-63895</v>
      </c>
      <c r="M41" s="56">
        <v>-87860</v>
      </c>
      <c r="N41" s="56">
        <v>0</v>
      </c>
      <c r="O41" s="56">
        <v>0</v>
      </c>
      <c r="P41" s="56">
        <v>0</v>
      </c>
      <c r="Q41" s="56">
        <v>0</v>
      </c>
      <c r="R41" s="56">
        <v>0</v>
      </c>
      <c r="S41" s="56">
        <v>0</v>
      </c>
      <c r="T41" s="56">
        <v>0</v>
      </c>
      <c r="U41" s="56">
        <v>0</v>
      </c>
      <c r="V41" s="56">
        <v>0</v>
      </c>
      <c r="W41" s="56">
        <v>0</v>
      </c>
      <c r="X41" s="57">
        <v>0</v>
      </c>
      <c r="Y41" s="2"/>
      <c r="Z41" s="14"/>
      <c r="AA41" s="14"/>
      <c r="AB41" s="14"/>
      <c r="AC41" s="14"/>
      <c r="AD41" s="14"/>
      <c r="AE41" s="14"/>
      <c r="AF41" s="14"/>
      <c r="AG41" s="14"/>
      <c r="AH41" s="14"/>
      <c r="AI41" s="14"/>
      <c r="AJ41" s="14"/>
      <c r="AK41" s="14"/>
      <c r="AL41" s="14"/>
      <c r="AM41" s="14"/>
      <c r="AN41" s="14"/>
      <c r="AO41" s="14"/>
      <c r="AP41" s="14"/>
      <c r="AQ41" s="14"/>
      <c r="AR41" s="2"/>
      <c r="AS41" s="14"/>
      <c r="AT41" s="14"/>
      <c r="AU41" s="14"/>
      <c r="AV41" s="14"/>
      <c r="AW41" s="14"/>
    </row>
    <row r="42" spans="2:49" ht="15.75" customHeight="1" x14ac:dyDescent="0.35">
      <c r="B42" s="9" t="s">
        <v>149</v>
      </c>
      <c r="C42" s="58">
        <f>SUM(C7:C40)</f>
        <v>11156.622999999992</v>
      </c>
      <c r="D42" s="58">
        <v>72188.800000000003</v>
      </c>
      <c r="E42" s="58">
        <v>-36288.755463826201</v>
      </c>
      <c r="F42" s="58">
        <v>348284.91057923302</v>
      </c>
      <c r="G42" s="58">
        <v>400995.62941497401</v>
      </c>
      <c r="H42" s="58">
        <v>-466123.68483057199</v>
      </c>
      <c r="I42" s="58">
        <v>67250</v>
      </c>
      <c r="J42" s="58">
        <v>563369</v>
      </c>
      <c r="K42" s="58">
        <v>-36248.677904689401</v>
      </c>
      <c r="L42" s="58">
        <v>640560.683333333</v>
      </c>
      <c r="M42" s="58">
        <v>1449619.25868</v>
      </c>
      <c r="N42" s="58">
        <v>1185266.5362064</v>
      </c>
      <c r="O42" s="58">
        <v>496294.84664</v>
      </c>
      <c r="P42" s="58">
        <v>300599.83363000001</v>
      </c>
      <c r="Q42" s="58">
        <v>320777.18450999999</v>
      </c>
      <c r="R42" s="58">
        <v>1538207</v>
      </c>
      <c r="S42" s="58">
        <v>1620331</v>
      </c>
      <c r="T42" s="58">
        <v>1838745</v>
      </c>
      <c r="U42" s="58">
        <v>1702095</v>
      </c>
      <c r="V42" s="58">
        <f>SUM(V7:V41)</f>
        <v>-548900</v>
      </c>
      <c r="W42" s="58">
        <f>SUM(W7:W41)</f>
        <v>-330893</v>
      </c>
      <c r="X42" s="58">
        <f>SUM(X7:X41)</f>
        <v>-879793</v>
      </c>
      <c r="Y42" s="2"/>
      <c r="Z42" s="58">
        <f t="shared" ref="Z42:AO42" si="43">SUM(Z7:Z39)</f>
        <v>348284.91057923279</v>
      </c>
      <c r="AA42" s="58">
        <f t="shared" si="43"/>
        <v>52710.718835740947</v>
      </c>
      <c r="AB42" s="58">
        <f t="shared" si="43"/>
        <v>-867119.31424554554</v>
      </c>
      <c r="AC42" s="58">
        <f t="shared" si="43"/>
        <v>533373.68483057176</v>
      </c>
      <c r="AD42" s="58">
        <f t="shared" si="43"/>
        <v>589236</v>
      </c>
      <c r="AE42" s="58">
        <f t="shared" si="43"/>
        <v>-576442.67790468922</v>
      </c>
      <c r="AF42" s="58">
        <f t="shared" si="43"/>
        <v>691662.36123802233</v>
      </c>
      <c r="AG42" s="58">
        <f t="shared" si="43"/>
        <v>833023.57534666685</v>
      </c>
      <c r="AH42" s="58">
        <f t="shared" si="43"/>
        <v>1185266.5362064</v>
      </c>
      <c r="AI42" s="58">
        <f t="shared" si="43"/>
        <v>-688971.68956640002</v>
      </c>
      <c r="AJ42" s="58">
        <f t="shared" si="43"/>
        <v>-195695.01301</v>
      </c>
      <c r="AK42" s="58">
        <f t="shared" si="43"/>
        <v>20177.350880000042</v>
      </c>
      <c r="AL42" s="58">
        <f t="shared" si="43"/>
        <v>1486083</v>
      </c>
      <c r="AM42" s="58">
        <f t="shared" si="43"/>
        <v>134248</v>
      </c>
      <c r="AN42" s="58">
        <f t="shared" si="43"/>
        <v>218414</v>
      </c>
      <c r="AO42" s="58">
        <f t="shared" si="43"/>
        <v>-136650</v>
      </c>
      <c r="AP42" s="58">
        <f>V42</f>
        <v>-548900</v>
      </c>
      <c r="AQ42" s="58">
        <f>W42</f>
        <v>-330893</v>
      </c>
      <c r="AR42" s="2"/>
      <c r="AS42" s="58">
        <f>SUM(AS7:AS39)</f>
        <v>-116477.74621382573</v>
      </c>
      <c r="AT42" s="58">
        <f>SUM(AT7:AT39)</f>
        <v>95092.946213825751</v>
      </c>
      <c r="AU42" s="58">
        <f>SUM(AU7:AU39)</f>
        <v>1470229.25868</v>
      </c>
      <c r="AV42" s="58">
        <f>SUM(AV7:AV39)</f>
        <v>-1216702.0741699999</v>
      </c>
      <c r="AW42" s="58">
        <f>SUM(AW7:AW39)</f>
        <v>1381317.8154899999</v>
      </c>
    </row>
    <row r="43" spans="2:49" ht="15.75" customHeight="1" x14ac:dyDescent="0.35">
      <c r="B43" s="9" t="s">
        <v>150</v>
      </c>
      <c r="C43" s="29"/>
      <c r="D43" s="29"/>
      <c r="E43" s="29"/>
      <c r="F43" s="29"/>
      <c r="G43" s="29"/>
      <c r="H43" s="29"/>
      <c r="I43" s="29"/>
      <c r="J43" s="29"/>
      <c r="K43" s="29"/>
      <c r="L43" s="29"/>
      <c r="M43" s="29"/>
      <c r="N43" s="29"/>
      <c r="O43" s="29"/>
      <c r="P43" s="29"/>
      <c r="Q43" s="29"/>
      <c r="R43" s="29"/>
      <c r="S43" s="29"/>
      <c r="T43" s="64"/>
      <c r="U43" s="64"/>
      <c r="V43" s="64"/>
      <c r="W43" s="64"/>
      <c r="X43" s="64"/>
      <c r="Y43" s="2"/>
      <c r="Z43" s="29"/>
      <c r="AA43" s="29"/>
      <c r="AB43" s="29"/>
      <c r="AC43" s="29"/>
      <c r="AD43" s="29"/>
      <c r="AE43" s="29"/>
      <c r="AF43" s="64"/>
      <c r="AG43" s="64"/>
      <c r="AH43" s="64"/>
      <c r="AI43" s="29"/>
      <c r="AJ43" s="29"/>
      <c r="AK43" s="29"/>
      <c r="AL43" s="29"/>
      <c r="AM43" s="29"/>
      <c r="AN43" s="29"/>
      <c r="AO43" s="29"/>
      <c r="AP43" s="29"/>
      <c r="AQ43" s="29"/>
      <c r="AR43" s="2"/>
      <c r="AS43" s="29"/>
      <c r="AT43" s="29"/>
      <c r="AU43" s="29"/>
      <c r="AV43" s="29"/>
      <c r="AW43" s="29"/>
    </row>
    <row r="44" spans="2:49" ht="15.75" customHeight="1" x14ac:dyDescent="0.35">
      <c r="B44" s="22" t="s">
        <v>151</v>
      </c>
      <c r="C44" s="56">
        <v>-109254</v>
      </c>
      <c r="D44" s="56">
        <v>-383316</v>
      </c>
      <c r="E44" s="56">
        <v>-1136347.22409285</v>
      </c>
      <c r="F44" s="56">
        <v>-280286.13900999998</v>
      </c>
      <c r="G44" s="56">
        <v>-426714.90081497398</v>
      </c>
      <c r="H44" s="56">
        <v>-507690.18094791798</v>
      </c>
      <c r="I44" s="56">
        <v>-615111</v>
      </c>
      <c r="J44" s="56">
        <v>-143572</v>
      </c>
      <c r="K44" s="56">
        <v>-273294</v>
      </c>
      <c r="L44" s="56">
        <v>-396315</v>
      </c>
      <c r="M44" s="56">
        <v>-609335</v>
      </c>
      <c r="N44" s="56">
        <v>-282108</v>
      </c>
      <c r="O44" s="56">
        <v>-764164</v>
      </c>
      <c r="P44" s="56">
        <v>-890809</v>
      </c>
      <c r="Q44" s="56">
        <v>-1243126</v>
      </c>
      <c r="R44" s="56">
        <v>-716737</v>
      </c>
      <c r="S44" s="56">
        <v>-533613</v>
      </c>
      <c r="T44" s="56">
        <v>-731477</v>
      </c>
      <c r="U44" s="56">
        <v>-854514</v>
      </c>
      <c r="V44" s="56">
        <v>-101207</v>
      </c>
      <c r="W44" s="56">
        <v>-220437</v>
      </c>
      <c r="X44" s="56">
        <v>-321644</v>
      </c>
      <c r="Y44" s="2"/>
      <c r="Z44" s="56">
        <f>F44</f>
        <v>-280286.13900999998</v>
      </c>
      <c r="AA44" s="56">
        <f>G44-F44</f>
        <v>-146428.761804974</v>
      </c>
      <c r="AB44" s="56">
        <f>H44-G44</f>
        <v>-80975.280132943997</v>
      </c>
      <c r="AC44" s="56">
        <f>I44-H44</f>
        <v>-107420.81905208202</v>
      </c>
      <c r="AD44" s="56">
        <f>J44</f>
        <v>-143572</v>
      </c>
      <c r="AE44" s="56">
        <f>K44-J44</f>
        <v>-129722</v>
      </c>
      <c r="AF44" s="56">
        <f>L44-K44</f>
        <v>-123021</v>
      </c>
      <c r="AG44" s="56">
        <f>M44-L44</f>
        <v>-213020</v>
      </c>
      <c r="AH44" s="56">
        <f>N44</f>
        <v>-282108</v>
      </c>
      <c r="AI44" s="56">
        <f>O44-N44</f>
        <v>-482056</v>
      </c>
      <c r="AJ44" s="56">
        <f>P44-O44</f>
        <v>-126645</v>
      </c>
      <c r="AK44" s="56">
        <f>Q44-P44</f>
        <v>-352317</v>
      </c>
      <c r="AL44" s="56">
        <f>R44</f>
        <v>-716737</v>
      </c>
      <c r="AM44" s="56">
        <f>S44-R44</f>
        <v>183124</v>
      </c>
      <c r="AN44" s="56">
        <v>218414</v>
      </c>
      <c r="AO44" s="56">
        <f t="shared" ref="AO44:AO53" si="44">U44-T44</f>
        <v>-123037</v>
      </c>
      <c r="AP44" s="56">
        <f t="shared" ref="AP44:AP53" si="45">V44</f>
        <v>-101207</v>
      </c>
      <c r="AQ44" s="56">
        <f t="shared" ref="AQ44:AQ53" si="46">W44</f>
        <v>-220437</v>
      </c>
      <c r="AR44" s="2"/>
      <c r="AS44" s="56">
        <f t="shared" ref="AS44:AS53" si="47">E44-D44</f>
        <v>-753031.22409285</v>
      </c>
      <c r="AT44" s="56">
        <f>I44-E44</f>
        <v>521236.22409285</v>
      </c>
      <c r="AU44" s="56">
        <f>M44-I44</f>
        <v>5776</v>
      </c>
      <c r="AV44" s="56">
        <f t="shared" ref="AV44:AV53" si="48">Q44-M44</f>
        <v>-633791</v>
      </c>
      <c r="AW44" s="56">
        <f t="shared" ref="AW44:AW53" si="49">U44-Q44</f>
        <v>388612</v>
      </c>
    </row>
    <row r="45" spans="2:49" ht="15.75" customHeight="1" x14ac:dyDescent="0.35">
      <c r="B45" s="22" t="s">
        <v>152</v>
      </c>
      <c r="C45" s="57">
        <v>0</v>
      </c>
      <c r="D45" s="57">
        <v>0</v>
      </c>
      <c r="E45" s="57">
        <v>0</v>
      </c>
      <c r="F45" s="57">
        <v>0</v>
      </c>
      <c r="G45" s="57">
        <v>0</v>
      </c>
      <c r="H45" s="57">
        <v>0</v>
      </c>
      <c r="I45" s="57">
        <v>0</v>
      </c>
      <c r="J45" s="56">
        <v>0</v>
      </c>
      <c r="K45" s="56">
        <v>0</v>
      </c>
      <c r="L45" s="56">
        <v>0</v>
      </c>
      <c r="M45" s="56">
        <v>0</v>
      </c>
      <c r="N45" s="56">
        <v>0</v>
      </c>
      <c r="O45" s="56">
        <v>0</v>
      </c>
      <c r="P45" s="56">
        <v>0</v>
      </c>
      <c r="Q45" s="56">
        <v>2797.3728000000101</v>
      </c>
      <c r="R45" s="56">
        <v>54030</v>
      </c>
      <c r="S45" s="56">
        <v>0</v>
      </c>
      <c r="T45" s="56">
        <v>0</v>
      </c>
      <c r="U45" s="56">
        <v>0</v>
      </c>
      <c r="V45" s="56">
        <v>0</v>
      </c>
      <c r="W45" s="56">
        <v>0</v>
      </c>
      <c r="X45" s="56">
        <v>0</v>
      </c>
      <c r="Y45" s="2"/>
      <c r="Z45" s="14"/>
      <c r="AA45" s="14"/>
      <c r="AB45" s="14"/>
      <c r="AC45" s="14"/>
      <c r="AD45" s="14"/>
      <c r="AE45" s="14"/>
      <c r="AF45" s="14"/>
      <c r="AG45" s="14"/>
      <c r="AH45" s="14"/>
      <c r="AI45" s="14"/>
      <c r="AJ45" s="14"/>
      <c r="AK45" s="14"/>
      <c r="AL45" s="14"/>
      <c r="AM45" s="14"/>
      <c r="AN45" s="14"/>
      <c r="AO45" s="56">
        <f t="shared" si="44"/>
        <v>0</v>
      </c>
      <c r="AP45" s="56">
        <f t="shared" si="45"/>
        <v>0</v>
      </c>
      <c r="AQ45" s="56">
        <f t="shared" si="46"/>
        <v>0</v>
      </c>
      <c r="AR45" s="2"/>
      <c r="AS45" s="56">
        <f t="shared" si="47"/>
        <v>0</v>
      </c>
      <c r="AT45" s="14"/>
      <c r="AU45" s="14"/>
      <c r="AV45" s="56">
        <f t="shared" si="48"/>
        <v>2797.3728000000101</v>
      </c>
      <c r="AW45" s="56">
        <f t="shared" si="49"/>
        <v>-2797.3728000000101</v>
      </c>
    </row>
    <row r="46" spans="2:49" ht="15.75" customHeight="1" x14ac:dyDescent="0.35">
      <c r="B46" s="22" t="s">
        <v>153</v>
      </c>
      <c r="C46" s="57">
        <v>0</v>
      </c>
      <c r="D46" s="57">
        <v>0</v>
      </c>
      <c r="E46" s="57">
        <v>0</v>
      </c>
      <c r="F46" s="57">
        <v>0</v>
      </c>
      <c r="G46" s="57">
        <v>0</v>
      </c>
      <c r="H46" s="57">
        <v>0</v>
      </c>
      <c r="I46" s="57">
        <v>0</v>
      </c>
      <c r="J46" s="56">
        <v>0</v>
      </c>
      <c r="K46" s="56">
        <v>0</v>
      </c>
      <c r="L46" s="56">
        <v>0</v>
      </c>
      <c r="M46" s="56">
        <v>0</v>
      </c>
      <c r="N46" s="56">
        <v>0</v>
      </c>
      <c r="O46" s="56">
        <v>295185</v>
      </c>
      <c r="P46" s="56">
        <v>305177</v>
      </c>
      <c r="Q46" s="56">
        <v>574575.22147999995</v>
      </c>
      <c r="R46" s="56">
        <v>367</v>
      </c>
      <c r="S46" s="56">
        <v>142030</v>
      </c>
      <c r="T46" s="56">
        <v>142030</v>
      </c>
      <c r="U46" s="56">
        <v>142030</v>
      </c>
      <c r="V46" s="56">
        <v>0</v>
      </c>
      <c r="W46" s="56">
        <v>0</v>
      </c>
      <c r="X46" s="56">
        <v>0</v>
      </c>
      <c r="Y46" s="2"/>
      <c r="Z46" s="56">
        <f t="shared" ref="Z46:Z53" si="50">F46</f>
        <v>0</v>
      </c>
      <c r="AA46" s="56">
        <f t="shared" ref="AA46:AC53" si="51">G46-F46</f>
        <v>0</v>
      </c>
      <c r="AB46" s="56">
        <f t="shared" si="51"/>
        <v>0</v>
      </c>
      <c r="AC46" s="56">
        <f t="shared" si="51"/>
        <v>0</v>
      </c>
      <c r="AD46" s="56">
        <f t="shared" ref="AD46:AD53" si="52">J46</f>
        <v>0</v>
      </c>
      <c r="AE46" s="56">
        <f t="shared" ref="AE46:AG53" si="53">K46-J46</f>
        <v>0</v>
      </c>
      <c r="AF46" s="56">
        <f t="shared" si="53"/>
        <v>0</v>
      </c>
      <c r="AG46" s="56">
        <f t="shared" si="53"/>
        <v>0</v>
      </c>
      <c r="AH46" s="56">
        <f t="shared" ref="AH46:AH53" si="54">N46</f>
        <v>0</v>
      </c>
      <c r="AI46" s="56">
        <f t="shared" ref="AI46:AK48" si="55">O46-N46</f>
        <v>295185</v>
      </c>
      <c r="AJ46" s="56">
        <f t="shared" si="55"/>
        <v>9992</v>
      </c>
      <c r="AK46" s="56">
        <f t="shared" si="55"/>
        <v>269398.22147999995</v>
      </c>
      <c r="AL46" s="56">
        <f t="shared" ref="AL46:AL53" si="56">R46</f>
        <v>367</v>
      </c>
      <c r="AM46" s="56">
        <f t="shared" ref="AM46:AM53" si="57">S46-R46</f>
        <v>141663</v>
      </c>
      <c r="AN46" s="56">
        <v>-197864</v>
      </c>
      <c r="AO46" s="56">
        <f t="shared" si="44"/>
        <v>0</v>
      </c>
      <c r="AP46" s="56">
        <f t="shared" si="45"/>
        <v>0</v>
      </c>
      <c r="AQ46" s="56">
        <f t="shared" si="46"/>
        <v>0</v>
      </c>
      <c r="AR46" s="2"/>
      <c r="AS46" s="56">
        <f t="shared" si="47"/>
        <v>0</v>
      </c>
      <c r="AT46" s="56">
        <v>0</v>
      </c>
      <c r="AU46" s="56">
        <v>0</v>
      </c>
      <c r="AV46" s="56">
        <f t="shared" si="48"/>
        <v>574575.22147999995</v>
      </c>
      <c r="AW46" s="56">
        <f t="shared" si="49"/>
        <v>-432545.22147999995</v>
      </c>
    </row>
    <row r="47" spans="2:49" ht="16.649999999999999" customHeight="1" x14ac:dyDescent="0.35">
      <c r="B47" s="22" t="s">
        <v>154</v>
      </c>
      <c r="C47" s="56">
        <v>-15465</v>
      </c>
      <c r="D47" s="56">
        <v>-42862</v>
      </c>
      <c r="E47" s="56">
        <v>-65408.434077149999</v>
      </c>
      <c r="F47" s="56">
        <v>-17131</v>
      </c>
      <c r="G47" s="56">
        <v>-36971</v>
      </c>
      <c r="H47" s="56">
        <v>-55060</v>
      </c>
      <c r="I47" s="56">
        <v>-72259</v>
      </c>
      <c r="J47" s="56">
        <v>-751</v>
      </c>
      <c r="K47" s="56">
        <v>-874</v>
      </c>
      <c r="L47" s="56">
        <v>-918</v>
      </c>
      <c r="M47" s="56">
        <v>-1499</v>
      </c>
      <c r="N47" s="56">
        <v>-58</v>
      </c>
      <c r="O47" s="56">
        <v>29030</v>
      </c>
      <c r="P47" s="56">
        <v>95926</v>
      </c>
      <c r="Q47" s="56">
        <v>21621</v>
      </c>
      <c r="R47" s="56">
        <v>-15995</v>
      </c>
      <c r="S47" s="56">
        <v>-15995</v>
      </c>
      <c r="T47" s="56">
        <v>-15995</v>
      </c>
      <c r="U47" s="56">
        <v>-15995</v>
      </c>
      <c r="V47" s="56">
        <v>0</v>
      </c>
      <c r="W47" s="56">
        <v>0</v>
      </c>
      <c r="X47" s="56">
        <v>0</v>
      </c>
      <c r="Y47" s="2"/>
      <c r="Z47" s="56">
        <f t="shared" si="50"/>
        <v>-17131</v>
      </c>
      <c r="AA47" s="56">
        <f t="shared" si="51"/>
        <v>-19840</v>
      </c>
      <c r="AB47" s="56">
        <f t="shared" si="51"/>
        <v>-18089</v>
      </c>
      <c r="AC47" s="56">
        <f t="shared" si="51"/>
        <v>-17199</v>
      </c>
      <c r="AD47" s="56">
        <f t="shared" si="52"/>
        <v>-751</v>
      </c>
      <c r="AE47" s="56">
        <f t="shared" si="53"/>
        <v>-123</v>
      </c>
      <c r="AF47" s="56">
        <f t="shared" si="53"/>
        <v>-44</v>
      </c>
      <c r="AG47" s="56">
        <f t="shared" si="53"/>
        <v>-581</v>
      </c>
      <c r="AH47" s="56">
        <f t="shared" si="54"/>
        <v>-58</v>
      </c>
      <c r="AI47" s="56">
        <f t="shared" si="55"/>
        <v>29088</v>
      </c>
      <c r="AJ47" s="56">
        <f t="shared" si="55"/>
        <v>66896</v>
      </c>
      <c r="AK47" s="56">
        <f t="shared" si="55"/>
        <v>-74305</v>
      </c>
      <c r="AL47" s="56">
        <f t="shared" si="56"/>
        <v>-15995</v>
      </c>
      <c r="AM47" s="56">
        <f t="shared" si="57"/>
        <v>0</v>
      </c>
      <c r="AN47" s="56">
        <v>0</v>
      </c>
      <c r="AO47" s="56">
        <f t="shared" si="44"/>
        <v>0</v>
      </c>
      <c r="AP47" s="56">
        <f t="shared" si="45"/>
        <v>0</v>
      </c>
      <c r="AQ47" s="56">
        <f t="shared" si="46"/>
        <v>0</v>
      </c>
      <c r="AR47" s="2"/>
      <c r="AS47" s="56">
        <f t="shared" si="47"/>
        <v>-22546.434077149999</v>
      </c>
      <c r="AT47" s="56">
        <f>I47-E47</f>
        <v>-6850.5659228500008</v>
      </c>
      <c r="AU47" s="56">
        <f t="shared" ref="AU47:AU53" si="58">M47-I47</f>
        <v>70760</v>
      </c>
      <c r="AV47" s="56">
        <f t="shared" si="48"/>
        <v>23120</v>
      </c>
      <c r="AW47" s="56">
        <f t="shared" si="49"/>
        <v>-37616</v>
      </c>
    </row>
    <row r="48" spans="2:49" ht="16.649999999999999" customHeight="1" x14ac:dyDescent="0.35">
      <c r="B48" s="22" t="s">
        <v>155</v>
      </c>
      <c r="C48" s="57">
        <v>0</v>
      </c>
      <c r="D48" s="57">
        <v>-3536</v>
      </c>
      <c r="E48" s="57">
        <v>-7261.8072499999998</v>
      </c>
      <c r="F48" s="57">
        <v>-1114</v>
      </c>
      <c r="G48" s="57">
        <v>-1020.54425</v>
      </c>
      <c r="H48" s="57">
        <v>-6190.7838199999997</v>
      </c>
      <c r="I48" s="57">
        <v>-4550</v>
      </c>
      <c r="J48" s="56">
        <v>-1143</v>
      </c>
      <c r="K48" s="56">
        <v>-3806</v>
      </c>
      <c r="L48" s="56">
        <v>-5164</v>
      </c>
      <c r="M48" s="56">
        <v>-7433</v>
      </c>
      <c r="N48" s="56">
        <v>0</v>
      </c>
      <c r="O48" s="56">
        <v>0</v>
      </c>
      <c r="P48" s="56">
        <v>0</v>
      </c>
      <c r="Q48" s="56">
        <v>-14811</v>
      </c>
      <c r="R48" s="56">
        <v>0</v>
      </c>
      <c r="S48" s="56">
        <v>0</v>
      </c>
      <c r="T48" s="56">
        <v>0</v>
      </c>
      <c r="U48" s="56">
        <v>-25845</v>
      </c>
      <c r="V48" s="56">
        <v>0</v>
      </c>
      <c r="W48" s="56">
        <v>0</v>
      </c>
      <c r="X48" s="56">
        <v>0</v>
      </c>
      <c r="Y48" s="2"/>
      <c r="Z48" s="56">
        <f t="shared" si="50"/>
        <v>-1114</v>
      </c>
      <c r="AA48" s="56">
        <f t="shared" si="51"/>
        <v>93.455749999999966</v>
      </c>
      <c r="AB48" s="56">
        <f t="shared" si="51"/>
        <v>-5170.2395699999997</v>
      </c>
      <c r="AC48" s="56">
        <f t="shared" si="51"/>
        <v>1640.7838199999997</v>
      </c>
      <c r="AD48" s="56">
        <f t="shared" si="52"/>
        <v>-1143</v>
      </c>
      <c r="AE48" s="56">
        <f t="shared" si="53"/>
        <v>-2663</v>
      </c>
      <c r="AF48" s="56">
        <f t="shared" si="53"/>
        <v>-1358</v>
      </c>
      <c r="AG48" s="56">
        <f t="shared" si="53"/>
        <v>-2269</v>
      </c>
      <c r="AH48" s="56">
        <f t="shared" si="54"/>
        <v>0</v>
      </c>
      <c r="AI48" s="56">
        <f t="shared" si="55"/>
        <v>0</v>
      </c>
      <c r="AJ48" s="56">
        <f t="shared" si="55"/>
        <v>0</v>
      </c>
      <c r="AK48" s="56">
        <f t="shared" si="55"/>
        <v>-14811</v>
      </c>
      <c r="AL48" s="56">
        <f t="shared" si="56"/>
        <v>0</v>
      </c>
      <c r="AM48" s="56">
        <f t="shared" si="57"/>
        <v>0</v>
      </c>
      <c r="AN48" s="56">
        <v>0</v>
      </c>
      <c r="AO48" s="56">
        <f t="shared" si="44"/>
        <v>-25845</v>
      </c>
      <c r="AP48" s="56">
        <f t="shared" si="45"/>
        <v>0</v>
      </c>
      <c r="AQ48" s="56">
        <f t="shared" si="46"/>
        <v>0</v>
      </c>
      <c r="AR48" s="2"/>
      <c r="AS48" s="56">
        <f t="shared" si="47"/>
        <v>-3725.8072499999998</v>
      </c>
      <c r="AT48" s="14"/>
      <c r="AU48" s="56">
        <f t="shared" si="58"/>
        <v>-2883</v>
      </c>
      <c r="AV48" s="56">
        <f t="shared" si="48"/>
        <v>-7378</v>
      </c>
      <c r="AW48" s="56">
        <f t="shared" si="49"/>
        <v>-11034</v>
      </c>
    </row>
    <row r="49" spans="2:49" ht="15.75" customHeight="1" x14ac:dyDescent="0.35">
      <c r="B49" s="22" t="s">
        <v>156</v>
      </c>
      <c r="C49" s="56">
        <v>-207121</v>
      </c>
      <c r="D49" s="56">
        <v>0</v>
      </c>
      <c r="E49" s="56">
        <v>0</v>
      </c>
      <c r="F49" s="56">
        <v>0</v>
      </c>
      <c r="G49" s="56">
        <v>0</v>
      </c>
      <c r="H49" s="56">
        <v>0</v>
      </c>
      <c r="I49" s="56">
        <v>0</v>
      </c>
      <c r="J49" s="56">
        <v>0</v>
      </c>
      <c r="K49" s="56">
        <v>0</v>
      </c>
      <c r="L49" s="56">
        <v>-276759.52380952402</v>
      </c>
      <c r="M49" s="56">
        <v>-276760</v>
      </c>
      <c r="N49" s="56">
        <v>0</v>
      </c>
      <c r="O49" s="56">
        <v>0</v>
      </c>
      <c r="P49" s="56">
        <v>0</v>
      </c>
      <c r="Q49" s="56">
        <v>0</v>
      </c>
      <c r="R49" s="56">
        <v>11096</v>
      </c>
      <c r="S49" s="56">
        <v>0</v>
      </c>
      <c r="T49" s="56">
        <v>-5953</v>
      </c>
      <c r="U49" s="56">
        <v>0</v>
      </c>
      <c r="V49" s="56">
        <v>0</v>
      </c>
      <c r="W49" s="56">
        <v>0</v>
      </c>
      <c r="X49" s="56">
        <v>0</v>
      </c>
      <c r="Y49" s="2"/>
      <c r="Z49" s="56">
        <f t="shared" si="50"/>
        <v>0</v>
      </c>
      <c r="AA49" s="56">
        <f t="shared" si="51"/>
        <v>0</v>
      </c>
      <c r="AB49" s="56">
        <f t="shared" si="51"/>
        <v>0</v>
      </c>
      <c r="AC49" s="56">
        <f t="shared" si="51"/>
        <v>0</v>
      </c>
      <c r="AD49" s="56">
        <f t="shared" si="52"/>
        <v>0</v>
      </c>
      <c r="AE49" s="56">
        <f t="shared" si="53"/>
        <v>0</v>
      </c>
      <c r="AF49" s="56">
        <f t="shared" si="53"/>
        <v>-276759.52380952402</v>
      </c>
      <c r="AG49" s="56">
        <f t="shared" si="53"/>
        <v>-0.47619047597981989</v>
      </c>
      <c r="AH49" s="56">
        <f t="shared" si="54"/>
        <v>0</v>
      </c>
      <c r="AI49" s="56">
        <f t="shared" ref="AI49:AJ53" si="59">O49-N49</f>
        <v>0</v>
      </c>
      <c r="AJ49" s="56">
        <f t="shared" si="59"/>
        <v>0</v>
      </c>
      <c r="AK49" s="56">
        <f>R49-Q49</f>
        <v>11096</v>
      </c>
      <c r="AL49" s="56">
        <f t="shared" si="56"/>
        <v>11096</v>
      </c>
      <c r="AM49" s="56">
        <f t="shared" si="57"/>
        <v>-11096</v>
      </c>
      <c r="AN49" s="56">
        <v>0</v>
      </c>
      <c r="AO49" s="56">
        <f t="shared" si="44"/>
        <v>5953</v>
      </c>
      <c r="AP49" s="56">
        <f t="shared" si="45"/>
        <v>0</v>
      </c>
      <c r="AQ49" s="56">
        <f t="shared" si="46"/>
        <v>0</v>
      </c>
      <c r="AR49" s="7"/>
      <c r="AS49" s="56">
        <f t="shared" si="47"/>
        <v>0</v>
      </c>
      <c r="AT49" s="56">
        <f>I49-E49</f>
        <v>0</v>
      </c>
      <c r="AU49" s="56">
        <f t="shared" si="58"/>
        <v>-276760</v>
      </c>
      <c r="AV49" s="56">
        <f t="shared" si="48"/>
        <v>276760</v>
      </c>
      <c r="AW49" s="56">
        <f t="shared" si="49"/>
        <v>0</v>
      </c>
    </row>
    <row r="50" spans="2:49" ht="15.75" customHeight="1" x14ac:dyDescent="0.35">
      <c r="B50" s="22" t="s">
        <v>157</v>
      </c>
      <c r="C50" s="56">
        <v>-12252</v>
      </c>
      <c r="D50" s="56">
        <v>192617</v>
      </c>
      <c r="E50" s="56">
        <v>-62772.035000000003</v>
      </c>
      <c r="F50" s="56">
        <v>79545</v>
      </c>
      <c r="G50" s="56">
        <v>79505</v>
      </c>
      <c r="H50" s="56">
        <v>-2697772</v>
      </c>
      <c r="I50" s="56">
        <v>-3011242</v>
      </c>
      <c r="J50" s="56">
        <v>8630</v>
      </c>
      <c r="K50" s="56">
        <v>18768</v>
      </c>
      <c r="L50" s="56">
        <v>30319</v>
      </c>
      <c r="M50" s="56">
        <v>-96476</v>
      </c>
      <c r="N50" s="56">
        <v>138371</v>
      </c>
      <c r="O50" s="56">
        <v>138371</v>
      </c>
      <c r="P50" s="56">
        <v>-1459782</v>
      </c>
      <c r="Q50" s="56">
        <v>-1895651</v>
      </c>
      <c r="R50" s="56">
        <v>-19662</v>
      </c>
      <c r="S50" s="56">
        <v>26458</v>
      </c>
      <c r="T50" s="56">
        <v>2362783</v>
      </c>
      <c r="U50" s="56">
        <v>-1258023</v>
      </c>
      <c r="V50" s="56">
        <v>-296952</v>
      </c>
      <c r="W50" s="56">
        <v>42757</v>
      </c>
      <c r="X50" s="56">
        <v>-254195</v>
      </c>
      <c r="Y50" s="2"/>
      <c r="Z50" s="56">
        <f t="shared" si="50"/>
        <v>79545</v>
      </c>
      <c r="AA50" s="56">
        <f t="shared" si="51"/>
        <v>-40</v>
      </c>
      <c r="AB50" s="56">
        <f t="shared" si="51"/>
        <v>-2777277</v>
      </c>
      <c r="AC50" s="56">
        <f t="shared" si="51"/>
        <v>-313470</v>
      </c>
      <c r="AD50" s="56">
        <f t="shared" si="52"/>
        <v>8630</v>
      </c>
      <c r="AE50" s="56">
        <f t="shared" si="53"/>
        <v>10138</v>
      </c>
      <c r="AF50" s="56">
        <f t="shared" si="53"/>
        <v>11551</v>
      </c>
      <c r="AG50" s="56">
        <f t="shared" si="53"/>
        <v>-126795</v>
      </c>
      <c r="AH50" s="56">
        <f t="shared" si="54"/>
        <v>138371</v>
      </c>
      <c r="AI50" s="56">
        <f t="shared" si="59"/>
        <v>0</v>
      </c>
      <c r="AJ50" s="56">
        <f t="shared" si="59"/>
        <v>-1598153</v>
      </c>
      <c r="AK50" s="56">
        <f>Q49-P50</f>
        <v>1459782</v>
      </c>
      <c r="AL50" s="56">
        <f t="shared" si="56"/>
        <v>-19662</v>
      </c>
      <c r="AM50" s="56">
        <f t="shared" si="57"/>
        <v>46120</v>
      </c>
      <c r="AN50" s="56">
        <v>0</v>
      </c>
      <c r="AO50" s="56">
        <f t="shared" si="44"/>
        <v>-3620806</v>
      </c>
      <c r="AP50" s="56">
        <f t="shared" si="45"/>
        <v>-296952</v>
      </c>
      <c r="AQ50" s="56">
        <f t="shared" si="46"/>
        <v>42757</v>
      </c>
      <c r="AR50" s="2"/>
      <c r="AS50" s="56">
        <f t="shared" si="47"/>
        <v>-255389.035</v>
      </c>
      <c r="AT50" s="56">
        <f>I50-E50</f>
        <v>-2948469.9649999999</v>
      </c>
      <c r="AU50" s="56">
        <f t="shared" si="58"/>
        <v>2914766</v>
      </c>
      <c r="AV50" s="56">
        <f t="shared" si="48"/>
        <v>-1799175</v>
      </c>
      <c r="AW50" s="56">
        <f t="shared" si="49"/>
        <v>637628</v>
      </c>
    </row>
    <row r="51" spans="2:49" ht="15" customHeight="1" x14ac:dyDescent="0.35">
      <c r="B51" s="22" t="s">
        <v>158</v>
      </c>
      <c r="C51" s="56">
        <v>0</v>
      </c>
      <c r="D51" s="56">
        <v>0</v>
      </c>
      <c r="E51" s="56">
        <v>0</v>
      </c>
      <c r="F51" s="56">
        <v>0</v>
      </c>
      <c r="G51" s="56">
        <v>0</v>
      </c>
      <c r="H51" s="56">
        <v>0</v>
      </c>
      <c r="I51" s="56">
        <v>0</v>
      </c>
      <c r="J51" s="56">
        <v>0</v>
      </c>
      <c r="K51" s="56">
        <v>0</v>
      </c>
      <c r="L51" s="56">
        <v>0</v>
      </c>
      <c r="M51" s="56">
        <v>0</v>
      </c>
      <c r="N51" s="56">
        <v>0</v>
      </c>
      <c r="O51" s="56">
        <v>0</v>
      </c>
      <c r="P51" s="56">
        <v>0</v>
      </c>
      <c r="Q51" s="56">
        <v>522081</v>
      </c>
      <c r="R51" s="56">
        <v>1236775</v>
      </c>
      <c r="S51" s="56">
        <v>0</v>
      </c>
      <c r="T51" s="56">
        <v>0</v>
      </c>
      <c r="U51" s="56">
        <v>5182113</v>
      </c>
      <c r="V51" s="56">
        <v>720394</v>
      </c>
      <c r="W51" s="56">
        <v>287162</v>
      </c>
      <c r="X51" s="56">
        <v>1007556</v>
      </c>
      <c r="Y51" s="2"/>
      <c r="Z51" s="56">
        <f t="shared" si="50"/>
        <v>0</v>
      </c>
      <c r="AA51" s="56">
        <f t="shared" si="51"/>
        <v>0</v>
      </c>
      <c r="AB51" s="56">
        <f t="shared" si="51"/>
        <v>0</v>
      </c>
      <c r="AC51" s="56">
        <f t="shared" si="51"/>
        <v>0</v>
      </c>
      <c r="AD51" s="56">
        <f t="shared" si="52"/>
        <v>0</v>
      </c>
      <c r="AE51" s="56">
        <f t="shared" si="53"/>
        <v>0</v>
      </c>
      <c r="AF51" s="56">
        <f t="shared" si="53"/>
        <v>0</v>
      </c>
      <c r="AG51" s="56">
        <f t="shared" si="53"/>
        <v>0</v>
      </c>
      <c r="AH51" s="56">
        <f t="shared" si="54"/>
        <v>0</v>
      </c>
      <c r="AI51" s="56">
        <f t="shared" si="59"/>
        <v>0</v>
      </c>
      <c r="AJ51" s="56">
        <f t="shared" si="59"/>
        <v>0</v>
      </c>
      <c r="AK51" s="56">
        <f>Q51-P51</f>
        <v>522081</v>
      </c>
      <c r="AL51" s="56">
        <f t="shared" si="56"/>
        <v>1236775</v>
      </c>
      <c r="AM51" s="56">
        <f t="shared" si="57"/>
        <v>-1236775</v>
      </c>
      <c r="AN51" s="56">
        <v>-5953</v>
      </c>
      <c r="AO51" s="56">
        <f t="shared" si="44"/>
        <v>5182113</v>
      </c>
      <c r="AP51" s="56">
        <f t="shared" si="45"/>
        <v>720394</v>
      </c>
      <c r="AQ51" s="56">
        <f t="shared" si="46"/>
        <v>287162</v>
      </c>
      <c r="AR51" s="2"/>
      <c r="AS51" s="56">
        <f t="shared" si="47"/>
        <v>0</v>
      </c>
      <c r="AT51" s="56">
        <f>I51-E51</f>
        <v>0</v>
      </c>
      <c r="AU51" s="56">
        <f t="shared" si="58"/>
        <v>0</v>
      </c>
      <c r="AV51" s="56">
        <f t="shared" si="48"/>
        <v>522081</v>
      </c>
      <c r="AW51" s="56">
        <f t="shared" si="49"/>
        <v>4660032</v>
      </c>
    </row>
    <row r="52" spans="2:49" ht="16.649999999999999" customHeight="1" x14ac:dyDescent="0.35">
      <c r="B52" s="22" t="s">
        <v>40</v>
      </c>
      <c r="C52" s="56">
        <v>-537</v>
      </c>
      <c r="D52" s="56">
        <v>-6948</v>
      </c>
      <c r="E52" s="56">
        <v>-53355.574999999997</v>
      </c>
      <c r="F52" s="56">
        <v>-589716</v>
      </c>
      <c r="G52" s="56">
        <v>-175226</v>
      </c>
      <c r="H52" s="56">
        <v>-28066.034520000001</v>
      </c>
      <c r="I52" s="56">
        <v>46942</v>
      </c>
      <c r="J52" s="56">
        <v>-142229</v>
      </c>
      <c r="K52" s="56">
        <v>-86741</v>
      </c>
      <c r="L52" s="56">
        <v>-63776</v>
      </c>
      <c r="M52" s="56">
        <v>-371647</v>
      </c>
      <c r="N52" s="56">
        <v>41086</v>
      </c>
      <c r="O52" s="56">
        <v>-1668125</v>
      </c>
      <c r="P52" s="56">
        <v>0</v>
      </c>
      <c r="Q52" s="56">
        <v>0</v>
      </c>
      <c r="R52" s="56">
        <v>0</v>
      </c>
      <c r="S52" s="56">
        <v>1473133</v>
      </c>
      <c r="T52" s="56">
        <v>0</v>
      </c>
      <c r="U52" s="56">
        <v>0</v>
      </c>
      <c r="V52" s="56">
        <v>0</v>
      </c>
      <c r="W52" s="56">
        <v>0</v>
      </c>
      <c r="X52" s="56">
        <v>0</v>
      </c>
      <c r="Y52" s="2"/>
      <c r="Z52" s="56">
        <f t="shared" si="50"/>
        <v>-589716</v>
      </c>
      <c r="AA52" s="56">
        <f t="shared" si="51"/>
        <v>414490</v>
      </c>
      <c r="AB52" s="56">
        <f t="shared" si="51"/>
        <v>147159.96548000001</v>
      </c>
      <c r="AC52" s="56">
        <f t="shared" si="51"/>
        <v>75008.034520000001</v>
      </c>
      <c r="AD52" s="56">
        <f t="shared" si="52"/>
        <v>-142229</v>
      </c>
      <c r="AE52" s="56">
        <f t="shared" si="53"/>
        <v>55488</v>
      </c>
      <c r="AF52" s="56">
        <f t="shared" si="53"/>
        <v>22965</v>
      </c>
      <c r="AG52" s="56">
        <f t="shared" si="53"/>
        <v>-307871</v>
      </c>
      <c r="AH52" s="56">
        <f t="shared" si="54"/>
        <v>41086</v>
      </c>
      <c r="AI52" s="56">
        <f t="shared" si="59"/>
        <v>-1709211</v>
      </c>
      <c r="AJ52" s="56">
        <f t="shared" si="59"/>
        <v>1668125</v>
      </c>
      <c r="AK52" s="56">
        <f>Q52-P52</f>
        <v>0</v>
      </c>
      <c r="AL52" s="56">
        <f t="shared" si="56"/>
        <v>0</v>
      </c>
      <c r="AM52" s="56">
        <f t="shared" si="57"/>
        <v>1473133</v>
      </c>
      <c r="AN52" s="56">
        <v>2336325</v>
      </c>
      <c r="AO52" s="56">
        <f t="shared" si="44"/>
        <v>0</v>
      </c>
      <c r="AP52" s="56">
        <f t="shared" si="45"/>
        <v>0</v>
      </c>
      <c r="AQ52" s="56">
        <f t="shared" si="46"/>
        <v>0</v>
      </c>
      <c r="AR52" s="2"/>
      <c r="AS52" s="56">
        <f t="shared" si="47"/>
        <v>-46407.574999999997</v>
      </c>
      <c r="AT52" s="56">
        <f>I52-E52</f>
        <v>100297.575</v>
      </c>
      <c r="AU52" s="56">
        <f t="shared" si="58"/>
        <v>-418589</v>
      </c>
      <c r="AV52" s="56">
        <f t="shared" si="48"/>
        <v>371647</v>
      </c>
      <c r="AW52" s="56">
        <f t="shared" si="49"/>
        <v>0</v>
      </c>
    </row>
    <row r="53" spans="2:49" ht="16.649999999999999" customHeight="1" x14ac:dyDescent="0.35">
      <c r="B53" s="22" t="s">
        <v>159</v>
      </c>
      <c r="C53" s="56">
        <v>0</v>
      </c>
      <c r="D53" s="56">
        <v>0</v>
      </c>
      <c r="E53" s="56">
        <v>-9918</v>
      </c>
      <c r="F53" s="56">
        <v>0</v>
      </c>
      <c r="G53" s="56">
        <v>3659</v>
      </c>
      <c r="H53" s="56">
        <v>5165.8732200000004</v>
      </c>
      <c r="I53" s="56">
        <v>4742</v>
      </c>
      <c r="J53" s="56">
        <v>-848</v>
      </c>
      <c r="K53" s="56">
        <v>-1238</v>
      </c>
      <c r="L53" s="56">
        <v>-2301</v>
      </c>
      <c r="M53" s="56">
        <v>-2724</v>
      </c>
      <c r="N53" s="56">
        <v>213</v>
      </c>
      <c r="O53" s="56">
        <v>-10666</v>
      </c>
      <c r="P53" s="56">
        <v>0</v>
      </c>
      <c r="Q53" s="56">
        <v>0</v>
      </c>
      <c r="R53" s="56">
        <v>0</v>
      </c>
      <c r="S53" s="56">
        <v>0</v>
      </c>
      <c r="T53" s="56">
        <v>0</v>
      </c>
      <c r="U53" s="56">
        <v>0</v>
      </c>
      <c r="V53" s="56">
        <v>0</v>
      </c>
      <c r="W53" s="56">
        <v>0</v>
      </c>
      <c r="X53" s="56">
        <v>0</v>
      </c>
      <c r="Y53" s="2"/>
      <c r="Z53" s="56">
        <f t="shared" si="50"/>
        <v>0</v>
      </c>
      <c r="AA53" s="56">
        <f t="shared" si="51"/>
        <v>3659</v>
      </c>
      <c r="AB53" s="56">
        <f t="shared" si="51"/>
        <v>1506.8732200000004</v>
      </c>
      <c r="AC53" s="56">
        <f t="shared" si="51"/>
        <v>-423.8732200000004</v>
      </c>
      <c r="AD53" s="56">
        <f t="shared" si="52"/>
        <v>-848</v>
      </c>
      <c r="AE53" s="56">
        <f t="shared" si="53"/>
        <v>-390</v>
      </c>
      <c r="AF53" s="56">
        <f t="shared" si="53"/>
        <v>-1063</v>
      </c>
      <c r="AG53" s="56">
        <f t="shared" si="53"/>
        <v>-423</v>
      </c>
      <c r="AH53" s="56">
        <f t="shared" si="54"/>
        <v>213</v>
      </c>
      <c r="AI53" s="56">
        <f t="shared" si="59"/>
        <v>-10879</v>
      </c>
      <c r="AJ53" s="56">
        <f t="shared" si="59"/>
        <v>10666</v>
      </c>
      <c r="AK53" s="56">
        <f>Q53-P53</f>
        <v>0</v>
      </c>
      <c r="AL53" s="56">
        <f t="shared" si="56"/>
        <v>0</v>
      </c>
      <c r="AM53" s="56">
        <f t="shared" si="57"/>
        <v>0</v>
      </c>
      <c r="AN53" s="56">
        <v>0</v>
      </c>
      <c r="AO53" s="56">
        <f t="shared" si="44"/>
        <v>0</v>
      </c>
      <c r="AP53" s="56">
        <f t="shared" si="45"/>
        <v>0</v>
      </c>
      <c r="AQ53" s="56">
        <f t="shared" si="46"/>
        <v>0</v>
      </c>
      <c r="AR53" s="2"/>
      <c r="AS53" s="56">
        <f t="shared" si="47"/>
        <v>-9918</v>
      </c>
      <c r="AT53" s="56">
        <f>I53-E53</f>
        <v>14660</v>
      </c>
      <c r="AU53" s="56">
        <f t="shared" si="58"/>
        <v>-7466</v>
      </c>
      <c r="AV53" s="56">
        <f t="shared" si="48"/>
        <v>2724</v>
      </c>
      <c r="AW53" s="56">
        <f t="shared" si="49"/>
        <v>0</v>
      </c>
    </row>
    <row r="54" spans="2:49" ht="16.649999999999999" customHeight="1" x14ac:dyDescent="0.35">
      <c r="B54" s="22" t="s">
        <v>160</v>
      </c>
      <c r="C54" s="14"/>
      <c r="D54" s="56">
        <v>0</v>
      </c>
      <c r="E54" s="56">
        <v>0</v>
      </c>
      <c r="F54" s="56">
        <v>0</v>
      </c>
      <c r="G54" s="56">
        <v>-77</v>
      </c>
      <c r="H54" s="56">
        <v>-79</v>
      </c>
      <c r="I54" s="56">
        <v>0</v>
      </c>
      <c r="J54" s="56">
        <v>0</v>
      </c>
      <c r="K54" s="56">
        <v>0</v>
      </c>
      <c r="L54" s="56">
        <v>0</v>
      </c>
      <c r="M54" s="56">
        <v>0</v>
      </c>
      <c r="N54" s="56">
        <v>0</v>
      </c>
      <c r="O54" s="56">
        <v>0</v>
      </c>
      <c r="P54" s="56">
        <v>0</v>
      </c>
      <c r="Q54" s="56">
        <v>0</v>
      </c>
      <c r="R54" s="56">
        <v>0</v>
      </c>
      <c r="S54" s="56">
        <v>0</v>
      </c>
      <c r="T54" s="56">
        <v>0</v>
      </c>
      <c r="U54" s="56">
        <v>0</v>
      </c>
      <c r="V54" s="56">
        <v>0</v>
      </c>
      <c r="W54" s="56">
        <v>0</v>
      </c>
      <c r="X54" s="56">
        <v>0</v>
      </c>
      <c r="Y54" s="2"/>
      <c r="Z54" s="14"/>
      <c r="AA54" s="14"/>
      <c r="AB54" s="14"/>
      <c r="AC54" s="14"/>
      <c r="AD54" s="14"/>
      <c r="AE54" s="14"/>
      <c r="AF54" s="14"/>
      <c r="AG54" s="14"/>
      <c r="AH54" s="14"/>
      <c r="AI54" s="14"/>
      <c r="AJ54" s="14"/>
      <c r="AK54" s="14"/>
      <c r="AL54" s="14"/>
      <c r="AM54" s="14"/>
      <c r="AN54" s="14"/>
      <c r="AO54" s="14"/>
      <c r="AP54" s="14"/>
      <c r="AQ54" s="14"/>
      <c r="AR54" s="2"/>
      <c r="AS54" s="14"/>
      <c r="AT54" s="14"/>
      <c r="AU54" s="14"/>
      <c r="AV54" s="14"/>
      <c r="AW54" s="14"/>
    </row>
    <row r="55" spans="2:49" ht="15.75" customHeight="1" x14ac:dyDescent="0.35">
      <c r="B55" s="9" t="s">
        <v>161</v>
      </c>
      <c r="C55" s="58">
        <f>SUM(C44:C53)</f>
        <v>-344629</v>
      </c>
      <c r="D55" s="58">
        <v>-244045</v>
      </c>
      <c r="E55" s="58">
        <v>-1335063.0754199999</v>
      </c>
      <c r="F55" s="58">
        <v>-808702.13901000004</v>
      </c>
      <c r="G55" s="58">
        <v>-556845.44506497402</v>
      </c>
      <c r="H55" s="58">
        <v>-3289692.1260679201</v>
      </c>
      <c r="I55" s="58">
        <v>-3651478</v>
      </c>
      <c r="J55" s="58">
        <v>-279913</v>
      </c>
      <c r="K55" s="58">
        <v>-347185</v>
      </c>
      <c r="L55" s="58">
        <v>-714914.52380952402</v>
      </c>
      <c r="M55" s="58">
        <v>-1365874</v>
      </c>
      <c r="N55" s="58">
        <v>-102496</v>
      </c>
      <c r="O55" s="58">
        <v>-1980369</v>
      </c>
      <c r="P55" s="58">
        <v>-1949488</v>
      </c>
      <c r="Q55" s="58">
        <v>-2032513.4057199999</v>
      </c>
      <c r="R55" s="58">
        <v>549874</v>
      </c>
      <c r="S55" s="58">
        <v>1092013</v>
      </c>
      <c r="T55" s="58">
        <v>1751388</v>
      </c>
      <c r="U55" s="58">
        <v>3169766</v>
      </c>
      <c r="V55" s="58">
        <f>SUM(V44:V53)</f>
        <v>322235</v>
      </c>
      <c r="W55" s="58">
        <f>SUM(W44:W53)</f>
        <v>109482</v>
      </c>
      <c r="X55" s="58">
        <f>SUM(X44:X53)</f>
        <v>431717</v>
      </c>
      <c r="Y55" s="2"/>
      <c r="Z55" s="58">
        <f t="shared" ref="Z55:AO55" si="60">SUM(Z44:Z53)</f>
        <v>-808702.13901000004</v>
      </c>
      <c r="AA55" s="58">
        <f t="shared" si="60"/>
        <v>251933.693945026</v>
      </c>
      <c r="AB55" s="58">
        <f t="shared" si="60"/>
        <v>-2732844.6810029442</v>
      </c>
      <c r="AC55" s="58">
        <f t="shared" si="60"/>
        <v>-361864.87393208203</v>
      </c>
      <c r="AD55" s="58">
        <f t="shared" si="60"/>
        <v>-279913</v>
      </c>
      <c r="AE55" s="58">
        <f t="shared" si="60"/>
        <v>-67272</v>
      </c>
      <c r="AF55" s="58">
        <f t="shared" si="60"/>
        <v>-367729.52380952402</v>
      </c>
      <c r="AG55" s="58">
        <f t="shared" si="60"/>
        <v>-650959.47619047598</v>
      </c>
      <c r="AH55" s="58">
        <f t="shared" si="60"/>
        <v>-102496</v>
      </c>
      <c r="AI55" s="58">
        <f t="shared" si="60"/>
        <v>-1877873</v>
      </c>
      <c r="AJ55" s="58">
        <f t="shared" si="60"/>
        <v>30881</v>
      </c>
      <c r="AK55" s="58">
        <f t="shared" si="60"/>
        <v>1820924.2214799998</v>
      </c>
      <c r="AL55" s="58">
        <f t="shared" si="60"/>
        <v>495844</v>
      </c>
      <c r="AM55" s="58">
        <f t="shared" si="60"/>
        <v>596169</v>
      </c>
      <c r="AN55" s="58">
        <f t="shared" si="60"/>
        <v>2350922</v>
      </c>
      <c r="AO55" s="58">
        <f t="shared" si="60"/>
        <v>1418378</v>
      </c>
      <c r="AP55" s="58">
        <f>V55</f>
        <v>322235</v>
      </c>
      <c r="AQ55" s="58">
        <f>W55</f>
        <v>109482</v>
      </c>
      <c r="AR55" s="2"/>
      <c r="AS55" s="58">
        <f>SUM(AS44:AS53)</f>
        <v>-1091018.0754199999</v>
      </c>
      <c r="AT55" s="58">
        <f>SUM(AT44:AT53)</f>
        <v>-2319126.7318299995</v>
      </c>
      <c r="AU55" s="58">
        <f>SUM(AU44:AU53)</f>
        <v>2285604</v>
      </c>
      <c r="AV55" s="58">
        <f>SUM(AV44:AV53)</f>
        <v>-666639.40572000016</v>
      </c>
      <c r="AW55" s="58">
        <f>SUM(AW44:AW53)</f>
        <v>5202279.4057200002</v>
      </c>
    </row>
    <row r="56" spans="2:49" ht="15.75" customHeight="1" x14ac:dyDescent="0.35">
      <c r="B56" s="9" t="s">
        <v>162</v>
      </c>
      <c r="C56" s="29"/>
      <c r="D56" s="29"/>
      <c r="E56" s="29"/>
      <c r="F56" s="29"/>
      <c r="G56" s="29"/>
      <c r="H56" s="29"/>
      <c r="I56" s="29"/>
      <c r="J56" s="29"/>
      <c r="K56" s="29"/>
      <c r="L56" s="29"/>
      <c r="M56" s="29"/>
      <c r="N56" s="29"/>
      <c r="O56" s="29"/>
      <c r="P56" s="29"/>
      <c r="Q56" s="29"/>
      <c r="R56" s="29"/>
      <c r="S56" s="29"/>
      <c r="T56" s="29"/>
      <c r="U56" s="29"/>
      <c r="V56" s="29"/>
      <c r="W56" s="29"/>
      <c r="X56" s="29"/>
      <c r="Y56" s="2"/>
      <c r="Z56" s="29"/>
      <c r="AA56" s="29"/>
      <c r="AB56" s="29"/>
      <c r="AC56" s="29"/>
      <c r="AD56" s="29"/>
      <c r="AE56" s="29"/>
      <c r="AF56" s="64"/>
      <c r="AG56" s="64"/>
      <c r="AH56" s="64"/>
      <c r="AI56" s="29"/>
      <c r="AJ56" s="29"/>
      <c r="AK56" s="29"/>
      <c r="AL56" s="29"/>
      <c r="AM56" s="29"/>
      <c r="AN56" s="29"/>
      <c r="AO56" s="29"/>
      <c r="AP56" s="29"/>
      <c r="AQ56" s="29"/>
      <c r="AR56" s="2"/>
      <c r="AS56" s="29"/>
      <c r="AT56" s="29"/>
      <c r="AU56" s="29"/>
      <c r="AV56" s="29"/>
      <c r="AW56" s="29"/>
    </row>
    <row r="57" spans="2:49" ht="15.75" customHeight="1" x14ac:dyDescent="0.35">
      <c r="B57" s="22" t="s">
        <v>163</v>
      </c>
      <c r="C57" s="56">
        <v>280224</v>
      </c>
      <c r="D57" s="56">
        <v>257821</v>
      </c>
      <c r="E57" s="56">
        <v>1833282</v>
      </c>
      <c r="F57" s="56">
        <v>575453</v>
      </c>
      <c r="G57" s="56">
        <v>671185.772</v>
      </c>
      <c r="H57" s="56">
        <v>6368059.33005</v>
      </c>
      <c r="I57" s="56">
        <v>6963799</v>
      </c>
      <c r="J57" s="56">
        <v>80000</v>
      </c>
      <c r="K57" s="56">
        <v>820848</v>
      </c>
      <c r="L57" s="56">
        <v>1319440</v>
      </c>
      <c r="M57" s="56">
        <v>2627332</v>
      </c>
      <c r="N57" s="56">
        <v>1294711</v>
      </c>
      <c r="O57" s="56">
        <v>3184638</v>
      </c>
      <c r="P57" s="56">
        <v>3311587</v>
      </c>
      <c r="Q57" s="56">
        <v>4199271</v>
      </c>
      <c r="R57" s="56">
        <v>2330852</v>
      </c>
      <c r="S57" s="56">
        <v>2408825</v>
      </c>
      <c r="T57" s="56">
        <v>3696923</v>
      </c>
      <c r="U57" s="56">
        <v>7530453</v>
      </c>
      <c r="V57" s="56">
        <v>71669</v>
      </c>
      <c r="W57" s="56">
        <v>346977</v>
      </c>
      <c r="X57" s="56">
        <v>418646</v>
      </c>
      <c r="Y57" s="2"/>
      <c r="Z57" s="56">
        <f t="shared" ref="Z57:Z64" si="61">F57</f>
        <v>575453</v>
      </c>
      <c r="AA57" s="56">
        <f t="shared" ref="AA57:AC64" si="62">G57-F57</f>
        <v>95732.771999999997</v>
      </c>
      <c r="AB57" s="56">
        <f t="shared" si="62"/>
        <v>5696873.5580500001</v>
      </c>
      <c r="AC57" s="56">
        <f t="shared" si="62"/>
        <v>595739.66995000001</v>
      </c>
      <c r="AD57" s="56">
        <f t="shared" ref="AD57:AD64" si="63">J57</f>
        <v>80000</v>
      </c>
      <c r="AE57" s="56">
        <f t="shared" ref="AE57:AG64" si="64">K57-J57</f>
        <v>740848</v>
      </c>
      <c r="AF57" s="56">
        <f t="shared" si="64"/>
        <v>498592</v>
      </c>
      <c r="AG57" s="56">
        <f t="shared" si="64"/>
        <v>1307892</v>
      </c>
      <c r="AH57" s="56">
        <f t="shared" ref="AH57:AH64" si="65">N57</f>
        <v>1294711</v>
      </c>
      <c r="AI57" s="56">
        <f t="shared" ref="AI57:AK60" si="66">O57-N57</f>
        <v>1889927</v>
      </c>
      <c r="AJ57" s="56">
        <f t="shared" si="66"/>
        <v>126949</v>
      </c>
      <c r="AK57" s="56">
        <f t="shared" si="66"/>
        <v>887684</v>
      </c>
      <c r="AL57" s="56">
        <f t="shared" ref="AL57:AL64" si="67">R57</f>
        <v>2330852</v>
      </c>
      <c r="AM57" s="56">
        <f>S57-R57</f>
        <v>77973</v>
      </c>
      <c r="AN57" s="56">
        <v>0</v>
      </c>
      <c r="AO57" s="56">
        <f t="shared" ref="AO57:AO64" si="68">U57-T57</f>
        <v>3833530</v>
      </c>
      <c r="AP57" s="56">
        <f t="shared" ref="AP57:AP67" si="69">V57</f>
        <v>71669</v>
      </c>
      <c r="AQ57" s="56">
        <f t="shared" ref="AQ57:AQ67" si="70">W57</f>
        <v>346977</v>
      </c>
      <c r="AR57" s="2"/>
      <c r="AS57" s="56">
        <f t="shared" ref="AS57:AS64" si="71">E57-D57</f>
        <v>1575461</v>
      </c>
      <c r="AT57" s="56">
        <f>I57-E57</f>
        <v>5130517</v>
      </c>
      <c r="AU57" s="56">
        <f>M57-I57</f>
        <v>-4336467</v>
      </c>
      <c r="AV57" s="56">
        <f t="shared" ref="AV57:AV64" si="72">Q57-M57</f>
        <v>1571939</v>
      </c>
      <c r="AW57" s="56">
        <f t="shared" ref="AW57:AW64" si="73">U57-Q57</f>
        <v>3331182</v>
      </c>
    </row>
    <row r="58" spans="2:49" ht="15" customHeight="1" x14ac:dyDescent="0.35">
      <c r="B58" s="22" t="s">
        <v>164</v>
      </c>
      <c r="C58" s="56">
        <v>-2000</v>
      </c>
      <c r="D58" s="56">
        <v>-28581</v>
      </c>
      <c r="E58" s="56">
        <v>-68291</v>
      </c>
      <c r="F58" s="56">
        <v>-194624</v>
      </c>
      <c r="G58" s="56">
        <v>-325700.30429</v>
      </c>
      <c r="H58" s="56">
        <v>-2279823</v>
      </c>
      <c r="I58" s="56">
        <v>-2690840</v>
      </c>
      <c r="J58" s="56">
        <v>-159130</v>
      </c>
      <c r="K58" s="56">
        <v>-180340</v>
      </c>
      <c r="L58" s="56">
        <v>-194630</v>
      </c>
      <c r="M58" s="56">
        <v>-657047</v>
      </c>
      <c r="N58" s="56">
        <v>-520174</v>
      </c>
      <c r="O58" s="56">
        <v>-842938.508161376</v>
      </c>
      <c r="P58" s="56">
        <v>-1300740</v>
      </c>
      <c r="Q58" s="56">
        <v>-1589516</v>
      </c>
      <c r="R58" s="56">
        <v>-2191672</v>
      </c>
      <c r="S58" s="56">
        <v>-3720180</v>
      </c>
      <c r="T58" s="56">
        <v>-5413804</v>
      </c>
      <c r="U58" s="56">
        <v>-9159939</v>
      </c>
      <c r="V58" s="56">
        <v>-259144</v>
      </c>
      <c r="W58" s="56">
        <v>-283019</v>
      </c>
      <c r="X58" s="56">
        <v>-542163</v>
      </c>
      <c r="Y58" s="2"/>
      <c r="Z58" s="56">
        <f t="shared" si="61"/>
        <v>-194624</v>
      </c>
      <c r="AA58" s="56">
        <f t="shared" si="62"/>
        <v>-131076.30429</v>
      </c>
      <c r="AB58" s="56">
        <f t="shared" si="62"/>
        <v>-1954122.6957100001</v>
      </c>
      <c r="AC58" s="56">
        <f t="shared" si="62"/>
        <v>-411017</v>
      </c>
      <c r="AD58" s="56">
        <f t="shared" si="63"/>
        <v>-159130</v>
      </c>
      <c r="AE58" s="56">
        <f t="shared" si="64"/>
        <v>-21210</v>
      </c>
      <c r="AF58" s="56">
        <f t="shared" si="64"/>
        <v>-14290</v>
      </c>
      <c r="AG58" s="56">
        <f t="shared" si="64"/>
        <v>-462417</v>
      </c>
      <c r="AH58" s="56">
        <f t="shared" si="65"/>
        <v>-520174</v>
      </c>
      <c r="AI58" s="56">
        <f t="shared" si="66"/>
        <v>-322764.508161376</v>
      </c>
      <c r="AJ58" s="56">
        <f t="shared" si="66"/>
        <v>-457801.491838624</v>
      </c>
      <c r="AK58" s="56">
        <f t="shared" si="66"/>
        <v>-288776</v>
      </c>
      <c r="AL58" s="56">
        <f t="shared" si="67"/>
        <v>-2191672</v>
      </c>
      <c r="AM58" s="56">
        <f>S58-R58</f>
        <v>-1528508</v>
      </c>
      <c r="AN58" s="56">
        <v>659375</v>
      </c>
      <c r="AO58" s="56">
        <f t="shared" si="68"/>
        <v>-3746135</v>
      </c>
      <c r="AP58" s="56">
        <f t="shared" si="69"/>
        <v>-259144</v>
      </c>
      <c r="AQ58" s="56">
        <f t="shared" si="70"/>
        <v>-283019</v>
      </c>
      <c r="AR58" s="2"/>
      <c r="AS58" s="56">
        <f t="shared" si="71"/>
        <v>-39710</v>
      </c>
      <c r="AT58" s="56">
        <f>I58-E58</f>
        <v>-2622549</v>
      </c>
      <c r="AU58" s="56">
        <f>M58-I58</f>
        <v>2033793</v>
      </c>
      <c r="AV58" s="56">
        <f t="shared" si="72"/>
        <v>-932469</v>
      </c>
      <c r="AW58" s="56">
        <f t="shared" si="73"/>
        <v>-7570423</v>
      </c>
    </row>
    <row r="59" spans="2:49" ht="15" customHeight="1" x14ac:dyDescent="0.35">
      <c r="B59" s="22" t="s">
        <v>165</v>
      </c>
      <c r="C59" s="56">
        <v>0</v>
      </c>
      <c r="D59" s="56">
        <v>0</v>
      </c>
      <c r="E59" s="56">
        <v>0</v>
      </c>
      <c r="F59" s="56">
        <v>0</v>
      </c>
      <c r="G59" s="56">
        <v>0</v>
      </c>
      <c r="H59" s="56">
        <v>0</v>
      </c>
      <c r="I59" s="56">
        <v>0</v>
      </c>
      <c r="J59" s="56">
        <v>0</v>
      </c>
      <c r="K59" s="56">
        <v>0</v>
      </c>
      <c r="L59" s="56">
        <v>0</v>
      </c>
      <c r="M59" s="56">
        <v>0</v>
      </c>
      <c r="N59" s="56">
        <v>0</v>
      </c>
      <c r="O59" s="56">
        <v>0</v>
      </c>
      <c r="P59" s="56">
        <v>0</v>
      </c>
      <c r="Q59" s="56">
        <v>0</v>
      </c>
      <c r="R59" s="56">
        <v>-521391</v>
      </c>
      <c r="S59" s="56">
        <v>0</v>
      </c>
      <c r="T59" s="56">
        <v>0</v>
      </c>
      <c r="U59" s="56">
        <v>0</v>
      </c>
      <c r="V59" s="56">
        <v>0</v>
      </c>
      <c r="W59" s="56">
        <v>0</v>
      </c>
      <c r="X59" s="56">
        <v>0</v>
      </c>
      <c r="Y59" s="2"/>
      <c r="Z59" s="56">
        <f t="shared" si="61"/>
        <v>0</v>
      </c>
      <c r="AA59" s="56">
        <f t="shared" si="62"/>
        <v>0</v>
      </c>
      <c r="AB59" s="56">
        <f t="shared" si="62"/>
        <v>0</v>
      </c>
      <c r="AC59" s="56">
        <f t="shared" si="62"/>
        <v>0</v>
      </c>
      <c r="AD59" s="56">
        <f t="shared" si="63"/>
        <v>0</v>
      </c>
      <c r="AE59" s="56">
        <f t="shared" si="64"/>
        <v>0</v>
      </c>
      <c r="AF59" s="56">
        <f t="shared" si="64"/>
        <v>0</v>
      </c>
      <c r="AG59" s="56">
        <f t="shared" si="64"/>
        <v>0</v>
      </c>
      <c r="AH59" s="56">
        <f t="shared" si="65"/>
        <v>0</v>
      </c>
      <c r="AI59" s="56">
        <f t="shared" si="66"/>
        <v>0</v>
      </c>
      <c r="AJ59" s="56">
        <f t="shared" si="66"/>
        <v>0</v>
      </c>
      <c r="AK59" s="56">
        <f t="shared" si="66"/>
        <v>0</v>
      </c>
      <c r="AL59" s="56">
        <f t="shared" si="67"/>
        <v>-521391</v>
      </c>
      <c r="AM59" s="56">
        <f>S59-R59</f>
        <v>521391</v>
      </c>
      <c r="AN59" s="56">
        <v>0</v>
      </c>
      <c r="AO59" s="56">
        <f t="shared" si="68"/>
        <v>0</v>
      </c>
      <c r="AP59" s="56">
        <f t="shared" si="69"/>
        <v>0</v>
      </c>
      <c r="AQ59" s="56">
        <f t="shared" si="70"/>
        <v>0</v>
      </c>
      <c r="AR59" s="2"/>
      <c r="AS59" s="56">
        <f t="shared" si="71"/>
        <v>0</v>
      </c>
      <c r="AT59" s="56">
        <f>I59-E59</f>
        <v>0</v>
      </c>
      <c r="AU59" s="56">
        <f>M59-I59</f>
        <v>0</v>
      </c>
      <c r="AV59" s="56">
        <f t="shared" si="72"/>
        <v>0</v>
      </c>
      <c r="AW59" s="56">
        <f t="shared" si="73"/>
        <v>0</v>
      </c>
    </row>
    <row r="60" spans="2:49" ht="15" customHeight="1" x14ac:dyDescent="0.35">
      <c r="B60" s="22" t="s">
        <v>166</v>
      </c>
      <c r="C60" s="56">
        <v>0</v>
      </c>
      <c r="D60" s="56">
        <v>-16031</v>
      </c>
      <c r="E60" s="56">
        <v>-31318</v>
      </c>
      <c r="F60" s="56">
        <v>0</v>
      </c>
      <c r="G60" s="56">
        <v>0</v>
      </c>
      <c r="H60" s="56">
        <v>0</v>
      </c>
      <c r="I60" s="56">
        <v>0</v>
      </c>
      <c r="J60" s="56">
        <v>-254275</v>
      </c>
      <c r="K60" s="56">
        <v>-513720</v>
      </c>
      <c r="L60" s="56">
        <v>-856023</v>
      </c>
      <c r="M60" s="56">
        <v>-1143720</v>
      </c>
      <c r="N60" s="56">
        <v>-377500</v>
      </c>
      <c r="O60" s="56">
        <v>-702500</v>
      </c>
      <c r="P60" s="56">
        <v>-712900</v>
      </c>
      <c r="Q60" s="56">
        <v>-712900</v>
      </c>
      <c r="R60" s="56">
        <v>-645384</v>
      </c>
      <c r="S60" s="56">
        <v>-645384</v>
      </c>
      <c r="T60" s="56">
        <v>-665909</v>
      </c>
      <c r="U60" s="56">
        <v>-665909</v>
      </c>
      <c r="V60" s="56">
        <v>0</v>
      </c>
      <c r="W60" s="56">
        <v>0</v>
      </c>
      <c r="X60" s="56">
        <v>0</v>
      </c>
      <c r="Y60" s="2"/>
      <c r="Z60" s="56">
        <f t="shared" si="61"/>
        <v>0</v>
      </c>
      <c r="AA60" s="56">
        <f t="shared" si="62"/>
        <v>0</v>
      </c>
      <c r="AB60" s="56">
        <f t="shared" si="62"/>
        <v>0</v>
      </c>
      <c r="AC60" s="56">
        <f t="shared" si="62"/>
        <v>0</v>
      </c>
      <c r="AD60" s="56">
        <f t="shared" si="63"/>
        <v>-254275</v>
      </c>
      <c r="AE60" s="56">
        <f t="shared" si="64"/>
        <v>-259445</v>
      </c>
      <c r="AF60" s="56">
        <f t="shared" si="64"/>
        <v>-342303</v>
      </c>
      <c r="AG60" s="56">
        <f t="shared" si="64"/>
        <v>-287697</v>
      </c>
      <c r="AH60" s="56">
        <f t="shared" si="65"/>
        <v>-377500</v>
      </c>
      <c r="AI60" s="56">
        <f t="shared" si="66"/>
        <v>-325000</v>
      </c>
      <c r="AJ60" s="56">
        <f t="shared" si="66"/>
        <v>-10400</v>
      </c>
      <c r="AK60" s="56">
        <f t="shared" si="66"/>
        <v>0</v>
      </c>
      <c r="AL60" s="56">
        <f t="shared" si="67"/>
        <v>-645384</v>
      </c>
      <c r="AM60" s="56">
        <f>S60-R60</f>
        <v>0</v>
      </c>
      <c r="AN60" s="56">
        <v>1288098</v>
      </c>
      <c r="AO60" s="56">
        <f t="shared" si="68"/>
        <v>0</v>
      </c>
      <c r="AP60" s="56">
        <f t="shared" si="69"/>
        <v>0</v>
      </c>
      <c r="AQ60" s="56">
        <f t="shared" si="70"/>
        <v>0</v>
      </c>
      <c r="AR60" s="2"/>
      <c r="AS60" s="56">
        <f t="shared" si="71"/>
        <v>-15287</v>
      </c>
      <c r="AT60" s="56">
        <f>I60-E60</f>
        <v>31318</v>
      </c>
      <c r="AU60" s="56">
        <f>M60-I60</f>
        <v>-1143720</v>
      </c>
      <c r="AV60" s="56">
        <f t="shared" si="72"/>
        <v>430820</v>
      </c>
      <c r="AW60" s="56">
        <f t="shared" si="73"/>
        <v>46991</v>
      </c>
    </row>
    <row r="61" spans="2:49" ht="15" customHeight="1" x14ac:dyDescent="0.35">
      <c r="B61" s="22" t="s">
        <v>167</v>
      </c>
      <c r="C61" s="56">
        <v>35368</v>
      </c>
      <c r="D61" s="56">
        <v>0</v>
      </c>
      <c r="E61" s="56">
        <v>0</v>
      </c>
      <c r="F61" s="56">
        <v>-693</v>
      </c>
      <c r="G61" s="56">
        <v>-693</v>
      </c>
      <c r="H61" s="56">
        <v>-4193</v>
      </c>
      <c r="I61" s="56">
        <v>-4725</v>
      </c>
      <c r="J61" s="56">
        <v>-893</v>
      </c>
      <c r="K61" s="56">
        <v>-2538</v>
      </c>
      <c r="L61" s="56">
        <v>-5061</v>
      </c>
      <c r="M61" s="56">
        <v>-14729</v>
      </c>
      <c r="N61" s="56">
        <v>-11519</v>
      </c>
      <c r="O61" s="56">
        <v>-12389</v>
      </c>
      <c r="P61" s="56">
        <v>-16836</v>
      </c>
      <c r="Q61" s="56">
        <v>-22418</v>
      </c>
      <c r="R61" s="56">
        <v>-19262</v>
      </c>
      <c r="S61" s="56">
        <v>-43404</v>
      </c>
      <c r="T61" s="56">
        <v>-62299</v>
      </c>
      <c r="U61" s="56">
        <v>-96727</v>
      </c>
      <c r="V61" s="56">
        <v>-11587</v>
      </c>
      <c r="W61" s="56">
        <v>-10618</v>
      </c>
      <c r="X61" s="56">
        <v>-22205</v>
      </c>
      <c r="Y61" s="2"/>
      <c r="Z61" s="56">
        <f t="shared" si="61"/>
        <v>-693</v>
      </c>
      <c r="AA61" s="56">
        <f t="shared" si="62"/>
        <v>0</v>
      </c>
      <c r="AB61" s="56">
        <f t="shared" si="62"/>
        <v>-3500</v>
      </c>
      <c r="AC61" s="56">
        <f t="shared" si="62"/>
        <v>-532</v>
      </c>
      <c r="AD61" s="56">
        <f t="shared" si="63"/>
        <v>-893</v>
      </c>
      <c r="AE61" s="56">
        <f t="shared" si="64"/>
        <v>-1645</v>
      </c>
      <c r="AF61" s="56">
        <f t="shared" si="64"/>
        <v>-2523</v>
      </c>
      <c r="AG61" s="56">
        <f t="shared" si="64"/>
        <v>-9668</v>
      </c>
      <c r="AH61" s="56">
        <f t="shared" si="65"/>
        <v>-11519</v>
      </c>
      <c r="AI61" s="56">
        <f>O61-AH61</f>
        <v>-870</v>
      </c>
      <c r="AJ61" s="56">
        <f t="shared" ref="AJ61:AK64" si="74">P61-O61</f>
        <v>-4447</v>
      </c>
      <c r="AK61" s="56">
        <f t="shared" si="74"/>
        <v>-5582</v>
      </c>
      <c r="AL61" s="56">
        <f t="shared" si="67"/>
        <v>-19262</v>
      </c>
      <c r="AM61" s="56">
        <f>S61-AL61</f>
        <v>-24142</v>
      </c>
      <c r="AN61" s="56">
        <v>-1693624</v>
      </c>
      <c r="AO61" s="56">
        <f t="shared" si="68"/>
        <v>-34428</v>
      </c>
      <c r="AP61" s="56">
        <f t="shared" si="69"/>
        <v>-11587</v>
      </c>
      <c r="AQ61" s="56">
        <f t="shared" si="70"/>
        <v>-10618</v>
      </c>
      <c r="AR61" s="2"/>
      <c r="AS61" s="56">
        <f t="shared" si="71"/>
        <v>0</v>
      </c>
      <c r="AT61" s="56">
        <f>I61-E61</f>
        <v>-4725</v>
      </c>
      <c r="AU61" s="56">
        <f>M61-I61</f>
        <v>-10004</v>
      </c>
      <c r="AV61" s="56">
        <f t="shared" si="72"/>
        <v>-7689</v>
      </c>
      <c r="AW61" s="56">
        <f t="shared" si="73"/>
        <v>-74309</v>
      </c>
    </row>
    <row r="62" spans="2:49" ht="15" customHeight="1" x14ac:dyDescent="0.35">
      <c r="B62" s="22" t="s">
        <v>168</v>
      </c>
      <c r="C62" s="56">
        <v>5026</v>
      </c>
      <c r="D62" s="56">
        <v>0</v>
      </c>
      <c r="E62" s="56">
        <v>0</v>
      </c>
      <c r="F62" s="56">
        <v>0</v>
      </c>
      <c r="G62" s="56">
        <v>0</v>
      </c>
      <c r="H62" s="56">
        <v>4504</v>
      </c>
      <c r="I62" s="56">
        <v>4425</v>
      </c>
      <c r="J62" s="56">
        <v>0</v>
      </c>
      <c r="K62" s="56">
        <v>0</v>
      </c>
      <c r="L62" s="56">
        <v>0</v>
      </c>
      <c r="M62" s="56">
        <v>0</v>
      </c>
      <c r="N62" s="56">
        <v>37</v>
      </c>
      <c r="O62" s="56">
        <v>194.93987730238601</v>
      </c>
      <c r="P62" s="56">
        <v>4731</v>
      </c>
      <c r="Q62" s="56">
        <v>4731</v>
      </c>
      <c r="R62" s="56">
        <v>47</v>
      </c>
      <c r="S62" s="56">
        <v>47</v>
      </c>
      <c r="T62" s="56">
        <v>46</v>
      </c>
      <c r="U62" s="56">
        <v>46</v>
      </c>
      <c r="V62" s="56">
        <v>0</v>
      </c>
      <c r="W62" s="56">
        <v>0</v>
      </c>
      <c r="X62" s="56">
        <v>0</v>
      </c>
      <c r="Y62" s="2"/>
      <c r="Z62" s="56">
        <f t="shared" si="61"/>
        <v>0</v>
      </c>
      <c r="AA62" s="56">
        <f t="shared" si="62"/>
        <v>0</v>
      </c>
      <c r="AB62" s="56">
        <f t="shared" si="62"/>
        <v>4504</v>
      </c>
      <c r="AC62" s="56">
        <f t="shared" si="62"/>
        <v>-79</v>
      </c>
      <c r="AD62" s="56">
        <f t="shared" si="63"/>
        <v>0</v>
      </c>
      <c r="AE62" s="56">
        <f t="shared" si="64"/>
        <v>0</v>
      </c>
      <c r="AF62" s="56">
        <f t="shared" si="64"/>
        <v>0</v>
      </c>
      <c r="AG62" s="56">
        <f t="shared" si="64"/>
        <v>0</v>
      </c>
      <c r="AH62" s="56">
        <f t="shared" si="65"/>
        <v>37</v>
      </c>
      <c r="AI62" s="56">
        <f>O62-AH62</f>
        <v>157.93987730238601</v>
      </c>
      <c r="AJ62" s="56">
        <f t="shared" si="74"/>
        <v>4536.0601226976141</v>
      </c>
      <c r="AK62" s="56">
        <f t="shared" si="74"/>
        <v>0</v>
      </c>
      <c r="AL62" s="56">
        <f t="shared" si="67"/>
        <v>47</v>
      </c>
      <c r="AM62" s="56">
        <f>S62-AL62</f>
        <v>0</v>
      </c>
      <c r="AN62" s="56">
        <v>0</v>
      </c>
      <c r="AO62" s="56">
        <f t="shared" si="68"/>
        <v>0</v>
      </c>
      <c r="AP62" s="56">
        <f t="shared" si="69"/>
        <v>0</v>
      </c>
      <c r="AQ62" s="56">
        <f t="shared" si="70"/>
        <v>0</v>
      </c>
      <c r="AR62" s="2"/>
      <c r="AS62" s="56">
        <f t="shared" si="71"/>
        <v>0</v>
      </c>
      <c r="AT62" s="14"/>
      <c r="AU62" s="14"/>
      <c r="AV62" s="56">
        <f t="shared" si="72"/>
        <v>4731</v>
      </c>
      <c r="AW62" s="56">
        <f t="shared" si="73"/>
        <v>-4685</v>
      </c>
    </row>
    <row r="63" spans="2:49" ht="15.75" customHeight="1" x14ac:dyDescent="0.35">
      <c r="B63" s="22" t="s">
        <v>169</v>
      </c>
      <c r="C63" s="56">
        <v>22660</v>
      </c>
      <c r="D63" s="56">
        <v>0</v>
      </c>
      <c r="E63" s="56">
        <v>0</v>
      </c>
      <c r="F63" s="56">
        <v>1273</v>
      </c>
      <c r="G63" s="56">
        <v>0</v>
      </c>
      <c r="H63" s="56">
        <v>-1314.50325</v>
      </c>
      <c r="I63" s="56">
        <v>-1410</v>
      </c>
      <c r="J63" s="56">
        <v>-37758</v>
      </c>
      <c r="K63" s="56">
        <v>98</v>
      </c>
      <c r="L63" s="56">
        <v>-82461</v>
      </c>
      <c r="M63" s="56">
        <v>-103236</v>
      </c>
      <c r="N63" s="56">
        <v>-272182</v>
      </c>
      <c r="O63" s="56">
        <v>-286488</v>
      </c>
      <c r="P63" s="56">
        <v>-521961</v>
      </c>
      <c r="Q63" s="56">
        <v>-529481</v>
      </c>
      <c r="R63" s="56">
        <v>-251659</v>
      </c>
      <c r="S63" s="56">
        <v>-251701</v>
      </c>
      <c r="T63" s="56">
        <v>-486181</v>
      </c>
      <c r="U63" s="56">
        <v>-519092</v>
      </c>
      <c r="V63" s="56">
        <v>-51220</v>
      </c>
      <c r="W63" s="56">
        <v>15935</v>
      </c>
      <c r="X63" s="56">
        <v>-35285</v>
      </c>
      <c r="Y63" s="2"/>
      <c r="Z63" s="56">
        <f t="shared" si="61"/>
        <v>1273</v>
      </c>
      <c r="AA63" s="56">
        <f t="shared" si="62"/>
        <v>-1273</v>
      </c>
      <c r="AB63" s="56">
        <f t="shared" si="62"/>
        <v>-1314.50325</v>
      </c>
      <c r="AC63" s="56">
        <f t="shared" si="62"/>
        <v>-95.49675000000002</v>
      </c>
      <c r="AD63" s="56">
        <f t="shared" si="63"/>
        <v>-37758</v>
      </c>
      <c r="AE63" s="56">
        <f t="shared" si="64"/>
        <v>37856</v>
      </c>
      <c r="AF63" s="56">
        <f t="shared" si="64"/>
        <v>-82559</v>
      </c>
      <c r="AG63" s="56">
        <f t="shared" si="64"/>
        <v>-20775</v>
      </c>
      <c r="AH63" s="56">
        <f t="shared" si="65"/>
        <v>-272182</v>
      </c>
      <c r="AI63" s="56">
        <f>O63-N63</f>
        <v>-14306</v>
      </c>
      <c r="AJ63" s="56">
        <f t="shared" si="74"/>
        <v>-235473</v>
      </c>
      <c r="AK63" s="56">
        <f t="shared" si="74"/>
        <v>-7520</v>
      </c>
      <c r="AL63" s="56">
        <f t="shared" si="67"/>
        <v>-251659</v>
      </c>
      <c r="AM63" s="56">
        <f>S63-R63</f>
        <v>-42</v>
      </c>
      <c r="AN63" s="56">
        <v>-20525</v>
      </c>
      <c r="AO63" s="56">
        <f t="shared" si="68"/>
        <v>-32911</v>
      </c>
      <c r="AP63" s="56">
        <f t="shared" si="69"/>
        <v>-51220</v>
      </c>
      <c r="AQ63" s="56">
        <f t="shared" si="70"/>
        <v>15935</v>
      </c>
      <c r="AR63" s="2"/>
      <c r="AS63" s="56">
        <f t="shared" si="71"/>
        <v>0</v>
      </c>
      <c r="AT63" s="56">
        <f>I63-E63</f>
        <v>-1410</v>
      </c>
      <c r="AU63" s="56">
        <f>M63-I63</f>
        <v>-101826</v>
      </c>
      <c r="AV63" s="56">
        <f t="shared" si="72"/>
        <v>-426245</v>
      </c>
      <c r="AW63" s="56">
        <f t="shared" si="73"/>
        <v>10389</v>
      </c>
    </row>
    <row r="64" spans="2:49" ht="15" customHeight="1" x14ac:dyDescent="0.35">
      <c r="B64" s="22" t="s">
        <v>170</v>
      </c>
      <c r="C64" s="56">
        <v>0</v>
      </c>
      <c r="D64" s="56">
        <v>-39591</v>
      </c>
      <c r="E64" s="56">
        <v>-63602.681969999998</v>
      </c>
      <c r="F64" s="56">
        <v>0</v>
      </c>
      <c r="G64" s="56">
        <v>0</v>
      </c>
      <c r="H64" s="56">
        <v>-47586</v>
      </c>
      <c r="I64" s="56">
        <v>-48560</v>
      </c>
      <c r="J64" s="56">
        <v>0</v>
      </c>
      <c r="K64" s="56">
        <v>0</v>
      </c>
      <c r="L64" s="56">
        <v>0</v>
      </c>
      <c r="M64" s="56">
        <v>0</v>
      </c>
      <c r="N64" s="56">
        <v>-27127</v>
      </c>
      <c r="O64" s="56">
        <v>0</v>
      </c>
      <c r="P64" s="56">
        <v>0</v>
      </c>
      <c r="Q64" s="56">
        <v>0</v>
      </c>
      <c r="R64" s="56">
        <v>0</v>
      </c>
      <c r="S64" s="56">
        <v>0</v>
      </c>
      <c r="T64" s="56">
        <v>0</v>
      </c>
      <c r="U64" s="56">
        <v>-1</v>
      </c>
      <c r="V64" s="56">
        <v>0</v>
      </c>
      <c r="W64" s="56">
        <v>0</v>
      </c>
      <c r="X64" s="56">
        <v>0</v>
      </c>
      <c r="Y64" s="2"/>
      <c r="Z64" s="56">
        <f t="shared" si="61"/>
        <v>0</v>
      </c>
      <c r="AA64" s="56">
        <f t="shared" si="62"/>
        <v>0</v>
      </c>
      <c r="AB64" s="56">
        <f t="shared" si="62"/>
        <v>-47586</v>
      </c>
      <c r="AC64" s="56">
        <f t="shared" si="62"/>
        <v>-974</v>
      </c>
      <c r="AD64" s="56">
        <f t="shared" si="63"/>
        <v>0</v>
      </c>
      <c r="AE64" s="56">
        <f t="shared" si="64"/>
        <v>0</v>
      </c>
      <c r="AF64" s="56">
        <f t="shared" si="64"/>
        <v>0</v>
      </c>
      <c r="AG64" s="56">
        <f t="shared" si="64"/>
        <v>0</v>
      </c>
      <c r="AH64" s="56">
        <f t="shared" si="65"/>
        <v>-27127</v>
      </c>
      <c r="AI64" s="56">
        <f>O64-N64</f>
        <v>27127</v>
      </c>
      <c r="AJ64" s="56">
        <f t="shared" si="74"/>
        <v>0</v>
      </c>
      <c r="AK64" s="56">
        <f t="shared" si="74"/>
        <v>0</v>
      </c>
      <c r="AL64" s="56">
        <f t="shared" si="67"/>
        <v>0</v>
      </c>
      <c r="AM64" s="56">
        <f>S64-R64</f>
        <v>0</v>
      </c>
      <c r="AN64" s="56">
        <v>-18895</v>
      </c>
      <c r="AO64" s="56">
        <f t="shared" si="68"/>
        <v>-1</v>
      </c>
      <c r="AP64" s="56">
        <f t="shared" si="69"/>
        <v>0</v>
      </c>
      <c r="AQ64" s="56">
        <f t="shared" si="70"/>
        <v>0</v>
      </c>
      <c r="AR64" s="2"/>
      <c r="AS64" s="56">
        <f t="shared" si="71"/>
        <v>-24011.681969999998</v>
      </c>
      <c r="AT64" s="56">
        <f>I64-E64</f>
        <v>15042.681969999998</v>
      </c>
      <c r="AU64" s="56">
        <f>M64-I64</f>
        <v>48560</v>
      </c>
      <c r="AV64" s="56">
        <f t="shared" si="72"/>
        <v>0</v>
      </c>
      <c r="AW64" s="56">
        <f t="shared" si="73"/>
        <v>-1</v>
      </c>
    </row>
    <row r="65" spans="2:49" ht="15.75" customHeight="1" x14ac:dyDescent="0.35">
      <c r="B65" s="9" t="s">
        <v>171</v>
      </c>
      <c r="C65" s="58">
        <f>SUM(C57:C64)</f>
        <v>341278</v>
      </c>
      <c r="D65" s="58">
        <v>173618</v>
      </c>
      <c r="E65" s="58">
        <v>1670070.31803</v>
      </c>
      <c r="F65" s="58">
        <v>381409</v>
      </c>
      <c r="G65" s="58">
        <v>344792.46771</v>
      </c>
      <c r="H65" s="58">
        <v>4039646.8267999999</v>
      </c>
      <c r="I65" s="58">
        <v>4222689</v>
      </c>
      <c r="J65" s="58">
        <v>-372056</v>
      </c>
      <c r="K65" s="58">
        <v>124348</v>
      </c>
      <c r="L65" s="58">
        <v>181265</v>
      </c>
      <c r="M65" s="58">
        <v>708600</v>
      </c>
      <c r="N65" s="58">
        <v>86246</v>
      </c>
      <c r="O65" s="58">
        <v>1340517.4317159301</v>
      </c>
      <c r="P65" s="58">
        <v>763881</v>
      </c>
      <c r="Q65" s="58">
        <v>1349687</v>
      </c>
      <c r="R65" s="58">
        <v>-1298469</v>
      </c>
      <c r="S65" s="58">
        <v>-2251797</v>
      </c>
      <c r="T65" s="58">
        <v>-2931224</v>
      </c>
      <c r="U65" s="58">
        <v>-2911169</v>
      </c>
      <c r="V65" s="58">
        <v>-250282</v>
      </c>
      <c r="W65" s="58">
        <v>69275</v>
      </c>
      <c r="X65" s="58">
        <v>-181007</v>
      </c>
      <c r="Y65" s="2"/>
      <c r="Z65" s="58">
        <f t="shared" ref="Z65:AO65" si="75">SUM(Z57:Z64)</f>
        <v>381409</v>
      </c>
      <c r="AA65" s="58">
        <f t="shared" si="75"/>
        <v>-36616.532290000003</v>
      </c>
      <c r="AB65" s="58">
        <f t="shared" si="75"/>
        <v>3694854.3590899999</v>
      </c>
      <c r="AC65" s="58">
        <f t="shared" si="75"/>
        <v>183042.17320000002</v>
      </c>
      <c r="AD65" s="58">
        <f t="shared" si="75"/>
        <v>-372056</v>
      </c>
      <c r="AE65" s="58">
        <f t="shared" si="75"/>
        <v>496404</v>
      </c>
      <c r="AF65" s="58">
        <f t="shared" si="75"/>
        <v>56917</v>
      </c>
      <c r="AG65" s="58">
        <f t="shared" si="75"/>
        <v>527335</v>
      </c>
      <c r="AH65" s="58">
        <f t="shared" si="75"/>
        <v>86246</v>
      </c>
      <c r="AI65" s="58">
        <f t="shared" si="75"/>
        <v>1254271.4317159264</v>
      </c>
      <c r="AJ65" s="58">
        <f t="shared" si="75"/>
        <v>-576636.43171592639</v>
      </c>
      <c r="AK65" s="58">
        <f t="shared" si="75"/>
        <v>585806</v>
      </c>
      <c r="AL65" s="58">
        <f t="shared" si="75"/>
        <v>-1298469</v>
      </c>
      <c r="AM65" s="58">
        <f t="shared" si="75"/>
        <v>-953328</v>
      </c>
      <c r="AN65" s="58">
        <f t="shared" si="75"/>
        <v>214429</v>
      </c>
      <c r="AO65" s="58">
        <f t="shared" si="75"/>
        <v>20055</v>
      </c>
      <c r="AP65" s="58">
        <f t="shared" si="69"/>
        <v>-250282</v>
      </c>
      <c r="AQ65" s="58">
        <f t="shared" si="70"/>
        <v>69275</v>
      </c>
      <c r="AR65" s="2"/>
      <c r="AS65" s="58">
        <f>SUM(AS57:AS64)</f>
        <v>1496452.31803</v>
      </c>
      <c r="AT65" s="58">
        <f>SUM(AT57:AT64)</f>
        <v>2548193.6819699998</v>
      </c>
      <c r="AU65" s="58">
        <f>SUM(AU57:AU64)</f>
        <v>-3509664</v>
      </c>
      <c r="AV65" s="58">
        <f>SUM(AV57:AV64)</f>
        <v>641087</v>
      </c>
      <c r="AW65" s="58">
        <f>SUM(AW57:AW64)</f>
        <v>-4260856</v>
      </c>
    </row>
    <row r="66" spans="2:49" ht="15.75" customHeight="1" x14ac:dyDescent="0.35">
      <c r="B66" s="10" t="s">
        <v>172</v>
      </c>
      <c r="C66" s="59">
        <v>0</v>
      </c>
      <c r="D66" s="65">
        <v>0</v>
      </c>
      <c r="E66" s="65">
        <v>0</v>
      </c>
      <c r="F66" s="65">
        <v>0</v>
      </c>
      <c r="G66" s="65">
        <v>0</v>
      </c>
      <c r="H66" s="65">
        <v>0</v>
      </c>
      <c r="I66" s="65">
        <v>151</v>
      </c>
      <c r="J66" s="65">
        <v>-195</v>
      </c>
      <c r="K66" s="65">
        <v>-89</v>
      </c>
      <c r="L66" s="65">
        <v>1798</v>
      </c>
      <c r="M66" s="65">
        <v>-21764</v>
      </c>
      <c r="N66" s="65">
        <v>3611</v>
      </c>
      <c r="O66" s="65">
        <v>14215.9417474294</v>
      </c>
      <c r="P66" s="66">
        <v>9985</v>
      </c>
      <c r="Q66" s="65">
        <v>17710</v>
      </c>
      <c r="R66" s="65">
        <v>-5390</v>
      </c>
      <c r="S66" s="65">
        <v>-21358</v>
      </c>
      <c r="T66" s="65">
        <v>-119164</v>
      </c>
      <c r="U66" s="65">
        <v>-7314</v>
      </c>
      <c r="V66" s="65">
        <v>103906</v>
      </c>
      <c r="W66" s="65">
        <v>-8119</v>
      </c>
      <c r="X66" s="65">
        <v>95787</v>
      </c>
      <c r="Y66" s="2"/>
      <c r="Z66" s="59">
        <f>F66</f>
        <v>0</v>
      </c>
      <c r="AA66" s="59">
        <f>G66-F66</f>
        <v>0</v>
      </c>
      <c r="AB66" s="59">
        <f>H66-G66</f>
        <v>0</v>
      </c>
      <c r="AC66" s="59">
        <f>I66-H66</f>
        <v>151</v>
      </c>
      <c r="AD66" s="59">
        <f>J66</f>
        <v>-195</v>
      </c>
      <c r="AE66" s="59">
        <f>K66-J66</f>
        <v>106</v>
      </c>
      <c r="AF66" s="59">
        <f>L66-K66</f>
        <v>1887</v>
      </c>
      <c r="AG66" s="59">
        <f>M66-L66</f>
        <v>-23562</v>
      </c>
      <c r="AH66" s="59">
        <f>N66</f>
        <v>3611</v>
      </c>
      <c r="AI66" s="59">
        <f>O66-AH66</f>
        <v>10604.9417474294</v>
      </c>
      <c r="AJ66" s="59">
        <f>P66-O66</f>
        <v>-4230.9417474294005</v>
      </c>
      <c r="AK66" s="59">
        <f>Q66-P66</f>
        <v>7725</v>
      </c>
      <c r="AL66" s="59">
        <f>R66</f>
        <v>-5390</v>
      </c>
      <c r="AM66" s="59">
        <f>S66-AL66</f>
        <v>-15968</v>
      </c>
      <c r="AN66" s="59">
        <f>T66-AM66-AL66</f>
        <v>-97806</v>
      </c>
      <c r="AO66" s="59">
        <f>U66-T66</f>
        <v>111850</v>
      </c>
      <c r="AP66" s="59">
        <f t="shared" si="69"/>
        <v>103906</v>
      </c>
      <c r="AQ66" s="59">
        <f t="shared" si="70"/>
        <v>-8119</v>
      </c>
      <c r="AR66" s="2"/>
      <c r="AS66" s="59">
        <f>E66-D66</f>
        <v>0</v>
      </c>
      <c r="AT66" s="59">
        <f>I66-E66</f>
        <v>151</v>
      </c>
      <c r="AU66" s="59">
        <f>M66-I66</f>
        <v>-21915</v>
      </c>
      <c r="AV66" s="59">
        <f>Q66-M66</f>
        <v>39474</v>
      </c>
      <c r="AW66" s="59">
        <f>U66-Q66</f>
        <v>-25024</v>
      </c>
    </row>
    <row r="67" spans="2:49" ht="15.75" customHeight="1" x14ac:dyDescent="0.35">
      <c r="B67" s="11" t="s">
        <v>173</v>
      </c>
      <c r="C67" s="60">
        <f>C65+C55+C42+C66</f>
        <v>7805.6229999999923</v>
      </c>
      <c r="D67" s="60">
        <v>1761.79999999999</v>
      </c>
      <c r="E67" s="60">
        <v>298718.48714617401</v>
      </c>
      <c r="F67" s="60">
        <v>-79008.228430767194</v>
      </c>
      <c r="G67" s="60">
        <v>188942.65205999999</v>
      </c>
      <c r="H67" s="60">
        <v>283831.01590151101</v>
      </c>
      <c r="I67" s="60">
        <v>638612</v>
      </c>
      <c r="J67" s="60">
        <v>-88795</v>
      </c>
      <c r="K67" s="60">
        <v>-259174.67790468899</v>
      </c>
      <c r="L67" s="60">
        <v>108709.15952381</v>
      </c>
      <c r="M67" s="60">
        <v>770581.25867999997</v>
      </c>
      <c r="N67" s="60">
        <v>1172627.5362064</v>
      </c>
      <c r="O67" s="60">
        <v>-129340.77989664501</v>
      </c>
      <c r="P67" s="60">
        <v>-875022.16636999999</v>
      </c>
      <c r="Q67" s="60">
        <v>-344339.22120999999</v>
      </c>
      <c r="R67" s="60">
        <v>784222</v>
      </c>
      <c r="S67" s="60">
        <v>439189</v>
      </c>
      <c r="T67" s="60">
        <v>539745</v>
      </c>
      <c r="U67" s="60">
        <v>1953378</v>
      </c>
      <c r="V67" s="60">
        <f>V65+V55+V42+V66</f>
        <v>-373041</v>
      </c>
      <c r="W67" s="60">
        <f>W65+W55+W42+W66</f>
        <v>-160255</v>
      </c>
      <c r="X67" s="60">
        <f>X65+X55+X42+X66</f>
        <v>-533296</v>
      </c>
      <c r="Y67" s="2"/>
      <c r="Z67" s="60">
        <f t="shared" ref="Z67:AO67" si="76">Z42+Z55+Z65+Z66</f>
        <v>-79008.228430767253</v>
      </c>
      <c r="AA67" s="60">
        <f t="shared" si="76"/>
        <v>268027.88049076695</v>
      </c>
      <c r="AB67" s="60">
        <f t="shared" si="76"/>
        <v>94890.363841509912</v>
      </c>
      <c r="AC67" s="60">
        <f t="shared" si="76"/>
        <v>354701.98409848975</v>
      </c>
      <c r="AD67" s="60">
        <f t="shared" si="76"/>
        <v>-62928</v>
      </c>
      <c r="AE67" s="60">
        <f t="shared" si="76"/>
        <v>-147204.67790468922</v>
      </c>
      <c r="AF67" s="60">
        <f t="shared" si="76"/>
        <v>382736.83742849831</v>
      </c>
      <c r="AG67" s="60">
        <f t="shared" si="76"/>
        <v>685837.09915619087</v>
      </c>
      <c r="AH67" s="60">
        <f t="shared" si="76"/>
        <v>1172627.5362064</v>
      </c>
      <c r="AI67" s="60">
        <f t="shared" si="76"/>
        <v>-1301968.3161030442</v>
      </c>
      <c r="AJ67" s="60">
        <f t="shared" si="76"/>
        <v>-745681.38647335581</v>
      </c>
      <c r="AK67" s="60">
        <f t="shared" si="76"/>
        <v>2434632.5723599996</v>
      </c>
      <c r="AL67" s="60">
        <f t="shared" si="76"/>
        <v>678068</v>
      </c>
      <c r="AM67" s="60">
        <f t="shared" si="76"/>
        <v>-238879</v>
      </c>
      <c r="AN67" s="60">
        <f t="shared" si="76"/>
        <v>2685959</v>
      </c>
      <c r="AO67" s="60">
        <f t="shared" si="76"/>
        <v>1413633</v>
      </c>
      <c r="AP67" s="60">
        <f t="shared" si="69"/>
        <v>-373041</v>
      </c>
      <c r="AQ67" s="60">
        <f t="shared" si="70"/>
        <v>-160255</v>
      </c>
      <c r="AR67" s="2"/>
      <c r="AS67" s="60">
        <f>AS42+AS55+AS65+AS66</f>
        <v>288956.49639617442</v>
      </c>
      <c r="AT67" s="60">
        <f>AT42+AT55+AT65+AT66</f>
        <v>324310.89635382593</v>
      </c>
      <c r="AU67" s="60">
        <f>AU42+AU55+AU65+AU66</f>
        <v>224254.25867999997</v>
      </c>
      <c r="AV67" s="60">
        <f>AV42+AV55+AV65+AV66</f>
        <v>-1202780.4798900001</v>
      </c>
      <c r="AW67" s="60">
        <f>AW42+AW55+AW65+AW66</f>
        <v>2297717.2212100001</v>
      </c>
    </row>
    <row r="68" spans="2:49" ht="15" customHeight="1" x14ac:dyDescent="0.35">
      <c r="B68" s="12" t="s">
        <v>174</v>
      </c>
      <c r="C68" s="67">
        <v>6403</v>
      </c>
      <c r="D68" s="67">
        <v>9521</v>
      </c>
      <c r="E68" s="67">
        <v>11282.829</v>
      </c>
      <c r="F68" s="67">
        <v>310001.31614617398</v>
      </c>
      <c r="G68" s="67">
        <v>310001.31614617398</v>
      </c>
      <c r="H68" s="67">
        <v>310001.31614617398</v>
      </c>
      <c r="I68" s="67">
        <v>310001.31614617398</v>
      </c>
      <c r="J68" s="67">
        <v>948613</v>
      </c>
      <c r="K68" s="67">
        <v>948613</v>
      </c>
      <c r="L68" s="67">
        <v>948612.664924877</v>
      </c>
      <c r="M68" s="67">
        <v>948613</v>
      </c>
      <c r="N68" s="67">
        <v>1719194.25868</v>
      </c>
      <c r="O68" s="67">
        <v>1719194.25868</v>
      </c>
      <c r="P68" s="67">
        <v>1719194.25868</v>
      </c>
      <c r="Q68" s="67">
        <v>1719194.25868</v>
      </c>
      <c r="R68" s="67">
        <v>1374855.0374700001</v>
      </c>
      <c r="S68" s="67">
        <v>1374855.0374700001</v>
      </c>
      <c r="T68" s="67">
        <v>1374855.0374700001</v>
      </c>
      <c r="U68" s="67">
        <v>1374855.0374700001</v>
      </c>
      <c r="V68" s="67">
        <v>3328233.0374699999</v>
      </c>
      <c r="W68" s="67">
        <v>2955192.0374699999</v>
      </c>
      <c r="X68" s="67">
        <v>3328233.0374699999</v>
      </c>
      <c r="Y68" s="2"/>
      <c r="Z68" s="68"/>
      <c r="AA68" s="68"/>
      <c r="AB68" s="68"/>
      <c r="AC68" s="68"/>
      <c r="AD68" s="68"/>
      <c r="AE68" s="68"/>
      <c r="AF68" s="68"/>
      <c r="AG68" s="68"/>
      <c r="AH68" s="68"/>
      <c r="AI68" s="68"/>
      <c r="AJ68" s="68"/>
      <c r="AK68" s="68"/>
      <c r="AL68" s="68"/>
      <c r="AM68" s="68"/>
      <c r="AN68" s="68"/>
      <c r="AO68" s="68"/>
      <c r="AP68" s="68"/>
      <c r="AQ68" s="68"/>
      <c r="AR68" s="2"/>
      <c r="AS68" s="68"/>
      <c r="AT68" s="68"/>
      <c r="AU68" s="68"/>
      <c r="AV68" s="68"/>
      <c r="AW68" s="68"/>
    </row>
    <row r="69" spans="2:49" ht="15.75" customHeight="1" x14ac:dyDescent="0.35">
      <c r="B69" s="10" t="s">
        <v>175</v>
      </c>
      <c r="C69" s="59">
        <f>C67+C68</f>
        <v>14208.622999999992</v>
      </c>
      <c r="D69" s="59">
        <v>11283</v>
      </c>
      <c r="E69" s="59">
        <v>310001.31614617398</v>
      </c>
      <c r="F69" s="59">
        <v>230993.08771540699</v>
      </c>
      <c r="G69" s="59">
        <v>498943.96820617397</v>
      </c>
      <c r="H69" s="59">
        <v>593832.332047684</v>
      </c>
      <c r="I69" s="59">
        <v>948613.31614617398</v>
      </c>
      <c r="J69" s="59">
        <v>859818</v>
      </c>
      <c r="K69" s="59">
        <v>689438.32209531101</v>
      </c>
      <c r="L69" s="59">
        <v>1057321.8244486901</v>
      </c>
      <c r="M69" s="59">
        <v>1719194.25868</v>
      </c>
      <c r="N69" s="59">
        <v>2891821.7948864</v>
      </c>
      <c r="O69" s="59">
        <v>1589853.47878336</v>
      </c>
      <c r="P69" s="59">
        <v>844172.09230999998</v>
      </c>
      <c r="Q69" s="59">
        <v>1374855.0374700001</v>
      </c>
      <c r="R69" s="59">
        <v>2159077.0374699999</v>
      </c>
      <c r="S69" s="59">
        <v>1814044.0374700001</v>
      </c>
      <c r="T69" s="59">
        <v>1914600.0374700001</v>
      </c>
      <c r="U69" s="59">
        <v>3328233.0374699999</v>
      </c>
      <c r="V69" s="59">
        <f>V67+V68</f>
        <v>2955192.0374699999</v>
      </c>
      <c r="W69" s="59">
        <f>W67+W68</f>
        <v>2794937.0374699999</v>
      </c>
      <c r="X69" s="59">
        <f>X67+X68</f>
        <v>2794937.0374699999</v>
      </c>
      <c r="Y69" s="2"/>
      <c r="Z69" s="64"/>
      <c r="AA69" s="64"/>
      <c r="AB69" s="64"/>
      <c r="AC69" s="64"/>
      <c r="AD69" s="64"/>
      <c r="AE69" s="64"/>
      <c r="AF69" s="64"/>
      <c r="AG69" s="64"/>
      <c r="AH69" s="64"/>
      <c r="AI69" s="64"/>
      <c r="AJ69" s="64"/>
      <c r="AK69" s="64"/>
      <c r="AL69" s="64"/>
      <c r="AM69" s="64"/>
      <c r="AN69" s="64"/>
      <c r="AO69" s="64"/>
      <c r="AP69" s="64"/>
      <c r="AQ69" s="64"/>
      <c r="AR69" s="2"/>
      <c r="AS69" s="64"/>
      <c r="AT69" s="64"/>
      <c r="AU69" s="64"/>
      <c r="AV69" s="64"/>
      <c r="AW69" s="64"/>
    </row>
    <row r="70" spans="2:49" ht="15.75" customHeight="1" x14ac:dyDescent="0.35">
      <c r="B70" s="30"/>
      <c r="C70" s="13"/>
      <c r="D70" s="13"/>
      <c r="E70" s="13"/>
      <c r="F70" s="13"/>
      <c r="G70" s="13"/>
      <c r="H70" s="13"/>
      <c r="I70" s="68"/>
      <c r="J70" s="68"/>
      <c r="K70" s="68"/>
      <c r="L70" s="68"/>
      <c r="M70" s="68"/>
      <c r="N70" s="68"/>
      <c r="O70" s="68"/>
      <c r="P70" s="68"/>
      <c r="Q70" s="68"/>
      <c r="R70" s="68"/>
      <c r="S70" s="68"/>
      <c r="T70" s="68"/>
      <c r="U70" s="68"/>
      <c r="V70" s="68"/>
      <c r="W70" s="68"/>
      <c r="X70" s="68"/>
      <c r="Y70" s="2"/>
      <c r="Z70" s="64"/>
      <c r="AA70" s="64"/>
      <c r="AB70" s="64"/>
      <c r="AC70" s="64"/>
      <c r="AD70" s="64"/>
      <c r="AE70" s="64"/>
      <c r="AF70" s="64"/>
      <c r="AG70" s="64"/>
      <c r="AH70" s="64"/>
      <c r="AI70" s="64"/>
      <c r="AJ70" s="64"/>
      <c r="AK70" s="64"/>
      <c r="AL70" s="64"/>
      <c r="AM70" s="64"/>
      <c r="AN70" s="64"/>
      <c r="AO70" s="64"/>
      <c r="AP70" s="64"/>
      <c r="AQ70" s="64"/>
      <c r="AR70" s="2"/>
      <c r="AS70" s="64"/>
      <c r="AT70" s="64"/>
      <c r="AU70" s="64"/>
      <c r="AV70" s="64"/>
      <c r="AW70" s="64"/>
    </row>
    <row r="71" spans="2:49" ht="15.75" customHeight="1" x14ac:dyDescent="0.35">
      <c r="B71" s="10" t="s">
        <v>176</v>
      </c>
      <c r="C71" s="59">
        <f t="shared" ref="C71:X71" si="77">SUM(C23:C36)</f>
        <v>-60682</v>
      </c>
      <c r="D71" s="59">
        <f t="shared" si="77"/>
        <v>-98244.200000000012</v>
      </c>
      <c r="E71" s="59">
        <f t="shared" si="77"/>
        <v>-254875.62831297403</v>
      </c>
      <c r="F71" s="59">
        <f t="shared" si="77"/>
        <v>298785.13900999998</v>
      </c>
      <c r="G71" s="59">
        <f t="shared" si="77"/>
        <v>101413.93144999996</v>
      </c>
      <c r="H71" s="59">
        <f t="shared" si="77"/>
        <v>-340490.9047500001</v>
      </c>
      <c r="I71" s="59">
        <f t="shared" si="77"/>
        <v>-163737</v>
      </c>
      <c r="J71" s="59">
        <f t="shared" si="77"/>
        <v>237992</v>
      </c>
      <c r="K71" s="59">
        <f t="shared" si="77"/>
        <v>-799320.68577468931</v>
      </c>
      <c r="L71" s="59">
        <f t="shared" si="77"/>
        <v>-711011</v>
      </c>
      <c r="M71" s="59">
        <f t="shared" si="77"/>
        <v>-288439.74132000003</v>
      </c>
      <c r="N71" s="59">
        <f t="shared" si="77"/>
        <v>552534</v>
      </c>
      <c r="O71" s="59">
        <f t="shared" si="77"/>
        <v>-490776</v>
      </c>
      <c r="P71" s="59">
        <f t="shared" si="77"/>
        <v>-737998</v>
      </c>
      <c r="Q71" s="59">
        <f t="shared" si="77"/>
        <v>-481930</v>
      </c>
      <c r="R71" s="59">
        <f t="shared" si="77"/>
        <v>1117673</v>
      </c>
      <c r="S71" s="59">
        <f t="shared" si="77"/>
        <v>1109262</v>
      </c>
      <c r="T71" s="59">
        <f t="shared" si="77"/>
        <v>1403832</v>
      </c>
      <c r="U71" s="59">
        <f t="shared" si="77"/>
        <v>1761205</v>
      </c>
      <c r="V71" s="59">
        <f t="shared" si="77"/>
        <v>-688111</v>
      </c>
      <c r="W71" s="59">
        <f t="shared" si="77"/>
        <v>-770762</v>
      </c>
      <c r="X71" s="59">
        <f t="shared" si="77"/>
        <v>-1458873</v>
      </c>
      <c r="Y71" s="2"/>
      <c r="Z71" s="59">
        <f t="shared" ref="Z71:AO71" si="78">SUM(Z23:Z36)</f>
        <v>298785.13900999998</v>
      </c>
      <c r="AA71" s="59">
        <f t="shared" si="78"/>
        <v>-197371.20756000001</v>
      </c>
      <c r="AB71" s="59">
        <f t="shared" si="78"/>
        <v>-441904.83620000002</v>
      </c>
      <c r="AC71" s="59">
        <f t="shared" si="78"/>
        <v>176753.90475000002</v>
      </c>
      <c r="AD71" s="59">
        <f t="shared" si="78"/>
        <v>237992</v>
      </c>
      <c r="AE71" s="59">
        <f t="shared" si="78"/>
        <v>-1037312.6857746893</v>
      </c>
      <c r="AF71" s="59">
        <f t="shared" si="78"/>
        <v>88309.685774689307</v>
      </c>
      <c r="AG71" s="59">
        <f t="shared" si="78"/>
        <v>422571.25867999997</v>
      </c>
      <c r="AH71" s="59">
        <f t="shared" si="78"/>
        <v>552534</v>
      </c>
      <c r="AI71" s="59">
        <f t="shared" si="78"/>
        <v>-1043310</v>
      </c>
      <c r="AJ71" s="59">
        <f t="shared" si="78"/>
        <v>-247222</v>
      </c>
      <c r="AK71" s="59">
        <f t="shared" si="78"/>
        <v>256068</v>
      </c>
      <c r="AL71" s="59">
        <f t="shared" si="78"/>
        <v>1117673</v>
      </c>
      <c r="AM71" s="59">
        <f t="shared" si="78"/>
        <v>-8411</v>
      </c>
      <c r="AN71" s="59">
        <f t="shared" si="78"/>
        <v>294570</v>
      </c>
      <c r="AO71" s="59">
        <f t="shared" si="78"/>
        <v>357373</v>
      </c>
      <c r="AP71" s="59">
        <f>V71</f>
        <v>-688111</v>
      </c>
      <c r="AQ71" s="59">
        <f>W71</f>
        <v>-770762</v>
      </c>
      <c r="AR71" s="2"/>
      <c r="AS71" s="59">
        <f>SUM(AS23:AS36)</f>
        <v>-156631.42831297402</v>
      </c>
      <c r="AT71" s="59">
        <f>SUM(AT23:AT36)</f>
        <v>91138.62831297399</v>
      </c>
      <c r="AU71" s="59">
        <f>SUM(AU23:AU36)</f>
        <v>-124702.74132</v>
      </c>
      <c r="AV71" s="59">
        <f>SUM(AV23:AV36)</f>
        <v>-193490.25868</v>
      </c>
      <c r="AW71" s="59">
        <f>SUM(AW23:AW36)</f>
        <v>2243135</v>
      </c>
    </row>
    <row r="72" spans="2:49" x14ac:dyDescent="0.25">
      <c r="B72" s="31"/>
      <c r="C72" s="31"/>
      <c r="D72" s="31"/>
      <c r="E72" s="31"/>
      <c r="F72" s="31"/>
      <c r="G72" s="31"/>
      <c r="H72" s="31"/>
      <c r="I72" s="31"/>
      <c r="J72" s="31"/>
      <c r="K72" s="31"/>
      <c r="L72" s="31"/>
      <c r="M72" s="31"/>
      <c r="N72" s="31"/>
      <c r="O72" s="31"/>
      <c r="P72" s="31"/>
      <c r="Q72" s="31"/>
      <c r="R72" s="31"/>
      <c r="S72" s="31"/>
      <c r="T72" s="31"/>
      <c r="U72" s="31"/>
      <c r="V72" s="31"/>
      <c r="W72" s="31"/>
      <c r="X72" s="31"/>
      <c r="Z72" s="31"/>
      <c r="AA72" s="31"/>
      <c r="AB72" s="31"/>
      <c r="AC72" s="31"/>
      <c r="AD72" s="31"/>
      <c r="AE72" s="31"/>
      <c r="AF72" s="31"/>
      <c r="AG72" s="31"/>
      <c r="AH72" s="31"/>
      <c r="AI72" s="31"/>
      <c r="AJ72" s="31"/>
      <c r="AK72" s="31"/>
      <c r="AL72" s="31"/>
      <c r="AM72" s="31"/>
      <c r="AN72" s="31"/>
      <c r="AO72" s="31"/>
      <c r="AP72" s="31"/>
      <c r="AQ72" s="31"/>
      <c r="AS72" s="31"/>
      <c r="AT72" s="31"/>
      <c r="AU72" s="31"/>
      <c r="AV72" s="31"/>
      <c r="AW72" s="31"/>
    </row>
  </sheetData>
  <mergeCells count="46">
    <mergeCell ref="C5:C6"/>
    <mergeCell ref="D5:D6"/>
    <mergeCell ref="E5:E6"/>
    <mergeCell ref="N5:N6"/>
    <mergeCell ref="O5:O6"/>
    <mergeCell ref="J5:J6"/>
    <mergeCell ref="K5:K6"/>
    <mergeCell ref="F5:F6"/>
    <mergeCell ref="I5:I6"/>
    <mergeCell ref="H5:H6"/>
    <mergeCell ref="G5:G6"/>
    <mergeCell ref="P5:P6"/>
    <mergeCell ref="Q5:Q6"/>
    <mergeCell ref="L5:L6"/>
    <mergeCell ref="M5:M6"/>
    <mergeCell ref="R2:X3"/>
    <mergeCell ref="U5:U6"/>
    <mergeCell ref="T5:T6"/>
    <mergeCell ref="S5:S6"/>
    <mergeCell ref="R5:R6"/>
    <mergeCell ref="V5:V6"/>
    <mergeCell ref="W5:W6"/>
    <mergeCell ref="X5:X6"/>
    <mergeCell ref="Z5:Z6"/>
    <mergeCell ref="AE5:AE6"/>
    <mergeCell ref="AF5:AF6"/>
    <mergeCell ref="AG5:AG6"/>
    <mergeCell ref="AH5:AH6"/>
    <mergeCell ref="AD5:AD6"/>
    <mergeCell ref="AC5:AC6"/>
    <mergeCell ref="AB5:AB6"/>
    <mergeCell ref="AA5:AA6"/>
    <mergeCell ref="AP5:AP6"/>
    <mergeCell ref="AO5:AO6"/>
    <mergeCell ref="AN5:AN6"/>
    <mergeCell ref="AM5:AM6"/>
    <mergeCell ref="AI5:AI6"/>
    <mergeCell ref="AJ5:AJ6"/>
    <mergeCell ref="AK5:AK6"/>
    <mergeCell ref="AL5:AL6"/>
    <mergeCell ref="AW5:AW6"/>
    <mergeCell ref="AQ5:AQ6"/>
    <mergeCell ref="AS5:AS6"/>
    <mergeCell ref="AT5:AT6"/>
    <mergeCell ref="AU5:AU6"/>
    <mergeCell ref="AV5:AV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B7754"/>
  </sheetPr>
  <dimension ref="B1:AW63"/>
  <sheetViews>
    <sheetView showGridLines="0" workbookViewId="0"/>
  </sheetViews>
  <sheetFormatPr defaultColWidth="13.08984375" defaultRowHeight="12.5" x14ac:dyDescent="0.25"/>
  <cols>
    <col min="1" max="1" width="1.08984375" customWidth="1"/>
    <col min="2" max="2" width="60.453125" customWidth="1"/>
    <col min="3" max="25" width="10.90625" customWidth="1"/>
    <col min="26" max="27" width="11" customWidth="1"/>
    <col min="28" max="49" width="10.90625" customWidth="1"/>
  </cols>
  <sheetData>
    <row r="1" spans="2:49" ht="15.75" customHeight="1" x14ac:dyDescent="0.45">
      <c r="AE1" s="4"/>
      <c r="AF1" s="4"/>
      <c r="AG1" s="4"/>
      <c r="AH1" s="4"/>
    </row>
    <row r="2" spans="2:49" ht="15.75" customHeight="1" x14ac:dyDescent="0.45">
      <c r="B2" s="4"/>
      <c r="C2" s="4"/>
      <c r="D2" s="4"/>
      <c r="E2" s="4"/>
      <c r="F2" s="4"/>
      <c r="G2" s="4"/>
      <c r="H2" s="4"/>
      <c r="I2" s="4"/>
      <c r="J2" s="4"/>
      <c r="K2" s="4"/>
      <c r="L2" s="4"/>
      <c r="M2" s="4"/>
      <c r="N2" s="4"/>
      <c r="O2" s="2"/>
      <c r="P2" s="2"/>
      <c r="Q2" s="2"/>
      <c r="R2" s="2"/>
      <c r="S2" s="2"/>
      <c r="U2" s="100" t="s">
        <v>1</v>
      </c>
      <c r="V2" s="101"/>
      <c r="W2" s="101"/>
      <c r="X2" s="101"/>
      <c r="Y2" s="101"/>
      <c r="Z2" s="101"/>
      <c r="AA2" s="101"/>
      <c r="AB2" s="2"/>
      <c r="AJ2" s="4"/>
      <c r="AK2" s="4"/>
      <c r="AL2" s="4"/>
      <c r="AM2" s="4"/>
      <c r="AN2" s="4"/>
      <c r="AO2" s="4"/>
      <c r="AP2" s="4"/>
      <c r="AQ2" s="4"/>
      <c r="AR2" s="4"/>
      <c r="AS2" s="4"/>
      <c r="AT2" s="4"/>
      <c r="AU2" s="4"/>
      <c r="AV2" s="4"/>
      <c r="AW2" s="4"/>
    </row>
    <row r="3" spans="2:49" ht="15.75" customHeight="1" x14ac:dyDescent="0.45">
      <c r="B3" s="4"/>
      <c r="C3" s="4"/>
      <c r="D3" s="4"/>
      <c r="E3" s="4"/>
      <c r="F3" s="3"/>
      <c r="G3" s="3"/>
      <c r="H3" s="4"/>
      <c r="I3" s="4"/>
      <c r="J3" s="4"/>
      <c r="K3" s="4"/>
      <c r="L3" s="4"/>
      <c r="M3" s="4"/>
      <c r="N3" s="4"/>
      <c r="O3" s="3"/>
      <c r="P3" s="2"/>
      <c r="Q3" s="2"/>
      <c r="R3" s="2"/>
      <c r="S3" s="2"/>
      <c r="U3" s="101"/>
      <c r="V3" s="101"/>
      <c r="W3" s="101"/>
      <c r="X3" s="101"/>
      <c r="Y3" s="101"/>
      <c r="Z3" s="101"/>
      <c r="AA3" s="101"/>
      <c r="AB3" s="2"/>
      <c r="AJ3" s="4"/>
      <c r="AK3" s="4"/>
      <c r="AL3" s="4"/>
      <c r="AM3" s="4"/>
      <c r="AN3" s="4"/>
      <c r="AO3" s="4"/>
      <c r="AP3" s="4"/>
      <c r="AQ3" s="4"/>
      <c r="AR3" s="4"/>
      <c r="AS3" s="4"/>
      <c r="AT3" s="4"/>
      <c r="AU3" s="4"/>
      <c r="AV3" s="4"/>
      <c r="AW3" s="4"/>
    </row>
    <row r="4" spans="2:49" ht="15.75" customHeight="1" x14ac:dyDescent="0.45">
      <c r="B4" s="4"/>
      <c r="C4" s="4"/>
      <c r="D4" s="4"/>
      <c r="E4" s="4"/>
      <c r="F4" s="4"/>
      <c r="G4" s="4"/>
      <c r="H4" s="4"/>
      <c r="I4" s="4"/>
      <c r="J4" s="4"/>
      <c r="K4" s="4"/>
      <c r="L4" s="4"/>
      <c r="M4" s="4"/>
      <c r="N4" s="4"/>
      <c r="O4" s="2"/>
      <c r="P4" s="2"/>
      <c r="Q4" s="2"/>
      <c r="R4" s="2"/>
      <c r="S4" s="2"/>
      <c r="T4" s="2"/>
      <c r="U4" s="2"/>
      <c r="V4" s="2"/>
      <c r="W4" s="2"/>
      <c r="X4" s="2"/>
      <c r="Y4" s="2"/>
      <c r="Z4" s="2"/>
      <c r="AA4" s="2"/>
      <c r="AB4" s="2"/>
      <c r="AC4" s="2"/>
      <c r="AD4" s="2"/>
      <c r="AE4" s="4"/>
      <c r="AF4" s="4"/>
      <c r="AG4" s="4"/>
      <c r="AH4" s="4"/>
      <c r="AI4" s="4"/>
      <c r="AJ4" s="4"/>
      <c r="AK4" s="4"/>
      <c r="AL4" s="4"/>
      <c r="AM4" s="4"/>
      <c r="AN4" s="4"/>
      <c r="AO4" s="4"/>
      <c r="AP4" s="4"/>
      <c r="AQ4" s="4"/>
      <c r="AR4" s="4"/>
      <c r="AS4" s="4"/>
      <c r="AT4" s="4"/>
      <c r="AU4" s="4"/>
      <c r="AV4" s="4"/>
      <c r="AW4" s="4"/>
    </row>
    <row r="5" spans="2:49" ht="15.75" customHeight="1" x14ac:dyDescent="0.35">
      <c r="B5" s="5" t="s">
        <v>177</v>
      </c>
      <c r="C5" s="103" t="s">
        <v>3</v>
      </c>
      <c r="D5" s="103" t="s">
        <v>4</v>
      </c>
      <c r="E5" s="99" t="s">
        <v>5</v>
      </c>
      <c r="F5" s="99" t="s">
        <v>178</v>
      </c>
      <c r="G5" s="99" t="s">
        <v>179</v>
      </c>
      <c r="H5" s="99" t="s">
        <v>180</v>
      </c>
      <c r="I5" s="99" t="s">
        <v>181</v>
      </c>
      <c r="J5" s="99" t="s">
        <v>9</v>
      </c>
      <c r="K5" s="99" t="s">
        <v>10</v>
      </c>
      <c r="L5" s="99" t="s">
        <v>11</v>
      </c>
      <c r="M5" s="99" t="s">
        <v>12</v>
      </c>
      <c r="N5" s="99" t="s">
        <v>77</v>
      </c>
      <c r="O5" s="99" t="s">
        <v>13</v>
      </c>
      <c r="P5" s="99" t="s">
        <v>14</v>
      </c>
      <c r="Q5" s="99" t="s">
        <v>15</v>
      </c>
      <c r="R5" s="99" t="s">
        <v>16</v>
      </c>
      <c r="S5" s="99" t="s">
        <v>78</v>
      </c>
      <c r="T5" s="99" t="s">
        <v>17</v>
      </c>
      <c r="U5" s="99" t="s">
        <v>18</v>
      </c>
      <c r="V5" s="99" t="s">
        <v>19</v>
      </c>
      <c r="W5" s="99" t="s">
        <v>20</v>
      </c>
      <c r="X5" s="99" t="s">
        <v>79</v>
      </c>
      <c r="Y5" s="99" t="s">
        <v>21</v>
      </c>
      <c r="Z5" s="99" t="s">
        <v>22</v>
      </c>
      <c r="AA5" s="99" t="s">
        <v>23</v>
      </c>
      <c r="AB5" s="2"/>
      <c r="AC5" s="99" t="s">
        <v>3</v>
      </c>
      <c r="AD5" s="99" t="s">
        <v>4</v>
      </c>
      <c r="AE5" s="99" t="s">
        <v>5</v>
      </c>
      <c r="AF5" s="99" t="s">
        <v>182</v>
      </c>
      <c r="AG5" s="99" t="s">
        <v>183</v>
      </c>
      <c r="AH5" s="99" t="s">
        <v>184</v>
      </c>
      <c r="AI5" s="99" t="s">
        <v>9</v>
      </c>
      <c r="AJ5" s="99" t="s">
        <v>185</v>
      </c>
      <c r="AK5" s="99" t="s">
        <v>186</v>
      </c>
      <c r="AL5" s="99" t="s">
        <v>187</v>
      </c>
      <c r="AM5" s="99" t="s">
        <v>13</v>
      </c>
      <c r="AN5" s="99" t="s">
        <v>188</v>
      </c>
      <c r="AO5" s="99" t="s">
        <v>189</v>
      </c>
      <c r="AP5" s="99" t="s">
        <v>190</v>
      </c>
      <c r="AQ5" s="99" t="s">
        <v>17</v>
      </c>
      <c r="AR5" s="99" t="s">
        <v>191</v>
      </c>
      <c r="AS5" s="99" t="s">
        <v>192</v>
      </c>
      <c r="AT5" s="99" t="s">
        <v>193</v>
      </c>
      <c r="AU5" s="99" t="s">
        <v>21</v>
      </c>
      <c r="AV5" s="99" t="s">
        <v>194</v>
      </c>
      <c r="AW5" s="99" t="s">
        <v>195</v>
      </c>
    </row>
    <row r="6" spans="2:49" ht="15.75" customHeight="1" x14ac:dyDescent="0.35">
      <c r="B6" s="6" t="s">
        <v>24</v>
      </c>
      <c r="C6" s="103"/>
      <c r="D6" s="103"/>
      <c r="E6" s="99"/>
      <c r="F6" s="99"/>
      <c r="G6" s="99"/>
      <c r="H6" s="99"/>
      <c r="I6" s="99"/>
      <c r="J6" s="99"/>
      <c r="K6" s="99"/>
      <c r="L6" s="99"/>
      <c r="M6" s="99"/>
      <c r="N6" s="99"/>
      <c r="O6" s="99"/>
      <c r="P6" s="99"/>
      <c r="Q6" s="99"/>
      <c r="R6" s="99"/>
      <c r="S6" s="99"/>
      <c r="T6" s="99"/>
      <c r="U6" s="99"/>
      <c r="V6" s="99"/>
      <c r="W6" s="99"/>
      <c r="X6" s="99"/>
      <c r="Y6" s="99"/>
      <c r="Z6" s="99"/>
      <c r="AA6" s="99"/>
      <c r="AB6" s="2"/>
      <c r="AC6" s="99"/>
      <c r="AD6" s="99"/>
      <c r="AE6" s="99"/>
      <c r="AF6" s="99"/>
      <c r="AG6" s="99"/>
      <c r="AH6" s="99"/>
      <c r="AI6" s="99"/>
      <c r="AJ6" s="99"/>
      <c r="AK6" s="99"/>
      <c r="AL6" s="99"/>
      <c r="AM6" s="99"/>
      <c r="AN6" s="99"/>
      <c r="AO6" s="99"/>
      <c r="AP6" s="99"/>
      <c r="AQ6" s="99"/>
      <c r="AR6" s="99"/>
      <c r="AS6" s="99"/>
      <c r="AT6" s="99"/>
      <c r="AU6" s="99"/>
      <c r="AV6" s="99"/>
      <c r="AW6" s="99"/>
    </row>
    <row r="7" spans="2:49" ht="15.75" customHeight="1" x14ac:dyDescent="0.35">
      <c r="B7" s="9" t="s">
        <v>196</v>
      </c>
      <c r="C7" s="58">
        <v>124424.59299999999</v>
      </c>
      <c r="D7" s="58">
        <v>203462.49799999999</v>
      </c>
      <c r="E7" s="58">
        <v>695926</v>
      </c>
      <c r="F7" s="58">
        <v>2571767.2724870299</v>
      </c>
      <c r="G7" s="58">
        <v>2650679.3780143801</v>
      </c>
      <c r="H7" s="58">
        <v>2839663.60409013</v>
      </c>
      <c r="I7" s="58">
        <v>3071731.60409013</v>
      </c>
      <c r="J7" s="58">
        <v>2571767.3780143801</v>
      </c>
      <c r="K7" s="58">
        <v>2972112.3822771199</v>
      </c>
      <c r="L7" s="58">
        <v>2333440.24094621</v>
      </c>
      <c r="M7" s="58">
        <v>3615196.3304709001</v>
      </c>
      <c r="N7" s="58">
        <v>3768506.5426257299</v>
      </c>
      <c r="O7" s="58">
        <v>2972112.3822771199</v>
      </c>
      <c r="P7" s="58">
        <v>3041555.88723712</v>
      </c>
      <c r="Q7" s="58">
        <v>3294535.2986371201</v>
      </c>
      <c r="R7" s="58">
        <v>4615242.6484571202</v>
      </c>
      <c r="S7" s="58">
        <v>5066502.8495326201</v>
      </c>
      <c r="T7" s="58">
        <v>3041555.88723712</v>
      </c>
      <c r="U7" s="58">
        <v>4842116.8695511902</v>
      </c>
      <c r="V7" s="58">
        <v>5034357.1523066396</v>
      </c>
      <c r="W7" s="58">
        <v>4945789</v>
      </c>
      <c r="X7" s="58">
        <v>5185439</v>
      </c>
      <c r="Y7" s="58">
        <v>4842116.8695511902</v>
      </c>
      <c r="Z7" s="58">
        <v>5364567</v>
      </c>
      <c r="AA7" s="58">
        <v>6414758</v>
      </c>
      <c r="AB7" s="64"/>
      <c r="AC7" s="58">
        <f t="shared" ref="AC7:AD10" si="0">C7</f>
        <v>124424.59299999999</v>
      </c>
      <c r="AD7" s="58">
        <f t="shared" si="0"/>
        <v>203462.49799999999</v>
      </c>
      <c r="AE7" s="58">
        <v>695926</v>
      </c>
      <c r="AF7" s="58">
        <v>899861.06966000004</v>
      </c>
      <c r="AG7" s="58">
        <v>1484148.90766596</v>
      </c>
      <c r="AH7" s="58">
        <v>1872326.3255162099</v>
      </c>
      <c r="AI7" s="58">
        <f>J7</f>
        <v>2571767.3780143801</v>
      </c>
      <c r="AJ7" s="58">
        <f>G7</f>
        <v>2650679.3780143801</v>
      </c>
      <c r="AK7" s="58">
        <f>H7</f>
        <v>2839663.60409013</v>
      </c>
      <c r="AL7" s="58">
        <f>I7</f>
        <v>3071731.60409013</v>
      </c>
      <c r="AM7" s="58">
        <f>O7</f>
        <v>2972112.3822771199</v>
      </c>
      <c r="AN7" s="58">
        <f>L7</f>
        <v>2333440.24094621</v>
      </c>
      <c r="AO7" s="58">
        <f>M7</f>
        <v>3615196.3304709001</v>
      </c>
      <c r="AP7" s="58">
        <f>N7</f>
        <v>3768506.5426257299</v>
      </c>
      <c r="AQ7" s="58">
        <f>P7</f>
        <v>3041555.88723712</v>
      </c>
      <c r="AR7" s="58">
        <f>Q7</f>
        <v>3294535.2986371201</v>
      </c>
      <c r="AS7" s="58">
        <f>R7</f>
        <v>4615242.6484571202</v>
      </c>
      <c r="AT7" s="58">
        <f>S7</f>
        <v>5066502.8495326201</v>
      </c>
      <c r="AU7" s="58">
        <f>Y7</f>
        <v>4842116.8695511902</v>
      </c>
      <c r="AV7" s="58">
        <f>V7</f>
        <v>5034357.1523066396</v>
      </c>
      <c r="AW7" s="58">
        <v>4945789</v>
      </c>
    </row>
    <row r="8" spans="2:49" ht="15.75" customHeight="1" x14ac:dyDescent="0.35">
      <c r="B8" s="22" t="s">
        <v>101</v>
      </c>
      <c r="C8" s="70">
        <v>78219</v>
      </c>
      <c r="D8" s="70">
        <v>212614.28200000001</v>
      </c>
      <c r="E8" s="70">
        <v>480522.10552735202</v>
      </c>
      <c r="F8" s="56">
        <v>170731</v>
      </c>
      <c r="G8" s="56">
        <v>244134</v>
      </c>
      <c r="H8" s="56">
        <v>325091</v>
      </c>
      <c r="I8" s="56">
        <v>420123</v>
      </c>
      <c r="J8" s="56">
        <v>1160080</v>
      </c>
      <c r="K8" s="56">
        <v>526202</v>
      </c>
      <c r="L8" s="56">
        <v>616978</v>
      </c>
      <c r="M8" s="56">
        <v>852664</v>
      </c>
      <c r="N8" s="56">
        <v>625924</v>
      </c>
      <c r="O8" s="56">
        <v>2621768</v>
      </c>
      <c r="P8" s="56">
        <v>675996.87303999998</v>
      </c>
      <c r="Q8" s="56">
        <v>707433.84664</v>
      </c>
      <c r="R8" s="56">
        <v>519503.09030712402</v>
      </c>
      <c r="S8" s="56">
        <v>489164.37452287599</v>
      </c>
      <c r="T8" s="56">
        <v>2392097.1845100001</v>
      </c>
      <c r="U8" s="56">
        <v>377102</v>
      </c>
      <c r="V8" s="56">
        <v>218761</v>
      </c>
      <c r="W8" s="56">
        <v>174637</v>
      </c>
      <c r="X8" s="56">
        <v>75692</v>
      </c>
      <c r="Y8" s="56">
        <v>846192</v>
      </c>
      <c r="Z8" s="56">
        <v>398900</v>
      </c>
      <c r="AA8" s="56">
        <v>752428</v>
      </c>
      <c r="AB8" s="64"/>
      <c r="AC8" s="70">
        <f t="shared" si="0"/>
        <v>78219</v>
      </c>
      <c r="AD8" s="70">
        <f t="shared" si="0"/>
        <v>212614.28200000001</v>
      </c>
      <c r="AE8" s="70">
        <v>480522.10552735202</v>
      </c>
      <c r="AF8" s="70">
        <v>571871.61177910096</v>
      </c>
      <c r="AG8" s="70">
        <v>729343.73352735199</v>
      </c>
      <c r="AH8" s="70">
        <v>924950</v>
      </c>
      <c r="AI8" s="70">
        <f>J8</f>
        <v>1160080</v>
      </c>
      <c r="AJ8" s="56">
        <f>SUM(K8,G8:I8)</f>
        <v>1515550</v>
      </c>
      <c r="AK8" s="56">
        <f>SUM(K8:L8,H8:I8)</f>
        <v>1888394</v>
      </c>
      <c r="AL8" s="56">
        <f>SUM(K8:M8,I8)</f>
        <v>2415967</v>
      </c>
      <c r="AM8" s="56">
        <f>O8</f>
        <v>2621768</v>
      </c>
      <c r="AN8" s="56">
        <f>SUM(P8,L8:N8)</f>
        <v>2771562.87304</v>
      </c>
      <c r="AO8" s="56">
        <f>SUM(Q8,P8,N8,M8)</f>
        <v>2862018.7196800001</v>
      </c>
      <c r="AP8" s="56">
        <f>SUM(R8,Q8,P8,N8)</f>
        <v>2528857.8099871241</v>
      </c>
      <c r="AQ8" s="56">
        <f t="shared" ref="AQ8:AQ19" si="1">P8</f>
        <v>675996.87303999998</v>
      </c>
      <c r="AR8" s="56">
        <f>SUM(U8,Q8:S8)</f>
        <v>2093203.3114700001</v>
      </c>
      <c r="AS8" s="56">
        <f>SUM(U8,S8,R8,V8)</f>
        <v>1604530.46483</v>
      </c>
      <c r="AT8" s="56">
        <f>W8+V8+U8+S8</f>
        <v>1259664.374522876</v>
      </c>
      <c r="AU8" s="56">
        <f>Y8</f>
        <v>846192</v>
      </c>
      <c r="AV8" s="56">
        <f>SUM(Z8,V8:X8)</f>
        <v>867990</v>
      </c>
      <c r="AW8" s="56">
        <v>1401657</v>
      </c>
    </row>
    <row r="9" spans="2:49" ht="15.75" customHeight="1" x14ac:dyDescent="0.35">
      <c r="B9" s="22" t="s">
        <v>197</v>
      </c>
      <c r="C9" s="56">
        <v>-13880.905000000001</v>
      </c>
      <c r="D9" s="56">
        <v>-98244.2</v>
      </c>
      <c r="E9" s="56">
        <v>-254875.628312974</v>
      </c>
      <c r="F9" s="56">
        <v>298785.13900999998</v>
      </c>
      <c r="G9" s="56">
        <v>-197371.20756000001</v>
      </c>
      <c r="H9" s="56">
        <v>-441904.83620000002</v>
      </c>
      <c r="I9" s="56">
        <v>176753.90474999999</v>
      </c>
      <c r="J9" s="56">
        <v>-163737</v>
      </c>
      <c r="K9" s="56">
        <v>237992</v>
      </c>
      <c r="L9" s="56">
        <v>-1037312.68577469</v>
      </c>
      <c r="M9" s="56">
        <v>88309.685774689293</v>
      </c>
      <c r="N9" s="56">
        <v>422571.25868000003</v>
      </c>
      <c r="O9" s="56">
        <v>-288439.74131999997</v>
      </c>
      <c r="P9" s="56">
        <v>552534</v>
      </c>
      <c r="Q9" s="56">
        <v>-1043310</v>
      </c>
      <c r="R9" s="56">
        <v>-247221.94774999999</v>
      </c>
      <c r="S9" s="56">
        <v>256068</v>
      </c>
      <c r="T9" s="56">
        <v>-481930</v>
      </c>
      <c r="U9" s="56">
        <v>1117724</v>
      </c>
      <c r="V9" s="56">
        <v>-8462</v>
      </c>
      <c r="W9" s="56">
        <v>294570</v>
      </c>
      <c r="X9" s="56">
        <v>357373</v>
      </c>
      <c r="Y9" s="56">
        <v>1761205</v>
      </c>
      <c r="Z9" s="56">
        <v>-688111</v>
      </c>
      <c r="AA9" s="56">
        <v>-770762</v>
      </c>
      <c r="AB9" s="64"/>
      <c r="AC9" s="56">
        <f t="shared" si="0"/>
        <v>-13880.905000000001</v>
      </c>
      <c r="AD9" s="56">
        <f t="shared" si="0"/>
        <v>-98244.2</v>
      </c>
      <c r="AE9" s="56">
        <v>-494065.91895345302</v>
      </c>
      <c r="AF9" s="56">
        <v>-6169.6694829741</v>
      </c>
      <c r="AG9" s="56">
        <v>-30768.302862974098</v>
      </c>
      <c r="AH9" s="56">
        <v>-289989.13355297397</v>
      </c>
      <c r="AI9" s="70">
        <f>J9</f>
        <v>-163737</v>
      </c>
      <c r="AJ9" s="56">
        <f>SUM(K9,G9:I9)</f>
        <v>-224530.13901000004</v>
      </c>
      <c r="AK9" s="56">
        <f>SUM(K9:L9,H9:I9)</f>
        <v>-1064471.61722469</v>
      </c>
      <c r="AL9" s="56">
        <f>SUM(K9:M9,I9)</f>
        <v>-534257.09525000071</v>
      </c>
      <c r="AM9" s="56">
        <f>O9</f>
        <v>-288439.74131999997</v>
      </c>
      <c r="AN9" s="56">
        <f>SUM(P9,L9:N9)</f>
        <v>26102.25867999933</v>
      </c>
      <c r="AO9" s="56">
        <f>SUM(Q9,P9,N9,M9)</f>
        <v>20104.944454689321</v>
      </c>
      <c r="AP9" s="56">
        <f>SUM(R9,Q9,P9,N9)</f>
        <v>-315426.68907000002</v>
      </c>
      <c r="AQ9" s="56">
        <f t="shared" si="1"/>
        <v>552534</v>
      </c>
      <c r="AR9" s="56">
        <f>SUM(U9,Q9:S9)</f>
        <v>83260.052250000008</v>
      </c>
      <c r="AS9" s="56">
        <f>SUM(U9,S9,R9,V9)</f>
        <v>1118108.0522499999</v>
      </c>
      <c r="AT9" s="56">
        <f>W9+V9+U9+S9</f>
        <v>1659900</v>
      </c>
      <c r="AU9" s="56">
        <f>Y9</f>
        <v>1761205</v>
      </c>
      <c r="AV9" s="56">
        <f>SUM(Z9,V9:X9)</f>
        <v>-44630</v>
      </c>
      <c r="AW9" s="56">
        <v>-806930</v>
      </c>
    </row>
    <row r="10" spans="2:49" ht="15.75" customHeight="1" x14ac:dyDescent="0.35">
      <c r="B10" s="22" t="s">
        <v>198</v>
      </c>
      <c r="C10" s="56">
        <v>0</v>
      </c>
      <c r="D10" s="56">
        <v>-16446</v>
      </c>
      <c r="E10" s="56">
        <v>-8445.8092500000002</v>
      </c>
      <c r="F10" s="56">
        <v>0</v>
      </c>
      <c r="G10" s="56">
        <v>0</v>
      </c>
      <c r="H10" s="56">
        <v>0</v>
      </c>
      <c r="I10" s="56">
        <v>0</v>
      </c>
      <c r="J10" s="56">
        <v>0</v>
      </c>
      <c r="K10" s="56">
        <v>-25867</v>
      </c>
      <c r="L10" s="56">
        <v>-23175</v>
      </c>
      <c r="M10" s="56">
        <v>-14853</v>
      </c>
      <c r="N10" s="56">
        <v>-23965</v>
      </c>
      <c r="O10" s="56">
        <v>-87860</v>
      </c>
      <c r="P10" s="56">
        <v>0</v>
      </c>
      <c r="Q10" s="56">
        <v>0</v>
      </c>
      <c r="R10" s="56">
        <v>0</v>
      </c>
      <c r="S10" s="56">
        <v>0</v>
      </c>
      <c r="T10" s="56">
        <v>0</v>
      </c>
      <c r="U10" s="56">
        <v>0</v>
      </c>
      <c r="V10" s="56">
        <v>0</v>
      </c>
      <c r="W10" s="56">
        <v>0</v>
      </c>
      <c r="X10" s="56">
        <v>0</v>
      </c>
      <c r="Y10" s="56">
        <v>0</v>
      </c>
      <c r="Z10" s="56">
        <v>0</v>
      </c>
      <c r="AA10" s="56">
        <v>0</v>
      </c>
      <c r="AB10" s="64"/>
      <c r="AC10" s="70">
        <f t="shared" si="0"/>
        <v>0</v>
      </c>
      <c r="AD10" s="70">
        <f t="shared" si="0"/>
        <v>-16446</v>
      </c>
      <c r="AE10" s="70">
        <v>-8445.8092500000002</v>
      </c>
      <c r="AF10" s="70">
        <v>-772.96943999999996</v>
      </c>
      <c r="AG10" s="70">
        <v>-773.80925000000002</v>
      </c>
      <c r="AH10" s="70">
        <v>-4.2217099999998</v>
      </c>
      <c r="AI10" s="70">
        <f>J10</f>
        <v>0</v>
      </c>
      <c r="AJ10" s="56">
        <f>SUM(K10,G10:I10)</f>
        <v>-25867</v>
      </c>
      <c r="AK10" s="56">
        <f>SUM(K10:L10,H10:I10)</f>
        <v>-49042</v>
      </c>
      <c r="AL10" s="56">
        <f>SUM(K10:M10,I10)</f>
        <v>-63895</v>
      </c>
      <c r="AM10" s="56">
        <f>O10</f>
        <v>-87860</v>
      </c>
      <c r="AN10" s="56">
        <f>SUM(P10,L10:N10)</f>
        <v>-61993</v>
      </c>
      <c r="AO10" s="56">
        <f>SUM(Q10,P10,N10,M10)</f>
        <v>-38818</v>
      </c>
      <c r="AP10" s="56">
        <f>SUM(R10,Q10,P10,N10)</f>
        <v>-23965</v>
      </c>
      <c r="AQ10" s="56">
        <f t="shared" si="1"/>
        <v>0</v>
      </c>
      <c r="AR10" s="56">
        <f>SUM(U10,Q10:S10)</f>
        <v>0</v>
      </c>
      <c r="AS10" s="56">
        <f>SUM(U10,S10,R10,V10)</f>
        <v>0</v>
      </c>
      <c r="AT10" s="56">
        <f>W10+V10+U10+S10</f>
        <v>0</v>
      </c>
      <c r="AU10" s="56">
        <f>Y10</f>
        <v>0</v>
      </c>
      <c r="AV10" s="56">
        <f>SUM(Z10,V10:X10)</f>
        <v>0</v>
      </c>
      <c r="AW10" s="56">
        <v>0</v>
      </c>
    </row>
    <row r="11" spans="2:49" ht="15.75" customHeight="1" x14ac:dyDescent="0.35">
      <c r="B11" s="32" t="s">
        <v>199</v>
      </c>
      <c r="C11" s="58">
        <f>SUM(C8:C10)</f>
        <v>64338.095000000001</v>
      </c>
      <c r="D11" s="58">
        <f>SUM(D8:D10)</f>
        <v>97924.082000000009</v>
      </c>
      <c r="E11" s="58">
        <v>217200.66796437799</v>
      </c>
      <c r="F11" s="58">
        <f t="shared" ref="F11:AA11" si="2">SUM(F8:F10)</f>
        <v>469516.13900999998</v>
      </c>
      <c r="G11" s="58">
        <f t="shared" si="2"/>
        <v>46762.79243999999</v>
      </c>
      <c r="H11" s="58">
        <f t="shared" si="2"/>
        <v>-116813.83620000002</v>
      </c>
      <c r="I11" s="58">
        <f t="shared" si="2"/>
        <v>596876.90474999999</v>
      </c>
      <c r="J11" s="58">
        <f t="shared" si="2"/>
        <v>996343</v>
      </c>
      <c r="K11" s="58">
        <f t="shared" si="2"/>
        <v>738327</v>
      </c>
      <c r="L11" s="58">
        <f t="shared" si="2"/>
        <v>-443509.68577469001</v>
      </c>
      <c r="M11" s="58">
        <f t="shared" si="2"/>
        <v>926120.68577468931</v>
      </c>
      <c r="N11" s="58">
        <f t="shared" si="2"/>
        <v>1024530.25868</v>
      </c>
      <c r="O11" s="58">
        <f t="shared" si="2"/>
        <v>2245468.25868</v>
      </c>
      <c r="P11" s="58">
        <f t="shared" si="2"/>
        <v>1228530.87304</v>
      </c>
      <c r="Q11" s="58">
        <f t="shared" si="2"/>
        <v>-335876.15336</v>
      </c>
      <c r="R11" s="58">
        <f t="shared" si="2"/>
        <v>272281.14255712403</v>
      </c>
      <c r="S11" s="58">
        <f t="shared" si="2"/>
        <v>745232.37452287599</v>
      </c>
      <c r="T11" s="58">
        <f t="shared" si="2"/>
        <v>1910167.1845100001</v>
      </c>
      <c r="U11" s="58">
        <f t="shared" si="2"/>
        <v>1494826</v>
      </c>
      <c r="V11" s="58">
        <f t="shared" si="2"/>
        <v>210299</v>
      </c>
      <c r="W11" s="58">
        <f t="shared" si="2"/>
        <v>469207</v>
      </c>
      <c r="X11" s="58">
        <f t="shared" si="2"/>
        <v>433065</v>
      </c>
      <c r="Y11" s="58">
        <f t="shared" si="2"/>
        <v>2607397</v>
      </c>
      <c r="Z11" s="58">
        <f t="shared" si="2"/>
        <v>-289211</v>
      </c>
      <c r="AA11" s="58">
        <f t="shared" si="2"/>
        <v>-18334</v>
      </c>
      <c r="AB11" s="64"/>
      <c r="AC11" s="58">
        <f>SUM(AC8:AC10)</f>
        <v>64338.095000000001</v>
      </c>
      <c r="AD11" s="58">
        <f>SUM(AD8:AD10)</f>
        <v>97924.082000000009</v>
      </c>
      <c r="AE11" s="58">
        <v>-21989.622676101</v>
      </c>
      <c r="AF11" s="58">
        <v>564928.97285612603</v>
      </c>
      <c r="AG11" s="58">
        <v>697801.62141437805</v>
      </c>
      <c r="AH11" s="58">
        <v>634956.64473702596</v>
      </c>
      <c r="AI11" s="58">
        <f t="shared" ref="AI11:AP11" si="3">SUM(AI8:AI10)</f>
        <v>996343</v>
      </c>
      <c r="AJ11" s="58">
        <f t="shared" si="3"/>
        <v>1265152.86099</v>
      </c>
      <c r="AK11" s="58">
        <f t="shared" si="3"/>
        <v>774880.38277530996</v>
      </c>
      <c r="AL11" s="58">
        <f t="shared" si="3"/>
        <v>1817814.9047499993</v>
      </c>
      <c r="AM11" s="58">
        <f t="shared" si="3"/>
        <v>2245468.25868</v>
      </c>
      <c r="AN11" s="58">
        <f t="shared" si="3"/>
        <v>2735672.1317199995</v>
      </c>
      <c r="AO11" s="58">
        <f t="shared" si="3"/>
        <v>2843305.6641346896</v>
      </c>
      <c r="AP11" s="58">
        <f t="shared" si="3"/>
        <v>2189466.1209171242</v>
      </c>
      <c r="AQ11" s="58">
        <f t="shared" si="1"/>
        <v>1228530.87304</v>
      </c>
      <c r="AR11" s="58">
        <f>SUM(AR8:AR10)</f>
        <v>2176463.3637200003</v>
      </c>
      <c r="AS11" s="58">
        <f>SUM(AS8:AS10)</f>
        <v>2722638.5170799997</v>
      </c>
      <c r="AT11" s="58">
        <f>SUM(AT8:AT10)</f>
        <v>2919564.374522876</v>
      </c>
      <c r="AU11" s="58">
        <f>SUM(AU8:AU10)</f>
        <v>2607397</v>
      </c>
      <c r="AV11" s="58">
        <f>SUM(AV8:AV10)</f>
        <v>823360</v>
      </c>
      <c r="AW11" s="58">
        <v>594727</v>
      </c>
    </row>
    <row r="12" spans="2:49" ht="15.75" customHeight="1" x14ac:dyDescent="0.35">
      <c r="B12" s="22" t="s">
        <v>200</v>
      </c>
      <c r="C12" s="56">
        <v>-109791</v>
      </c>
      <c r="D12" s="56">
        <v>-386852</v>
      </c>
      <c r="E12" s="56">
        <v>-1153527.0313428501</v>
      </c>
      <c r="F12" s="56">
        <v>-281400.13900999998</v>
      </c>
      <c r="G12" s="56">
        <v>-142676.306054974</v>
      </c>
      <c r="H12" s="56">
        <v>-84638.646482943703</v>
      </c>
      <c r="I12" s="56">
        <v>-106203.908452082</v>
      </c>
      <c r="J12" s="56">
        <v>-614919</v>
      </c>
      <c r="K12" s="56">
        <v>-145563</v>
      </c>
      <c r="L12" s="56">
        <v>-132775</v>
      </c>
      <c r="M12" s="56">
        <v>-125442</v>
      </c>
      <c r="N12" s="56">
        <v>-215712</v>
      </c>
      <c r="O12" s="56">
        <v>-619492</v>
      </c>
      <c r="P12" s="56">
        <v>-281895</v>
      </c>
      <c r="Q12" s="56">
        <v>-197750</v>
      </c>
      <c r="R12" s="56">
        <v>-105986.690467124</v>
      </c>
      <c r="S12" s="56">
        <v>-97729.778520000094</v>
      </c>
      <c r="T12" s="56">
        <v>-683361.77852000005</v>
      </c>
      <c r="U12" s="56">
        <v>-386678.49566416797</v>
      </c>
      <c r="V12" s="56">
        <v>-4904.5043358324901</v>
      </c>
      <c r="W12" s="56">
        <v>-197864</v>
      </c>
      <c r="X12" s="56">
        <v>-148882</v>
      </c>
      <c r="Y12" s="56">
        <v>-738329</v>
      </c>
      <c r="Z12" s="56">
        <v>-101207</v>
      </c>
      <c r="AA12" s="56">
        <v>-220437</v>
      </c>
      <c r="AB12" s="64"/>
      <c r="AC12" s="70">
        <f t="shared" ref="AC12:AD16" si="4">C12</f>
        <v>-109791</v>
      </c>
      <c r="AD12" s="70">
        <f t="shared" si="4"/>
        <v>-386852</v>
      </c>
      <c r="AE12" s="70">
        <v>-1153527.0313428501</v>
      </c>
      <c r="AF12" s="70">
        <v>-1154105.6231146001</v>
      </c>
      <c r="AG12" s="70">
        <v>-965136.59074186406</v>
      </c>
      <c r="AH12" s="70">
        <v>-785808.14780076803</v>
      </c>
      <c r="AI12" s="70">
        <f>J12</f>
        <v>-614919</v>
      </c>
      <c r="AJ12" s="56">
        <f>SUM(K12,G12:I12)</f>
        <v>-479081.86098999967</v>
      </c>
      <c r="AK12" s="56">
        <f>SUM(K12:L12,H12:I12)</f>
        <v>-469180.55493502569</v>
      </c>
      <c r="AL12" s="56">
        <f>SUM(K12:M12,I12)</f>
        <v>-509983.90845208202</v>
      </c>
      <c r="AM12" s="56">
        <f>O12</f>
        <v>-619492</v>
      </c>
      <c r="AN12" s="56">
        <f>SUM(P12,L12:N12)</f>
        <v>-755824</v>
      </c>
      <c r="AO12" s="56">
        <f>SUM(Q12,P12,N12,M12)</f>
        <v>-820799</v>
      </c>
      <c r="AP12" s="56">
        <f>SUM(R12,Q12,P12,N12)</f>
        <v>-801343.69046712399</v>
      </c>
      <c r="AQ12" s="56">
        <f t="shared" si="1"/>
        <v>-281895</v>
      </c>
      <c r="AR12" s="56">
        <f>SUM(U12,Q12:S12)</f>
        <v>-788144.96465129196</v>
      </c>
      <c r="AS12" s="56">
        <f>SUM(U12,S12,R12,V12)</f>
        <v>-595299.46898712451</v>
      </c>
      <c r="AT12" s="56">
        <f>W12+V12+U12+S12</f>
        <v>-687176.77852000052</v>
      </c>
      <c r="AU12" s="56">
        <f>Y12</f>
        <v>-738329</v>
      </c>
      <c r="AV12" s="56">
        <f>SUM(Z12,V12:X12)</f>
        <v>-452857.50433583249</v>
      </c>
      <c r="AW12" s="56">
        <v>-668390</v>
      </c>
    </row>
    <row r="13" spans="2:49" ht="15.75" customHeight="1" x14ac:dyDescent="0.35">
      <c r="B13" s="22" t="s">
        <v>201</v>
      </c>
      <c r="C13" s="56">
        <v>-16216</v>
      </c>
      <c r="D13" s="56">
        <v>-29333</v>
      </c>
      <c r="E13" s="56">
        <v>-105676.909108561</v>
      </c>
      <c r="F13" s="56">
        <v>-67693</v>
      </c>
      <c r="G13" s="56">
        <v>-76280.478820000004</v>
      </c>
      <c r="H13" s="56">
        <v>-71876.681079999995</v>
      </c>
      <c r="I13" s="56">
        <v>-168559.8401</v>
      </c>
      <c r="J13" s="56">
        <v>-384410</v>
      </c>
      <c r="K13" s="56">
        <v>-18075.910909090901</v>
      </c>
      <c r="L13" s="56">
        <v>-183666</v>
      </c>
      <c r="M13" s="56">
        <v>-50578.482499999998</v>
      </c>
      <c r="N13" s="56">
        <v>-234282.60659090901</v>
      </c>
      <c r="O13" s="56">
        <v>-486603</v>
      </c>
      <c r="P13" s="56">
        <v>-113293</v>
      </c>
      <c r="Q13" s="56">
        <v>-248938</v>
      </c>
      <c r="R13" s="56">
        <v>-111970.152173913</v>
      </c>
      <c r="S13" s="56">
        <v>-452621</v>
      </c>
      <c r="T13" s="56">
        <v>-926822</v>
      </c>
      <c r="U13" s="56">
        <v>-112416</v>
      </c>
      <c r="V13" s="56">
        <v>-187133</v>
      </c>
      <c r="W13" s="56">
        <v>-322785</v>
      </c>
      <c r="X13" s="56">
        <v>-384723</v>
      </c>
      <c r="Y13" s="56">
        <v>-1007057</v>
      </c>
      <c r="Z13" s="56">
        <v>-328450</v>
      </c>
      <c r="AA13" s="56">
        <v>-266734</v>
      </c>
      <c r="AB13" s="64"/>
      <c r="AC13" s="70">
        <f t="shared" si="4"/>
        <v>-16216</v>
      </c>
      <c r="AD13" s="70">
        <f t="shared" si="4"/>
        <v>-29333</v>
      </c>
      <c r="AE13" s="70">
        <v>-105676.909108561</v>
      </c>
      <c r="AF13" s="70">
        <v>-157494.55256856099</v>
      </c>
      <c r="AG13" s="70">
        <v>-213633.38792856099</v>
      </c>
      <c r="AH13" s="70">
        <v>-266662.60010500002</v>
      </c>
      <c r="AI13" s="70">
        <f>J13</f>
        <v>-384410</v>
      </c>
      <c r="AJ13" s="56">
        <f>SUM(K13,G13:I13)</f>
        <v>-334792.91090909089</v>
      </c>
      <c r="AK13" s="56">
        <f>SUM(K13:L13,H13:I13)</f>
        <v>-442178.43208909093</v>
      </c>
      <c r="AL13" s="56">
        <f>SUM(K13:M13,I13)</f>
        <v>-420880.23350909085</v>
      </c>
      <c r="AM13" s="56">
        <f>O13</f>
        <v>-486603</v>
      </c>
      <c r="AN13" s="56">
        <f>SUM(P13,L13:N13)</f>
        <v>-581820.08909090899</v>
      </c>
      <c r="AO13" s="56">
        <f>SUM(Q13,P13,N13,M13)</f>
        <v>-647092.08909090899</v>
      </c>
      <c r="AP13" s="56">
        <f>SUM(R13,Q13,P13,N13)</f>
        <v>-708483.75876482204</v>
      </c>
      <c r="AQ13" s="56">
        <f t="shared" si="1"/>
        <v>-113293</v>
      </c>
      <c r="AR13" s="56">
        <f>SUM(U13,Q13:S13)</f>
        <v>-925945.15217391297</v>
      </c>
      <c r="AS13" s="56">
        <f>SUM(U13,S13,R13,V13)</f>
        <v>-864140.15217391297</v>
      </c>
      <c r="AT13" s="56">
        <f>W13+V13+U13+S13</f>
        <v>-1074955</v>
      </c>
      <c r="AU13" s="56">
        <f>Y13</f>
        <v>-1007057</v>
      </c>
      <c r="AV13" s="56">
        <f>SUM(Z13,V13:X13)</f>
        <v>-1223091</v>
      </c>
      <c r="AW13" s="56">
        <v>-1302692</v>
      </c>
    </row>
    <row r="14" spans="2:49" ht="15.75" customHeight="1" x14ac:dyDescent="0.35">
      <c r="B14" s="22" t="s">
        <v>202</v>
      </c>
      <c r="C14" s="70">
        <v>-12681</v>
      </c>
      <c r="D14" s="70">
        <v>-158171</v>
      </c>
      <c r="E14" s="70">
        <v>-802520</v>
      </c>
      <c r="F14" s="56">
        <v>-199335</v>
      </c>
      <c r="G14" s="56">
        <v>-16790.233640767201</v>
      </c>
      <c r="H14" s="56">
        <v>41261.163762943797</v>
      </c>
      <c r="I14" s="56">
        <v>-222493.93438491001</v>
      </c>
      <c r="J14" s="56">
        <v>-397357.93438490998</v>
      </c>
      <c r="K14" s="56">
        <v>318259.05223999999</v>
      </c>
      <c r="L14" s="56">
        <v>-262360.40375</v>
      </c>
      <c r="M14" s="56">
        <v>-284347.89162000001</v>
      </c>
      <c r="N14" s="56">
        <v>440113.47949</v>
      </c>
      <c r="O14" s="56">
        <v>211663.23636000001</v>
      </c>
      <c r="P14" s="56">
        <v>-708822.28443999996</v>
      </c>
      <c r="Q14" s="56">
        <v>-213143.19646000001</v>
      </c>
      <c r="R14" s="56">
        <v>-495184.50099158398</v>
      </c>
      <c r="S14" s="56">
        <v>29504.383978544702</v>
      </c>
      <c r="T14" s="56">
        <v>-1387644.3883040801</v>
      </c>
      <c r="U14" s="56">
        <v>-542536.78709127696</v>
      </c>
      <c r="V14" s="56">
        <v>70255.656642471105</v>
      </c>
      <c r="W14" s="56">
        <v>-167683</v>
      </c>
      <c r="X14" s="56">
        <v>-78587.999999999505</v>
      </c>
      <c r="Y14" s="56">
        <v>-718552.13044880505</v>
      </c>
      <c r="Z14" s="56">
        <v>-331323</v>
      </c>
      <c r="AA14" s="56">
        <v>34939.999999999593</v>
      </c>
      <c r="AB14" s="64"/>
      <c r="AC14" s="70">
        <f t="shared" si="4"/>
        <v>-12681</v>
      </c>
      <c r="AD14" s="70">
        <f t="shared" si="4"/>
        <v>-158171</v>
      </c>
      <c r="AE14" s="70">
        <v>-563329.56000000006</v>
      </c>
      <c r="AF14" s="70">
        <v>-972829</v>
      </c>
      <c r="AG14" s="70">
        <v>-843228.23364076705</v>
      </c>
      <c r="AH14" s="70">
        <v>-750573.069877823</v>
      </c>
      <c r="AI14" s="70">
        <f>J14</f>
        <v>-397357.93438490998</v>
      </c>
      <c r="AJ14" s="56">
        <f>SUM(K14,G14:I14)</f>
        <v>120236.04797726657</v>
      </c>
      <c r="AK14" s="56">
        <f>SUM(K14:L14,H14:I14)</f>
        <v>-125334.12213196623</v>
      </c>
      <c r="AL14" s="56">
        <f>SUM(K14:M14,I14)</f>
        <v>-450943.17751491</v>
      </c>
      <c r="AM14" s="56">
        <f>O14</f>
        <v>211663.23636000001</v>
      </c>
      <c r="AN14" s="56">
        <f>SUM(P14,L14:N14)</f>
        <v>-815417.10031999997</v>
      </c>
      <c r="AO14" s="56">
        <f>SUM(Q14,P14,N14,M14)</f>
        <v>-766199.89302999992</v>
      </c>
      <c r="AP14" s="56">
        <f>SUM(R14,Q14,P14,N14)</f>
        <v>-977036.50240158406</v>
      </c>
      <c r="AQ14" s="56">
        <f t="shared" si="1"/>
        <v>-708822.28443999996</v>
      </c>
      <c r="AR14" s="56">
        <f>SUM(U14,Q14:S14)</f>
        <v>-1221360.1005643161</v>
      </c>
      <c r="AS14" s="56">
        <f>SUM(U14,S14,R14,V14)</f>
        <v>-937961.24746184517</v>
      </c>
      <c r="AT14" s="56">
        <f>W14+V14+U14+S14</f>
        <v>-610459.74647026113</v>
      </c>
      <c r="AU14" s="56">
        <f>Y14</f>
        <v>-718552.13044880505</v>
      </c>
      <c r="AV14" s="56">
        <f>SUM(Z14,V14:X14)</f>
        <v>-507338.34335752844</v>
      </c>
      <c r="AW14" s="56">
        <v>-542654</v>
      </c>
    </row>
    <row r="15" spans="2:49" ht="15.75" customHeight="1" x14ac:dyDescent="0.35">
      <c r="B15" s="22" t="s">
        <v>203</v>
      </c>
      <c r="C15" s="56">
        <v>0</v>
      </c>
      <c r="D15" s="56">
        <v>-16031</v>
      </c>
      <c r="E15" s="56">
        <v>-31318</v>
      </c>
      <c r="F15" s="56">
        <v>0</v>
      </c>
      <c r="G15" s="56">
        <v>0</v>
      </c>
      <c r="H15" s="56">
        <v>0</v>
      </c>
      <c r="I15" s="56">
        <v>0</v>
      </c>
      <c r="J15" s="56">
        <v>0</v>
      </c>
      <c r="K15" s="56">
        <v>-254275</v>
      </c>
      <c r="L15" s="56">
        <v>-259445</v>
      </c>
      <c r="M15" s="56">
        <v>-342303</v>
      </c>
      <c r="N15" s="56">
        <v>-287697</v>
      </c>
      <c r="O15" s="56">
        <v>-1143720</v>
      </c>
      <c r="P15" s="56">
        <v>-377500</v>
      </c>
      <c r="Q15" s="56">
        <v>-325000</v>
      </c>
      <c r="R15" s="56">
        <v>-10400</v>
      </c>
      <c r="S15" s="56">
        <v>0</v>
      </c>
      <c r="T15" s="56">
        <v>-712900</v>
      </c>
      <c r="U15" s="56">
        <v>-645384</v>
      </c>
      <c r="V15" s="56">
        <v>0</v>
      </c>
      <c r="W15" s="56">
        <v>-20525</v>
      </c>
      <c r="X15" s="56">
        <v>0</v>
      </c>
      <c r="Y15" s="56">
        <v>-665909</v>
      </c>
      <c r="Z15" s="56">
        <v>0</v>
      </c>
      <c r="AA15" s="56">
        <v>0</v>
      </c>
      <c r="AB15" s="64"/>
      <c r="AC15" s="70">
        <f t="shared" si="4"/>
        <v>0</v>
      </c>
      <c r="AD15" s="70">
        <f t="shared" si="4"/>
        <v>-16031</v>
      </c>
      <c r="AE15" s="70">
        <v>-68291</v>
      </c>
      <c r="AF15" s="70">
        <v>-31318</v>
      </c>
      <c r="AG15" s="70">
        <v>-31318</v>
      </c>
      <c r="AH15" s="70">
        <v>-31318</v>
      </c>
      <c r="AI15" s="70">
        <f>J15</f>
        <v>0</v>
      </c>
      <c r="AJ15" s="56">
        <f>SUM(K15,G15:I15)</f>
        <v>-254275</v>
      </c>
      <c r="AK15" s="56">
        <f>SUM(K15:L15,H15:I15)</f>
        <v>-513720</v>
      </c>
      <c r="AL15" s="56">
        <f>SUM(K15:M15,I15)</f>
        <v>-856023</v>
      </c>
      <c r="AM15" s="56">
        <f>O15</f>
        <v>-1143720</v>
      </c>
      <c r="AN15" s="56">
        <f>SUM(P15,L15:N15)</f>
        <v>-1266945</v>
      </c>
      <c r="AO15" s="56">
        <f>SUM(Q15,P15,N15,M15)</f>
        <v>-1332500</v>
      </c>
      <c r="AP15" s="56">
        <f>SUM(R15,Q15,P15,N15)</f>
        <v>-1000597</v>
      </c>
      <c r="AQ15" s="56">
        <f t="shared" si="1"/>
        <v>-377500</v>
      </c>
      <c r="AR15" s="56">
        <f>SUM(U15,Q15:S15)</f>
        <v>-980784</v>
      </c>
      <c r="AS15" s="56">
        <f>SUM(U15,S15,R15,V15)</f>
        <v>-655784</v>
      </c>
      <c r="AT15" s="56">
        <f>W15+V15+U15+S15</f>
        <v>-665909</v>
      </c>
      <c r="AU15" s="56">
        <f>Y15</f>
        <v>-665909</v>
      </c>
      <c r="AV15" s="56">
        <f>SUM(Z15,V15:X15)</f>
        <v>-20525</v>
      </c>
      <c r="AW15" s="56">
        <v>-20525</v>
      </c>
    </row>
    <row r="16" spans="2:49" ht="15.75" customHeight="1" x14ac:dyDescent="0.35">
      <c r="B16" s="22" t="s">
        <v>204</v>
      </c>
      <c r="C16" s="56">
        <v>0</v>
      </c>
      <c r="D16" s="56">
        <v>0</v>
      </c>
      <c r="E16" s="56">
        <v>0</v>
      </c>
      <c r="F16" s="56">
        <v>0</v>
      </c>
      <c r="G16" s="56">
        <v>0</v>
      </c>
      <c r="H16" s="56">
        <v>0</v>
      </c>
      <c r="I16" s="56">
        <v>0</v>
      </c>
      <c r="J16" s="56">
        <v>0</v>
      </c>
      <c r="K16" s="56">
        <v>0</v>
      </c>
      <c r="L16" s="56">
        <v>0</v>
      </c>
      <c r="M16" s="56">
        <v>-276759.52380952402</v>
      </c>
      <c r="N16" s="56">
        <v>-0.47619047615444299</v>
      </c>
      <c r="O16" s="56">
        <v>-276760</v>
      </c>
      <c r="P16" s="56">
        <v>0</v>
      </c>
      <c r="Q16" s="56">
        <v>0</v>
      </c>
      <c r="R16" s="56">
        <v>0</v>
      </c>
      <c r="S16" s="56">
        <v>0</v>
      </c>
      <c r="T16" s="56">
        <v>0</v>
      </c>
      <c r="U16" s="56">
        <v>0</v>
      </c>
      <c r="V16" s="56">
        <v>0</v>
      </c>
      <c r="W16" s="56">
        <v>0</v>
      </c>
      <c r="X16" s="56">
        <v>0</v>
      </c>
      <c r="Y16" s="56">
        <v>0</v>
      </c>
      <c r="Z16" s="56">
        <v>0</v>
      </c>
      <c r="AA16" s="56">
        <v>0</v>
      </c>
      <c r="AB16" s="64"/>
      <c r="AC16" s="70">
        <f t="shared" si="4"/>
        <v>0</v>
      </c>
      <c r="AD16" s="70">
        <f t="shared" si="4"/>
        <v>0</v>
      </c>
      <c r="AE16" s="70">
        <v>0</v>
      </c>
      <c r="AF16" s="70">
        <v>0</v>
      </c>
      <c r="AG16" s="70">
        <v>0</v>
      </c>
      <c r="AH16" s="70">
        <v>0</v>
      </c>
      <c r="AI16" s="70">
        <f>J16</f>
        <v>0</v>
      </c>
      <c r="AJ16" s="56">
        <f>SUM(K16,G16:I16)</f>
        <v>0</v>
      </c>
      <c r="AK16" s="56">
        <f>SUM(K16:L16,H16:I16)</f>
        <v>0</v>
      </c>
      <c r="AL16" s="56">
        <f>SUM(K16:M16,I16)</f>
        <v>-276759.52380952402</v>
      </c>
      <c r="AM16" s="56">
        <f>O16</f>
        <v>-276760</v>
      </c>
      <c r="AN16" s="56">
        <f>SUM(P16,L16:N16)</f>
        <v>-276760.00000000017</v>
      </c>
      <c r="AO16" s="56">
        <f>SUM(Q16,P16,N16,M16)</f>
        <v>-276760.00000000017</v>
      </c>
      <c r="AP16" s="56">
        <f>SUM(R16,Q16,P16,N16)</f>
        <v>-0.47619047615444299</v>
      </c>
      <c r="AQ16" s="56">
        <f t="shared" si="1"/>
        <v>0</v>
      </c>
      <c r="AR16" s="56">
        <f>SUM(U16,Q16:S16)</f>
        <v>0</v>
      </c>
      <c r="AS16" s="56">
        <f>SUM(U16,S16,R16,V16)</f>
        <v>0</v>
      </c>
      <c r="AT16" s="56">
        <f>W16+V16+U16+S16</f>
        <v>0</v>
      </c>
      <c r="AU16" s="56">
        <f>Y16</f>
        <v>0</v>
      </c>
      <c r="AV16" s="56">
        <f>SUM(Z16,V16:X16)</f>
        <v>0</v>
      </c>
      <c r="AW16" s="56">
        <v>0</v>
      </c>
    </row>
    <row r="17" spans="2:49" ht="15.75" customHeight="1" x14ac:dyDescent="0.35">
      <c r="B17" s="10" t="s">
        <v>205</v>
      </c>
      <c r="C17" s="59">
        <f>C7-SUM(C8:C10,C12:C16)</f>
        <v>198774.49799999999</v>
      </c>
      <c r="D17" s="59">
        <f>D7-SUM(D8:D10,D12:D16)</f>
        <v>695925.41599999997</v>
      </c>
      <c r="E17" s="59">
        <v>2571767.2724870299</v>
      </c>
      <c r="F17" s="59">
        <f t="shared" ref="F17:AA17" si="5">F7-SUM(F8:F10,F12:F16)</f>
        <v>2650679.2724870299</v>
      </c>
      <c r="G17" s="59">
        <f t="shared" si="5"/>
        <v>2839663.6040901211</v>
      </c>
      <c r="H17" s="59">
        <f t="shared" si="5"/>
        <v>3071731.60409013</v>
      </c>
      <c r="I17" s="59">
        <f t="shared" si="5"/>
        <v>2972112.3822771218</v>
      </c>
      <c r="J17" s="59">
        <f t="shared" si="5"/>
        <v>2972111.31239929</v>
      </c>
      <c r="K17" s="59">
        <f t="shared" si="5"/>
        <v>2333440.2409462109</v>
      </c>
      <c r="L17" s="59">
        <f t="shared" si="5"/>
        <v>3615196.3304709001</v>
      </c>
      <c r="M17" s="59">
        <f t="shared" si="5"/>
        <v>3768506.5426257346</v>
      </c>
      <c r="N17" s="59">
        <f t="shared" si="5"/>
        <v>3041554.8872371148</v>
      </c>
      <c r="O17" s="59">
        <f t="shared" si="5"/>
        <v>3041555.88723712</v>
      </c>
      <c r="P17" s="59">
        <f t="shared" si="5"/>
        <v>3294535.2986371201</v>
      </c>
      <c r="Q17" s="59">
        <f t="shared" si="5"/>
        <v>4615242.6484571202</v>
      </c>
      <c r="R17" s="59">
        <f t="shared" si="5"/>
        <v>5066502.8495326173</v>
      </c>
      <c r="S17" s="59">
        <f t="shared" si="5"/>
        <v>4842116.8695511995</v>
      </c>
      <c r="T17" s="59">
        <f t="shared" si="5"/>
        <v>4842116.8695512004</v>
      </c>
      <c r="U17" s="59">
        <f t="shared" si="5"/>
        <v>5034306.1523066349</v>
      </c>
      <c r="V17" s="59">
        <f t="shared" si="5"/>
        <v>4945840.0000000009</v>
      </c>
      <c r="W17" s="59">
        <f t="shared" si="5"/>
        <v>5185439</v>
      </c>
      <c r="X17" s="59">
        <f t="shared" si="5"/>
        <v>5364566.9999999991</v>
      </c>
      <c r="Y17" s="59">
        <f t="shared" si="5"/>
        <v>5364566.9999999953</v>
      </c>
      <c r="Z17" s="59">
        <f t="shared" si="5"/>
        <v>6414758</v>
      </c>
      <c r="AA17" s="59">
        <f t="shared" si="5"/>
        <v>6885323</v>
      </c>
      <c r="AB17" s="64"/>
      <c r="AC17" s="59">
        <f>AC7-SUM(AC8:AC10,AC12:AC16)</f>
        <v>198774.49799999999</v>
      </c>
      <c r="AD17" s="59">
        <f>AD7-SUM(AD8:AD10,AD12:AD16)</f>
        <v>695925.41599999997</v>
      </c>
      <c r="AE17" s="59">
        <v>2608740.1231275098</v>
      </c>
      <c r="AF17" s="59">
        <v>2650679.2724870299</v>
      </c>
      <c r="AG17" s="59">
        <v>2839663.49856277</v>
      </c>
      <c r="AH17" s="59">
        <v>3071731.4985627802</v>
      </c>
      <c r="AI17" s="59">
        <f t="shared" ref="AI17:AP17" si="6">AI7-SUM(AI8:AI10,AI12:AI16)</f>
        <v>2972111.31239929</v>
      </c>
      <c r="AJ17" s="59">
        <f t="shared" si="6"/>
        <v>2333440.2409462044</v>
      </c>
      <c r="AK17" s="59">
        <f t="shared" si="6"/>
        <v>3615196.3304709028</v>
      </c>
      <c r="AL17" s="59">
        <f t="shared" si="6"/>
        <v>3768506.5426257374</v>
      </c>
      <c r="AM17" s="59">
        <f t="shared" si="6"/>
        <v>3041555.88723712</v>
      </c>
      <c r="AN17" s="59">
        <f t="shared" si="6"/>
        <v>3294534.2986371196</v>
      </c>
      <c r="AO17" s="59">
        <f t="shared" si="6"/>
        <v>4615241.6484571192</v>
      </c>
      <c r="AP17" s="59">
        <f t="shared" si="6"/>
        <v>5066501.8495326117</v>
      </c>
      <c r="AQ17" s="59">
        <f t="shared" si="1"/>
        <v>3294535.2986371201</v>
      </c>
      <c r="AR17" s="59">
        <f t="shared" ref="AR17:AW17" si="7">AR7-SUM(AR8:AR10,AR12:AR16)</f>
        <v>5034306.1523066405</v>
      </c>
      <c r="AS17" s="59">
        <f t="shared" si="7"/>
        <v>4945789.0000000037</v>
      </c>
      <c r="AT17" s="59">
        <f t="shared" si="7"/>
        <v>5185439.0000000056</v>
      </c>
      <c r="AU17" s="59">
        <f t="shared" si="7"/>
        <v>5364566.9999999953</v>
      </c>
      <c r="AV17" s="59">
        <f t="shared" si="7"/>
        <v>6414809</v>
      </c>
      <c r="AW17" s="59">
        <f t="shared" si="7"/>
        <v>6885323</v>
      </c>
    </row>
    <row r="18" spans="2:49" ht="5.75" customHeight="1" x14ac:dyDescent="0.35">
      <c r="B18" s="3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64"/>
      <c r="AC18" s="13"/>
      <c r="AD18" s="13"/>
      <c r="AE18" s="13"/>
      <c r="AF18" s="13"/>
      <c r="AG18" s="13"/>
      <c r="AH18" s="13"/>
      <c r="AI18" s="13"/>
      <c r="AJ18" s="13"/>
      <c r="AK18" s="13"/>
      <c r="AL18" s="13"/>
      <c r="AM18" s="13"/>
      <c r="AN18" s="13"/>
      <c r="AO18" s="13"/>
      <c r="AP18" s="13"/>
      <c r="AQ18" s="67">
        <f t="shared" si="1"/>
        <v>0</v>
      </c>
      <c r="AR18" s="13"/>
      <c r="AS18" s="13"/>
      <c r="AT18" s="13"/>
      <c r="AU18" s="13"/>
      <c r="AV18" s="13"/>
      <c r="AW18" s="13"/>
    </row>
    <row r="19" spans="2:49" ht="15.75" customHeight="1" x14ac:dyDescent="0.35">
      <c r="B19" s="22" t="s">
        <v>206</v>
      </c>
      <c r="C19" s="56">
        <f>C17-C7</f>
        <v>74349.904999999999</v>
      </c>
      <c r="D19" s="56">
        <f>D17-D7</f>
        <v>492462.91799999995</v>
      </c>
      <c r="E19" s="56">
        <v>1875841.2724870299</v>
      </c>
      <c r="F19" s="56">
        <f t="shared" ref="F19:Z19" si="8">F17-F7</f>
        <v>78912</v>
      </c>
      <c r="G19" s="56">
        <f t="shared" si="8"/>
        <v>188984.226075741</v>
      </c>
      <c r="H19" s="56">
        <f t="shared" si="8"/>
        <v>232068</v>
      </c>
      <c r="I19" s="56">
        <f t="shared" si="8"/>
        <v>-99619.221813008189</v>
      </c>
      <c r="J19" s="56">
        <f t="shared" si="8"/>
        <v>400343.93438490992</v>
      </c>
      <c r="K19" s="56">
        <f t="shared" si="8"/>
        <v>-638672.14133090898</v>
      </c>
      <c r="L19" s="56">
        <f t="shared" si="8"/>
        <v>1281756.0895246901</v>
      </c>
      <c r="M19" s="56">
        <f t="shared" si="8"/>
        <v>153310.21215483453</v>
      </c>
      <c r="N19" s="56">
        <f t="shared" si="8"/>
        <v>-726951.65538861509</v>
      </c>
      <c r="O19" s="56">
        <f t="shared" si="8"/>
        <v>69443.504960000049</v>
      </c>
      <c r="P19" s="56">
        <f t="shared" si="8"/>
        <v>252979.4114000001</v>
      </c>
      <c r="Q19" s="56">
        <f t="shared" si="8"/>
        <v>1320707.3498200001</v>
      </c>
      <c r="R19" s="56">
        <f t="shared" si="8"/>
        <v>451260.20107549708</v>
      </c>
      <c r="S19" s="56">
        <f t="shared" si="8"/>
        <v>-224385.97998142056</v>
      </c>
      <c r="T19" s="56">
        <f t="shared" si="8"/>
        <v>1800560.9823140805</v>
      </c>
      <c r="U19" s="56">
        <f t="shared" si="8"/>
        <v>192189.28275544476</v>
      </c>
      <c r="V19" s="56">
        <f t="shared" si="8"/>
        <v>-88517.152306638658</v>
      </c>
      <c r="W19" s="56">
        <f t="shared" si="8"/>
        <v>239650</v>
      </c>
      <c r="X19" s="56">
        <f t="shared" si="8"/>
        <v>179127.99999999907</v>
      </c>
      <c r="Y19" s="56">
        <f t="shared" si="8"/>
        <v>522450.13044880517</v>
      </c>
      <c r="Z19" s="56">
        <f t="shared" si="8"/>
        <v>1050191</v>
      </c>
      <c r="AA19" s="56">
        <f>AA17-AA7</f>
        <v>470565</v>
      </c>
      <c r="AB19" s="64"/>
      <c r="AC19" s="56">
        <f>(AC7-AC17)*-1</f>
        <v>74349.904999999999</v>
      </c>
      <c r="AD19" s="56">
        <f>(AD7-AD17)*-1</f>
        <v>492462.91799999995</v>
      </c>
      <c r="AE19" s="56">
        <v>1912814.1231275101</v>
      </c>
      <c r="AF19" s="56">
        <v>1750818.2028270301</v>
      </c>
      <c r="AG19" s="56">
        <v>1355514.5908968099</v>
      </c>
      <c r="AH19" s="56">
        <v>1199405.17304657</v>
      </c>
      <c r="AI19" s="56">
        <f t="shared" ref="AI19:AP19" si="9">(AI7-AI17)*-1</f>
        <v>400343.93438490992</v>
      </c>
      <c r="AJ19" s="56">
        <f t="shared" si="9"/>
        <v>-317239.13706817571</v>
      </c>
      <c r="AK19" s="56">
        <f t="shared" si="9"/>
        <v>775532.72638077289</v>
      </c>
      <c r="AL19" s="56">
        <f t="shared" si="9"/>
        <v>696774.93853560742</v>
      </c>
      <c r="AM19" s="56">
        <f t="shared" si="9"/>
        <v>69443.504960000049</v>
      </c>
      <c r="AN19" s="56">
        <f t="shared" si="9"/>
        <v>961094.0576909096</v>
      </c>
      <c r="AO19" s="56">
        <f t="shared" si="9"/>
        <v>1000045.3179862192</v>
      </c>
      <c r="AP19" s="56">
        <f t="shared" si="9"/>
        <v>1297995.3069068817</v>
      </c>
      <c r="AQ19" s="56">
        <f t="shared" si="1"/>
        <v>252979.4114000001</v>
      </c>
      <c r="AR19" s="56">
        <f t="shared" ref="AR19:AW19" si="10">(AR7-AR17)*-1</f>
        <v>1739770.8536695205</v>
      </c>
      <c r="AS19" s="56">
        <f t="shared" si="10"/>
        <v>330546.35154288355</v>
      </c>
      <c r="AT19" s="56">
        <f t="shared" si="10"/>
        <v>118936.15046738554</v>
      </c>
      <c r="AU19" s="56">
        <f t="shared" si="10"/>
        <v>522450.13044880517</v>
      </c>
      <c r="AV19" s="56">
        <f t="shared" si="10"/>
        <v>1380451.8476933604</v>
      </c>
      <c r="AW19" s="56">
        <f t="shared" si="10"/>
        <v>1939534</v>
      </c>
    </row>
    <row r="20" spans="2:49" ht="15.75" customHeight="1" x14ac:dyDescent="0.45">
      <c r="B20" s="22"/>
      <c r="C20" s="22"/>
      <c r="D20" s="22"/>
      <c r="E20" s="7"/>
      <c r="F20" s="7"/>
      <c r="G20" s="7"/>
      <c r="H20" s="7"/>
      <c r="I20" s="7"/>
      <c r="J20" s="7"/>
      <c r="K20" s="7"/>
      <c r="L20" s="7"/>
      <c r="M20" s="7"/>
      <c r="N20" s="7"/>
      <c r="O20" s="2"/>
      <c r="P20" s="2"/>
      <c r="Q20" s="2"/>
      <c r="R20" s="2"/>
      <c r="S20" s="2"/>
      <c r="T20" s="2"/>
      <c r="U20" s="2"/>
      <c r="V20" s="2"/>
      <c r="W20" s="2"/>
      <c r="X20" s="2"/>
      <c r="Y20" s="2"/>
      <c r="Z20" s="2"/>
      <c r="AA20" s="2"/>
      <c r="AB20" s="2"/>
      <c r="AC20" s="2"/>
      <c r="AD20" s="2"/>
      <c r="AE20" s="7"/>
      <c r="AF20" s="7"/>
      <c r="AG20" s="7"/>
      <c r="AH20" s="7"/>
      <c r="AI20" s="4"/>
      <c r="AJ20" s="4"/>
      <c r="AK20" s="4"/>
      <c r="AL20" s="4"/>
      <c r="AM20" s="4"/>
      <c r="AN20" s="4"/>
      <c r="AO20" s="4"/>
      <c r="AP20" s="4"/>
      <c r="AQ20" s="4"/>
      <c r="AR20" s="4"/>
      <c r="AS20" s="4"/>
      <c r="AT20" s="4"/>
      <c r="AU20" s="4"/>
      <c r="AV20" s="4"/>
      <c r="AW20" s="4"/>
    </row>
    <row r="21" spans="2:49" ht="15.75" customHeight="1" x14ac:dyDescent="0.45">
      <c r="B21" s="69" t="s">
        <v>207</v>
      </c>
      <c r="C21" s="7"/>
      <c r="D21" s="7"/>
      <c r="E21" s="4"/>
      <c r="F21" s="4"/>
      <c r="G21" s="4"/>
      <c r="H21" s="4"/>
      <c r="I21" s="4"/>
      <c r="J21" s="4"/>
      <c r="K21" s="7"/>
      <c r="L21" s="7"/>
      <c r="M21" s="7"/>
      <c r="N21" s="7"/>
      <c r="O21" s="2"/>
      <c r="P21" s="2"/>
      <c r="Q21" s="2"/>
      <c r="R21" s="2"/>
      <c r="S21" s="2"/>
      <c r="T21" s="2"/>
      <c r="U21" s="2"/>
      <c r="V21" s="2"/>
      <c r="W21" s="2"/>
      <c r="X21" s="2"/>
      <c r="Y21" s="2"/>
      <c r="Z21" s="2"/>
      <c r="AA21" s="2"/>
      <c r="AB21" s="2"/>
      <c r="AC21" s="2"/>
      <c r="AD21" s="2"/>
      <c r="AE21" s="7"/>
      <c r="AF21" s="7"/>
      <c r="AG21" s="7"/>
      <c r="AH21" s="7"/>
      <c r="AI21" s="4"/>
      <c r="AJ21" s="4"/>
      <c r="AK21" s="4"/>
      <c r="AL21" s="4"/>
      <c r="AM21" s="4"/>
      <c r="AN21" s="4"/>
      <c r="AO21" s="4"/>
      <c r="AP21" s="4"/>
      <c r="AQ21" s="4"/>
      <c r="AR21" s="4"/>
      <c r="AS21" s="4"/>
      <c r="AT21" s="4"/>
      <c r="AU21" s="4"/>
      <c r="AV21" s="4"/>
      <c r="AW21" s="4"/>
    </row>
    <row r="22" spans="2:49" ht="15.75" customHeight="1" x14ac:dyDescent="0.25">
      <c r="B22" s="22"/>
      <c r="C22" s="22"/>
      <c r="D22" s="22"/>
      <c r="AE22" s="7"/>
      <c r="AF22" s="7"/>
      <c r="AG22" s="7"/>
      <c r="AH22" s="7"/>
    </row>
    <row r="23" spans="2:49" ht="15.75" customHeight="1" x14ac:dyDescent="0.25">
      <c r="B23" s="8"/>
      <c r="C23" s="8"/>
      <c r="D23" s="8"/>
      <c r="E23" s="8"/>
      <c r="F23" s="8"/>
      <c r="G23" s="8"/>
      <c r="H23" s="8"/>
      <c r="I23" s="8"/>
      <c r="J23" s="8"/>
      <c r="K23" s="8"/>
      <c r="L23" s="8"/>
      <c r="M23" s="8"/>
      <c r="N23" s="8"/>
      <c r="O23" s="8"/>
      <c r="P23" s="8"/>
      <c r="Q23" s="8"/>
      <c r="R23" s="8"/>
      <c r="S23" s="8"/>
      <c r="T23" s="8"/>
      <c r="U23" s="8"/>
      <c r="V23" s="8"/>
      <c r="W23" s="8"/>
      <c r="X23" s="8"/>
      <c r="Y23" s="8"/>
      <c r="Z23" s="8"/>
      <c r="AA23" s="8"/>
      <c r="AB23" s="8"/>
      <c r="AE23" s="7"/>
      <c r="AF23" s="14"/>
      <c r="AG23" s="14"/>
      <c r="AH23" s="14"/>
    </row>
    <row r="24" spans="2:49" ht="15.75" customHeight="1" x14ac:dyDescent="0.25">
      <c r="B24" s="8"/>
      <c r="C24" s="8"/>
      <c r="D24" s="8"/>
      <c r="E24" s="8"/>
      <c r="F24" s="8"/>
      <c r="G24" s="8"/>
      <c r="H24" s="8"/>
      <c r="I24" s="8"/>
      <c r="J24" s="8"/>
      <c r="K24" s="8"/>
      <c r="L24" s="8"/>
      <c r="M24" s="8"/>
      <c r="N24" s="8"/>
      <c r="O24" s="8"/>
      <c r="P24" s="8"/>
      <c r="Q24" s="8"/>
      <c r="R24" s="8"/>
      <c r="S24" s="8"/>
      <c r="T24" s="8"/>
      <c r="U24" s="8"/>
      <c r="V24" s="8"/>
      <c r="W24" s="8"/>
      <c r="X24" s="8"/>
      <c r="Y24" s="8"/>
      <c r="Z24" s="8"/>
      <c r="AA24" s="8"/>
      <c r="AB24" s="8"/>
      <c r="AE24" s="7"/>
      <c r="AF24" s="14"/>
      <c r="AG24" s="14"/>
      <c r="AH24" s="14"/>
    </row>
    <row r="25" spans="2:49" ht="15.75" customHeight="1" x14ac:dyDescent="0.25">
      <c r="B25" s="8"/>
      <c r="C25" s="8"/>
      <c r="D25" s="8"/>
      <c r="E25" s="8"/>
      <c r="F25" s="8"/>
      <c r="G25" s="8"/>
      <c r="H25" s="8"/>
      <c r="I25" s="8"/>
      <c r="J25" s="8"/>
      <c r="K25" s="8"/>
      <c r="L25" s="8"/>
      <c r="M25" s="8"/>
      <c r="N25" s="8"/>
      <c r="O25" s="8"/>
      <c r="P25" s="8"/>
      <c r="Q25" s="8"/>
      <c r="R25" s="8"/>
      <c r="S25" s="8"/>
      <c r="T25" s="8"/>
      <c r="U25" s="8"/>
      <c r="V25" s="8"/>
      <c r="W25" s="8"/>
      <c r="X25" s="8"/>
      <c r="Y25" s="8"/>
      <c r="Z25" s="8"/>
      <c r="AA25" s="8"/>
      <c r="AB25" s="8"/>
      <c r="AE25" s="7"/>
      <c r="AF25" s="14"/>
      <c r="AG25" s="14"/>
      <c r="AH25" s="14"/>
    </row>
    <row r="26" spans="2:49" ht="15.75" customHeight="1" x14ac:dyDescent="0.35">
      <c r="AE26" s="7"/>
      <c r="AF26" s="2"/>
      <c r="AG26" s="2"/>
      <c r="AH26" s="2"/>
    </row>
    <row r="27" spans="2:49" ht="15.75" customHeight="1" x14ac:dyDescent="0.35">
      <c r="AE27" s="7"/>
      <c r="AF27" s="2"/>
      <c r="AG27" s="2"/>
      <c r="AH27" s="2"/>
    </row>
    <row r="28" spans="2:49" ht="15.75" customHeight="1" x14ac:dyDescent="0.35">
      <c r="AE28" s="7"/>
      <c r="AF28" s="2"/>
      <c r="AG28" s="2"/>
      <c r="AH28" s="2"/>
    </row>
    <row r="29" spans="2:49" ht="15.75" customHeight="1" x14ac:dyDescent="0.35">
      <c r="AE29" s="7"/>
      <c r="AF29" s="2"/>
      <c r="AG29" s="2"/>
      <c r="AH29" s="2"/>
    </row>
    <row r="30" spans="2:49" ht="15.75" customHeight="1" x14ac:dyDescent="0.35">
      <c r="AE30" s="7"/>
      <c r="AF30" s="2"/>
      <c r="AG30" s="2"/>
      <c r="AH30" s="2"/>
    </row>
    <row r="31" spans="2:49" ht="15.75" customHeight="1" x14ac:dyDescent="0.35">
      <c r="AE31" s="7"/>
      <c r="AF31" s="2"/>
      <c r="AG31" s="2"/>
      <c r="AH31" s="2"/>
    </row>
    <row r="32" spans="2:49" ht="16.649999999999999" customHeight="1" x14ac:dyDescent="0.35">
      <c r="AE32" s="7"/>
      <c r="AF32" s="2"/>
      <c r="AG32" s="2"/>
      <c r="AH32" s="2"/>
    </row>
    <row r="33" spans="31:34" ht="16.649999999999999" customHeight="1" x14ac:dyDescent="0.35">
      <c r="AE33" s="7"/>
      <c r="AF33" s="2"/>
      <c r="AG33" s="2"/>
      <c r="AH33" s="2"/>
    </row>
    <row r="34" spans="31:34" ht="16.649999999999999" customHeight="1" x14ac:dyDescent="0.35">
      <c r="AE34" s="2"/>
      <c r="AF34" s="2"/>
      <c r="AG34" s="2"/>
      <c r="AH34" s="2"/>
    </row>
    <row r="35" spans="31:34" ht="16.649999999999999" customHeight="1" x14ac:dyDescent="0.35">
      <c r="AE35" s="2"/>
      <c r="AF35" s="2"/>
      <c r="AG35" s="2"/>
      <c r="AH35" s="2"/>
    </row>
    <row r="36" spans="31:34" ht="16.649999999999999" customHeight="1" x14ac:dyDescent="0.35">
      <c r="AE36" s="2"/>
      <c r="AF36" s="2"/>
      <c r="AG36" s="2"/>
      <c r="AH36" s="2"/>
    </row>
    <row r="37" spans="31:34" ht="16.649999999999999" customHeight="1" x14ac:dyDescent="0.35">
      <c r="AE37" s="2"/>
      <c r="AF37" s="2"/>
      <c r="AG37" s="2"/>
      <c r="AH37" s="2"/>
    </row>
    <row r="38" spans="31:34" ht="15.75" customHeight="1" x14ac:dyDescent="0.35">
      <c r="AE38" s="2"/>
      <c r="AF38" s="2"/>
      <c r="AG38" s="2"/>
      <c r="AH38" s="2"/>
    </row>
    <row r="39" spans="31:34" ht="16.649999999999999" customHeight="1" x14ac:dyDescent="0.35">
      <c r="AE39" s="2"/>
      <c r="AF39" s="2"/>
      <c r="AG39" s="2"/>
      <c r="AH39" s="2"/>
    </row>
    <row r="40" spans="31:34" ht="15.75" customHeight="1" x14ac:dyDescent="0.35">
      <c r="AE40" s="2"/>
      <c r="AF40" s="2"/>
      <c r="AG40" s="2"/>
      <c r="AH40" s="2"/>
    </row>
    <row r="41" spans="31:34" ht="15.75" customHeight="1" x14ac:dyDescent="0.35">
      <c r="AE41" s="2"/>
      <c r="AF41" s="2"/>
      <c r="AG41" s="2"/>
      <c r="AH41" s="2"/>
    </row>
    <row r="42" spans="31:34" ht="15.75" customHeight="1" x14ac:dyDescent="0.35">
      <c r="AE42" s="2"/>
      <c r="AF42" s="2"/>
      <c r="AG42" s="2"/>
      <c r="AH42" s="2"/>
    </row>
    <row r="43" spans="31:34" ht="15.75" customHeight="1" x14ac:dyDescent="0.35">
      <c r="AE43" s="2"/>
      <c r="AF43" s="2"/>
      <c r="AG43" s="2"/>
      <c r="AH43" s="2"/>
    </row>
    <row r="44" spans="31:34" ht="16.649999999999999" customHeight="1" x14ac:dyDescent="0.35">
      <c r="AE44" s="2"/>
      <c r="AF44" s="2"/>
      <c r="AG44" s="2"/>
      <c r="AH44" s="2"/>
    </row>
    <row r="45" spans="31:34" ht="16.649999999999999" customHeight="1" x14ac:dyDescent="0.35">
      <c r="AE45" s="2"/>
      <c r="AF45" s="2"/>
      <c r="AG45" s="2"/>
      <c r="AH45" s="2"/>
    </row>
    <row r="46" spans="31:34" ht="16.649999999999999" customHeight="1" x14ac:dyDescent="0.35">
      <c r="AE46" s="2"/>
      <c r="AF46" s="2"/>
      <c r="AG46" s="2"/>
      <c r="AH46" s="2"/>
    </row>
    <row r="47" spans="31:34" ht="16.649999999999999" customHeight="1" x14ac:dyDescent="0.35">
      <c r="AE47" s="2"/>
      <c r="AF47" s="2"/>
      <c r="AG47" s="2"/>
      <c r="AH47" s="2"/>
    </row>
    <row r="48" spans="31:34" ht="15.75" customHeight="1" x14ac:dyDescent="0.35">
      <c r="AE48" s="2"/>
      <c r="AF48" s="2"/>
      <c r="AG48" s="2"/>
      <c r="AH48" s="2"/>
    </row>
    <row r="49" spans="31:34" ht="15.75" customHeight="1" x14ac:dyDescent="0.35">
      <c r="AE49" s="2"/>
      <c r="AF49" s="2"/>
      <c r="AG49" s="2"/>
      <c r="AH49" s="2"/>
    </row>
    <row r="50" spans="31:34" ht="15.75" customHeight="1" x14ac:dyDescent="0.35">
      <c r="AE50" s="2"/>
      <c r="AF50" s="2"/>
      <c r="AG50" s="2"/>
      <c r="AH50" s="2"/>
    </row>
    <row r="51" spans="31:34" ht="15.75" customHeight="1" x14ac:dyDescent="0.35">
      <c r="AE51" s="2"/>
      <c r="AF51" s="2"/>
      <c r="AG51" s="2"/>
      <c r="AH51" s="2"/>
    </row>
    <row r="52" spans="31:34" ht="15.75" customHeight="1" x14ac:dyDescent="0.35">
      <c r="AE52" s="2"/>
      <c r="AF52" s="2"/>
      <c r="AG52" s="2"/>
      <c r="AH52" s="2"/>
    </row>
    <row r="53" spans="31:34" ht="15" customHeight="1" x14ac:dyDescent="0.35">
      <c r="AE53" s="2"/>
      <c r="AF53" s="2"/>
      <c r="AG53" s="2"/>
      <c r="AH53" s="2"/>
    </row>
    <row r="54" spans="31:34" ht="15" customHeight="1" x14ac:dyDescent="0.35">
      <c r="AE54" s="2"/>
      <c r="AF54" s="2"/>
      <c r="AG54" s="2"/>
      <c r="AH54" s="2"/>
    </row>
    <row r="55" spans="31:34" ht="15" customHeight="1" x14ac:dyDescent="0.35">
      <c r="AE55" s="2"/>
      <c r="AF55" s="2"/>
      <c r="AG55" s="2"/>
      <c r="AH55" s="2"/>
    </row>
    <row r="56" spans="31:34" ht="15" customHeight="1" x14ac:dyDescent="0.35">
      <c r="AE56" s="2"/>
      <c r="AF56" s="2"/>
      <c r="AG56" s="2"/>
      <c r="AH56" s="2"/>
    </row>
    <row r="57" spans="31:34" ht="15" customHeight="1" x14ac:dyDescent="0.35">
      <c r="AE57" s="2"/>
      <c r="AF57" s="2"/>
      <c r="AG57" s="2"/>
      <c r="AH57" s="2"/>
    </row>
    <row r="58" spans="31:34" ht="15.75" customHeight="1" x14ac:dyDescent="0.35">
      <c r="AE58" s="2"/>
      <c r="AF58" s="2"/>
      <c r="AG58" s="2"/>
      <c r="AH58" s="2"/>
    </row>
    <row r="59" spans="31:34" ht="15.75" customHeight="1" x14ac:dyDescent="0.35">
      <c r="AE59" s="2"/>
      <c r="AF59" s="2"/>
      <c r="AG59" s="2"/>
      <c r="AH59" s="2"/>
    </row>
    <row r="60" spans="31:34" ht="15.75" customHeight="1" x14ac:dyDescent="0.35">
      <c r="AE60" s="2"/>
      <c r="AF60" s="2"/>
      <c r="AG60" s="2"/>
      <c r="AH60" s="2"/>
    </row>
    <row r="61" spans="31:34" ht="15.75" customHeight="1" x14ac:dyDescent="0.35">
      <c r="AE61" s="2"/>
      <c r="AF61" s="2"/>
      <c r="AG61" s="2"/>
      <c r="AH61" s="2"/>
    </row>
    <row r="62" spans="31:34" ht="15.75" customHeight="1" x14ac:dyDescent="0.35">
      <c r="AE62" s="2"/>
      <c r="AF62" s="2"/>
      <c r="AG62" s="2"/>
      <c r="AH62" s="2"/>
    </row>
    <row r="63" spans="31:34" ht="15.75" customHeight="1" x14ac:dyDescent="0.35">
      <c r="AE63" s="2"/>
      <c r="AF63" s="2"/>
      <c r="AG63" s="2"/>
      <c r="AH63" s="2"/>
    </row>
  </sheetData>
  <mergeCells count="47">
    <mergeCell ref="C5:C6"/>
    <mergeCell ref="D5:D6"/>
    <mergeCell ref="I5:I6"/>
    <mergeCell ref="J5:J6"/>
    <mergeCell ref="K5:K6"/>
    <mergeCell ref="L5:L6"/>
    <mergeCell ref="H5:H6"/>
    <mergeCell ref="G5:G6"/>
    <mergeCell ref="F5:F6"/>
    <mergeCell ref="E5:E6"/>
    <mergeCell ref="S5:S6"/>
    <mergeCell ref="R5:R6"/>
    <mergeCell ref="Q5:Q6"/>
    <mergeCell ref="M5:M6"/>
    <mergeCell ref="N5:N6"/>
    <mergeCell ref="O5:O6"/>
    <mergeCell ref="P5:P6"/>
    <mergeCell ref="U2:AA3"/>
    <mergeCell ref="U5:U6"/>
    <mergeCell ref="V5:V6"/>
    <mergeCell ref="W5:W6"/>
    <mergeCell ref="X5:X6"/>
    <mergeCell ref="Y5:Y6"/>
    <mergeCell ref="Z5:Z6"/>
    <mergeCell ref="T5:T6"/>
    <mergeCell ref="AA5:AA6"/>
    <mergeCell ref="AG5:AG6"/>
    <mergeCell ref="AH5:AH6"/>
    <mergeCell ref="AI5:AI6"/>
    <mergeCell ref="AJ5:AJ6"/>
    <mergeCell ref="AF5:AF6"/>
    <mergeCell ref="AE5:AE6"/>
    <mergeCell ref="AD5:AD6"/>
    <mergeCell ref="AC5:AC6"/>
    <mergeCell ref="AR5:AR6"/>
    <mergeCell ref="AQ5:AQ6"/>
    <mergeCell ref="AP5:AP6"/>
    <mergeCell ref="AO5:AO6"/>
    <mergeCell ref="AK5:AK6"/>
    <mergeCell ref="AL5:AL6"/>
    <mergeCell ref="AM5:AM6"/>
    <mergeCell ref="AN5:AN6"/>
    <mergeCell ref="AS5:AS6"/>
    <mergeCell ref="AT5:AT6"/>
    <mergeCell ref="AU5:AU6"/>
    <mergeCell ref="AV5:AV6"/>
    <mergeCell ref="AW5:AW6"/>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B7754"/>
  </sheetPr>
  <dimension ref="B1:W48"/>
  <sheetViews>
    <sheetView showGridLines="0" workbookViewId="0"/>
  </sheetViews>
  <sheetFormatPr defaultColWidth="13.08984375" defaultRowHeight="12.5" x14ac:dyDescent="0.25"/>
  <cols>
    <col min="1" max="1" width="1.08984375" customWidth="1"/>
    <col min="2" max="2" width="57.81640625" customWidth="1"/>
    <col min="3" max="5" width="11.1796875" customWidth="1"/>
    <col min="6" max="6" width="11.453125" customWidth="1"/>
    <col min="7" max="21" width="11.1796875" customWidth="1"/>
    <col min="22" max="23" width="11" customWidth="1"/>
  </cols>
  <sheetData>
    <row r="1" spans="2:23" ht="15.75" customHeight="1" x14ac:dyDescent="0.25"/>
    <row r="2" spans="2:23" ht="15.75" customHeight="1" x14ac:dyDescent="0.45">
      <c r="B2" s="4"/>
      <c r="C2" s="4"/>
      <c r="D2" s="4"/>
      <c r="E2" s="4"/>
      <c r="F2" s="4"/>
      <c r="G2" s="4"/>
      <c r="H2" s="4"/>
      <c r="I2" s="4"/>
      <c r="J2" s="4"/>
      <c r="K2" s="4"/>
      <c r="L2" s="4"/>
      <c r="M2" s="4"/>
      <c r="N2" s="4"/>
      <c r="O2" s="4"/>
      <c r="Q2" s="100" t="s">
        <v>1</v>
      </c>
      <c r="R2" s="101"/>
      <c r="S2" s="101"/>
      <c r="T2" s="101"/>
      <c r="U2" s="101"/>
      <c r="V2" s="101"/>
      <c r="W2" s="101"/>
    </row>
    <row r="3" spans="2:23" ht="15.75" customHeight="1" x14ac:dyDescent="0.45">
      <c r="B3" s="4"/>
      <c r="C3" s="4"/>
      <c r="D3" s="4"/>
      <c r="E3" s="3"/>
      <c r="F3" s="4"/>
      <c r="G3" s="4"/>
      <c r="H3" s="4"/>
      <c r="I3" s="4"/>
      <c r="J3" s="4"/>
      <c r="K3" s="4"/>
      <c r="L3" s="3"/>
      <c r="M3" s="4"/>
      <c r="N3" s="4"/>
      <c r="O3" s="4"/>
      <c r="Q3" s="101"/>
      <c r="R3" s="101"/>
      <c r="S3" s="101"/>
      <c r="T3" s="101"/>
      <c r="U3" s="101"/>
      <c r="V3" s="101"/>
      <c r="W3" s="101"/>
    </row>
    <row r="4" spans="2:23" ht="15.75" customHeight="1" x14ac:dyDescent="0.45">
      <c r="B4" s="4"/>
      <c r="C4" s="4"/>
      <c r="D4" s="4"/>
      <c r="E4" s="4"/>
      <c r="F4" s="4"/>
      <c r="G4" s="4"/>
      <c r="H4" s="4"/>
      <c r="I4" s="4"/>
      <c r="J4" s="4"/>
      <c r="K4" s="4"/>
      <c r="L4" s="4"/>
      <c r="M4" s="4"/>
      <c r="N4" s="4"/>
      <c r="O4" s="4"/>
      <c r="P4" s="4"/>
      <c r="Q4" s="4"/>
      <c r="R4" s="4"/>
      <c r="S4" s="4"/>
      <c r="T4" s="4"/>
      <c r="U4" s="4"/>
      <c r="V4" s="4"/>
      <c r="W4" s="4"/>
    </row>
    <row r="5" spans="2:23" ht="15.75" customHeight="1" x14ac:dyDescent="0.25">
      <c r="B5" s="5" t="s">
        <v>208</v>
      </c>
      <c r="C5" s="99" t="s">
        <v>209</v>
      </c>
      <c r="D5" s="99" t="s">
        <v>210</v>
      </c>
      <c r="E5" s="99" t="s">
        <v>211</v>
      </c>
      <c r="F5" s="99" t="s">
        <v>6</v>
      </c>
      <c r="G5" s="99" t="s">
        <v>7</v>
      </c>
      <c r="H5" s="99" t="s">
        <v>8</v>
      </c>
      <c r="I5" s="99" t="s">
        <v>76</v>
      </c>
      <c r="J5" s="99" t="s">
        <v>10</v>
      </c>
      <c r="K5" s="99" t="s">
        <v>11</v>
      </c>
      <c r="L5" s="99" t="s">
        <v>12</v>
      </c>
      <c r="M5" s="99" t="s">
        <v>77</v>
      </c>
      <c r="N5" s="99" t="s">
        <v>14</v>
      </c>
      <c r="O5" s="99" t="s">
        <v>15</v>
      </c>
      <c r="P5" s="99" t="s">
        <v>16</v>
      </c>
      <c r="Q5" s="99" t="s">
        <v>78</v>
      </c>
      <c r="R5" s="99" t="s">
        <v>18</v>
      </c>
      <c r="S5" s="99" t="s">
        <v>19</v>
      </c>
      <c r="T5" s="99" t="s">
        <v>20</v>
      </c>
      <c r="U5" s="99" t="s">
        <v>79</v>
      </c>
      <c r="V5" s="99" t="s">
        <v>22</v>
      </c>
      <c r="W5" s="99" t="s">
        <v>23</v>
      </c>
    </row>
    <row r="6" spans="2:23" ht="15.75" customHeight="1" x14ac:dyDescent="0.25">
      <c r="B6" s="6" t="s">
        <v>24</v>
      </c>
      <c r="C6" s="99"/>
      <c r="D6" s="99"/>
      <c r="E6" s="99"/>
      <c r="F6" s="99"/>
      <c r="G6" s="99"/>
      <c r="H6" s="99"/>
      <c r="I6" s="99"/>
      <c r="J6" s="99"/>
      <c r="K6" s="99"/>
      <c r="L6" s="99"/>
      <c r="M6" s="99"/>
      <c r="N6" s="99"/>
      <c r="O6" s="99"/>
      <c r="P6" s="99"/>
      <c r="Q6" s="99"/>
      <c r="R6" s="99"/>
      <c r="S6" s="99"/>
      <c r="T6" s="99"/>
      <c r="U6" s="99"/>
      <c r="V6" s="99"/>
      <c r="W6" s="99"/>
    </row>
    <row r="7" spans="2:23" ht="15.75" customHeight="1" x14ac:dyDescent="0.25">
      <c r="B7" s="8" t="s">
        <v>385</v>
      </c>
      <c r="C7" s="57">
        <v>0</v>
      </c>
      <c r="D7" s="57">
        <v>0</v>
      </c>
      <c r="E7" s="57">
        <v>0</v>
      </c>
      <c r="F7" s="57">
        <v>0</v>
      </c>
      <c r="G7" s="57">
        <v>0</v>
      </c>
      <c r="H7" s="57">
        <v>2826534</v>
      </c>
      <c r="I7" s="57">
        <v>3459887.7266947799</v>
      </c>
      <c r="J7" s="57">
        <v>2955878.1719011799</v>
      </c>
      <c r="K7" s="57">
        <v>3307088.9261245602</v>
      </c>
      <c r="L7" s="57">
        <v>3796126.5474105799</v>
      </c>
      <c r="M7" s="57">
        <v>3308427.9087991901</v>
      </c>
      <c r="N7" s="57">
        <v>3435962.8403765601</v>
      </c>
      <c r="O7" s="57">
        <v>3387582.6926613501</v>
      </c>
      <c r="P7" s="57">
        <v>3105739.4731393401</v>
      </c>
      <c r="Q7" s="57">
        <v>3107827.0215485501</v>
      </c>
      <c r="R7" s="57">
        <v>2464967.1099920301</v>
      </c>
      <c r="S7" s="57">
        <v>2478615.5504874401</v>
      </c>
      <c r="T7" s="57">
        <v>2153721.95760612</v>
      </c>
      <c r="U7" s="57">
        <v>3194881.8555224999</v>
      </c>
      <c r="V7" s="57">
        <v>3269349.87856982</v>
      </c>
      <c r="W7" s="57">
        <v>3156592.4648617902</v>
      </c>
    </row>
    <row r="8" spans="2:23" ht="15.75" customHeight="1" x14ac:dyDescent="0.25">
      <c r="B8" s="8" t="s">
        <v>212</v>
      </c>
      <c r="C8" s="57">
        <f>437929498/1000</f>
        <v>437929.49800000002</v>
      </c>
      <c r="D8" s="57">
        <v>705686</v>
      </c>
      <c r="E8" s="57">
        <v>2419889</v>
      </c>
      <c r="F8" s="57">
        <v>2659403</v>
      </c>
      <c r="G8" s="57">
        <v>2741039</v>
      </c>
      <c r="H8" s="57">
        <v>0</v>
      </c>
      <c r="I8" s="57">
        <v>0</v>
      </c>
      <c r="J8" s="57">
        <v>0</v>
      </c>
      <c r="K8" s="57">
        <v>0</v>
      </c>
      <c r="L8" s="57">
        <v>0</v>
      </c>
      <c r="M8" s="57">
        <v>0</v>
      </c>
      <c r="N8" s="57">
        <v>0</v>
      </c>
      <c r="O8" s="57">
        <v>0</v>
      </c>
      <c r="P8" s="57">
        <v>0</v>
      </c>
      <c r="Q8" s="57">
        <v>0</v>
      </c>
      <c r="R8" s="57">
        <v>0</v>
      </c>
      <c r="S8" s="57">
        <v>0</v>
      </c>
      <c r="T8" s="57">
        <v>0</v>
      </c>
      <c r="U8" s="57">
        <v>0</v>
      </c>
      <c r="V8" s="57">
        <v>0</v>
      </c>
      <c r="W8" s="57">
        <v>0</v>
      </c>
    </row>
    <row r="9" spans="2:23" ht="15.75" customHeight="1" x14ac:dyDescent="0.25">
      <c r="B9" s="8" t="s">
        <v>386</v>
      </c>
      <c r="C9" s="57">
        <v>0</v>
      </c>
      <c r="D9" s="57">
        <v>0</v>
      </c>
      <c r="E9" s="57">
        <v>194732</v>
      </c>
      <c r="F9" s="57">
        <v>315921</v>
      </c>
      <c r="G9" s="57">
        <v>315067</v>
      </c>
      <c r="H9" s="57">
        <v>316575</v>
      </c>
      <c r="I9" s="57">
        <v>251920.71523999999</v>
      </c>
      <c r="J9" s="57">
        <v>254142.73180000001</v>
      </c>
      <c r="K9" s="57">
        <v>533781.44573000004</v>
      </c>
      <c r="L9" s="57">
        <v>547910.85721000005</v>
      </c>
      <c r="M9" s="57">
        <v>1226612.81168</v>
      </c>
      <c r="N9" s="57">
        <v>1979649.88803</v>
      </c>
      <c r="O9" s="57">
        <v>1983796.5107</v>
      </c>
      <c r="P9" s="57">
        <v>2016020.77572</v>
      </c>
      <c r="Q9" s="57">
        <v>2046623.02917</v>
      </c>
      <c r="R9" s="57">
        <v>3173588.36693</v>
      </c>
      <c r="S9" s="57">
        <v>3071004.5242400002</v>
      </c>
      <c r="T9" s="57">
        <v>4024626.45854</v>
      </c>
      <c r="U9" s="57">
        <v>4858563.8032499999</v>
      </c>
      <c r="V9" s="57">
        <v>4905355.7203900004</v>
      </c>
      <c r="W9" s="57">
        <v>4813484.3872199999</v>
      </c>
    </row>
    <row r="10" spans="2:23" ht="15.75" customHeight="1" x14ac:dyDescent="0.25">
      <c r="B10" s="8" t="s">
        <v>213</v>
      </c>
      <c r="C10" s="57">
        <v>0</v>
      </c>
      <c r="D10" s="57">
        <v>40799</v>
      </c>
      <c r="E10" s="57">
        <v>422552</v>
      </c>
      <c r="F10" s="57">
        <v>571924</v>
      </c>
      <c r="G10" s="57">
        <v>533708</v>
      </c>
      <c r="H10" s="57">
        <v>593059</v>
      </c>
      <c r="I10" s="57">
        <v>237791.54751</v>
      </c>
      <c r="J10" s="57">
        <v>154344.26506999999</v>
      </c>
      <c r="K10" s="57">
        <v>579379.67198999994</v>
      </c>
      <c r="L10" s="57">
        <v>574443.95103</v>
      </c>
      <c r="M10" s="57">
        <v>758529.74038000102</v>
      </c>
      <c r="N10" s="57">
        <v>1130182.10488</v>
      </c>
      <c r="O10" s="57">
        <v>1372330.96234926</v>
      </c>
      <c r="P10" s="57">
        <v>1392872.85518697</v>
      </c>
      <c r="Q10" s="57">
        <v>1744995.19120297</v>
      </c>
      <c r="R10" s="57">
        <v>2210238.46264114</v>
      </c>
      <c r="S10" s="57">
        <v>1996923.33064312</v>
      </c>
      <c r="T10" s="57">
        <v>2099782.5539827798</v>
      </c>
      <c r="U10" s="57">
        <v>1937468.7090201201</v>
      </c>
      <c r="V10" s="57">
        <v>2102400.4756723801</v>
      </c>
      <c r="W10" s="57">
        <v>2299948.3606685302</v>
      </c>
    </row>
    <row r="11" spans="2:23" ht="15.75" customHeight="1" x14ac:dyDescent="0.25">
      <c r="B11" s="35" t="s">
        <v>214</v>
      </c>
      <c r="C11" s="58">
        <f t="shared" ref="C11:O11" si="0">C10+C9+C8+C7</f>
        <v>437929.49800000002</v>
      </c>
      <c r="D11" s="58">
        <f t="shared" si="0"/>
        <v>746485</v>
      </c>
      <c r="E11" s="58">
        <f t="shared" si="0"/>
        <v>3037173</v>
      </c>
      <c r="F11" s="58">
        <f t="shared" si="0"/>
        <v>3547248</v>
      </c>
      <c r="G11" s="58">
        <f t="shared" si="0"/>
        <v>3589814</v>
      </c>
      <c r="H11" s="58">
        <f t="shared" si="0"/>
        <v>3736168</v>
      </c>
      <c r="I11" s="58">
        <f t="shared" si="0"/>
        <v>3949599.9894447802</v>
      </c>
      <c r="J11" s="58">
        <f t="shared" si="0"/>
        <v>3364365.1687711799</v>
      </c>
      <c r="K11" s="58">
        <f t="shared" si="0"/>
        <v>4420250.0438445602</v>
      </c>
      <c r="L11" s="58">
        <f t="shared" si="0"/>
        <v>4918481.3556505796</v>
      </c>
      <c r="M11" s="58">
        <f t="shared" si="0"/>
        <v>5293570.4608591907</v>
      </c>
      <c r="N11" s="58">
        <f t="shared" si="0"/>
        <v>6545794.8332865601</v>
      </c>
      <c r="O11" s="58">
        <f t="shared" si="0"/>
        <v>6743710.1657106094</v>
      </c>
      <c r="P11" s="58">
        <v>6514633.1040463103</v>
      </c>
      <c r="Q11" s="58">
        <v>6899445.2419215301</v>
      </c>
      <c r="R11" s="58">
        <v>7848793.9395631701</v>
      </c>
      <c r="S11" s="58">
        <v>7546543.4053705698</v>
      </c>
      <c r="T11" s="58">
        <v>8278130.9701289097</v>
      </c>
      <c r="U11" s="58">
        <v>9990914.3677926194</v>
      </c>
      <c r="V11" s="58">
        <v>10277106.074632199</v>
      </c>
      <c r="W11" s="58">
        <v>10270025.212750301</v>
      </c>
    </row>
    <row r="12" spans="2:23" ht="15.75" customHeight="1" x14ac:dyDescent="0.25">
      <c r="B12" s="8" t="s">
        <v>215</v>
      </c>
      <c r="C12" s="57">
        <f>'Statements financial position'!C7+'Statements financial position'!C8+'Statements financial position'!C9</f>
        <v>234467</v>
      </c>
      <c r="D12" s="57">
        <f>'Statements financial position'!D7+'Statements financial position'!D8+'Statements financial position'!D9</f>
        <v>50559</v>
      </c>
      <c r="E12" s="57">
        <f>'Statements financial position'!E7+'Statements financial position'!E8+'Statements financial position'!E9</f>
        <v>465405</v>
      </c>
      <c r="F12" s="57">
        <f>'Statements financial position'!F7+'Statements financial position'!F8+'Statements financial position'!F9</f>
        <v>896568</v>
      </c>
      <c r="G12" s="57">
        <f>'Statements financial position'!G7+'Statements financial position'!G8+'Statements financial position'!G9</f>
        <v>750149</v>
      </c>
      <c r="H12" s="57">
        <v>664435</v>
      </c>
      <c r="I12" s="57">
        <v>977488.11758478195</v>
      </c>
      <c r="J12" s="57">
        <v>1030925.7934611799</v>
      </c>
      <c r="K12" s="57">
        <v>805054.57949737005</v>
      </c>
      <c r="L12" s="57">
        <v>1149974.3937424801</v>
      </c>
      <c r="M12" s="57">
        <v>2252014.90000111</v>
      </c>
      <c r="N12" s="57">
        <v>3251259.7524565598</v>
      </c>
      <c r="O12" s="57">
        <v>2128468.3427784499</v>
      </c>
      <c r="P12" s="57">
        <v>1448130.25451369</v>
      </c>
      <c r="Q12" s="57">
        <v>2057328.3723703299</v>
      </c>
      <c r="R12" s="57">
        <v>2814436.78725653</v>
      </c>
      <c r="S12" s="57">
        <v>2600754.07100998</v>
      </c>
      <c r="T12" s="57">
        <v>3092692.1191199999</v>
      </c>
      <c r="U12" s="57">
        <v>4626348</v>
      </c>
      <c r="V12" s="57">
        <v>3862347</v>
      </c>
      <c r="W12" s="57">
        <v>3384703</v>
      </c>
    </row>
    <row r="13" spans="2:23" ht="15.75" customHeight="1" x14ac:dyDescent="0.25">
      <c r="B13" s="35" t="s">
        <v>216</v>
      </c>
      <c r="C13" s="58">
        <f t="shared" ref="C13:O13" si="1">C11-C12</f>
        <v>203462.49800000002</v>
      </c>
      <c r="D13" s="58">
        <f t="shared" si="1"/>
        <v>695926</v>
      </c>
      <c r="E13" s="58">
        <f t="shared" si="1"/>
        <v>2571768</v>
      </c>
      <c r="F13" s="58">
        <f t="shared" si="1"/>
        <v>2650680</v>
      </c>
      <c r="G13" s="58">
        <f t="shared" si="1"/>
        <v>2839665</v>
      </c>
      <c r="H13" s="58">
        <f t="shared" si="1"/>
        <v>3071733</v>
      </c>
      <c r="I13" s="58">
        <f t="shared" si="1"/>
        <v>2972111.8718599984</v>
      </c>
      <c r="J13" s="58">
        <f t="shared" si="1"/>
        <v>2333439.37531</v>
      </c>
      <c r="K13" s="58">
        <f t="shared" si="1"/>
        <v>3615195.4643471902</v>
      </c>
      <c r="L13" s="58">
        <f t="shared" si="1"/>
        <v>3768506.9619080992</v>
      </c>
      <c r="M13" s="58">
        <f t="shared" si="1"/>
        <v>3041555.5608580806</v>
      </c>
      <c r="N13" s="58">
        <f t="shared" si="1"/>
        <v>3294535.0808300003</v>
      </c>
      <c r="O13" s="58">
        <f t="shared" si="1"/>
        <v>4615241.8229321595</v>
      </c>
      <c r="P13" s="58">
        <v>5066502.8495326201</v>
      </c>
      <c r="Q13" s="58">
        <v>4842116.8695511902</v>
      </c>
      <c r="R13" s="58">
        <v>5034357.1523066396</v>
      </c>
      <c r="S13" s="58">
        <v>4945789</v>
      </c>
      <c r="T13" s="58">
        <v>5185439</v>
      </c>
      <c r="U13" s="58">
        <v>5364567</v>
      </c>
      <c r="V13" s="58">
        <v>6414758</v>
      </c>
      <c r="W13" s="58">
        <v>6885323</v>
      </c>
    </row>
    <row r="14" spans="2:23" ht="15.75" customHeight="1" x14ac:dyDescent="0.25">
      <c r="B14" s="7" t="s">
        <v>217</v>
      </c>
      <c r="C14" s="57">
        <f>'Statement of income'!C29</f>
        <v>78219</v>
      </c>
      <c r="D14" s="57">
        <v>212613.29375000001</v>
      </c>
      <c r="E14" s="57">
        <v>480242.29168118897</v>
      </c>
      <c r="F14" s="57">
        <v>571590.41784351505</v>
      </c>
      <c r="G14" s="57">
        <v>729062.27782983799</v>
      </c>
      <c r="H14" s="57">
        <v>924668.38257083995</v>
      </c>
      <c r="I14" s="57">
        <v>1160080</v>
      </c>
      <c r="J14" s="57">
        <v>1515551.15995077</v>
      </c>
      <c r="K14" s="57">
        <v>1888394.9338750299</v>
      </c>
      <c r="L14" s="57">
        <v>2415967.7503966698</v>
      </c>
      <c r="M14" s="57">
        <v>2621768</v>
      </c>
      <c r="N14" s="57">
        <v>2771562.87304</v>
      </c>
      <c r="O14" s="57">
        <v>2862018.7196800001</v>
      </c>
      <c r="P14" s="57">
        <v>2528857.8099871199</v>
      </c>
      <c r="Q14" s="57">
        <v>2392097.1845100001</v>
      </c>
      <c r="R14" s="57">
        <v>2093202.3114700001</v>
      </c>
      <c r="S14" s="57">
        <v>1604530.46483</v>
      </c>
      <c r="T14" s="57">
        <v>1259664.37452288</v>
      </c>
      <c r="U14" s="57">
        <v>846192</v>
      </c>
      <c r="V14" s="57">
        <v>867990</v>
      </c>
      <c r="W14" s="57">
        <v>1401657</v>
      </c>
    </row>
    <row r="15" spans="2:23" ht="15.75" customHeight="1" x14ac:dyDescent="0.25">
      <c r="B15" s="35" t="s">
        <v>218</v>
      </c>
      <c r="C15" s="71">
        <f t="shared" ref="C15:O15" si="2">C13/C14</f>
        <v>2.6011902223244996</v>
      </c>
      <c r="D15" s="71">
        <f t="shared" si="2"/>
        <v>3.2732007849814893</v>
      </c>
      <c r="E15" s="71">
        <f t="shared" si="2"/>
        <v>5.3551468593009295</v>
      </c>
      <c r="F15" s="71">
        <f t="shared" si="2"/>
        <v>4.6373765501535749</v>
      </c>
      <c r="G15" s="71">
        <f t="shared" si="2"/>
        <v>3.8949553232306631</v>
      </c>
      <c r="H15" s="71">
        <f t="shared" si="2"/>
        <v>3.3219833811768416</v>
      </c>
      <c r="I15" s="71">
        <f t="shared" si="2"/>
        <v>2.5619887178987644</v>
      </c>
      <c r="J15" s="71">
        <f t="shared" si="2"/>
        <v>1.539663877388209</v>
      </c>
      <c r="K15" s="71">
        <f t="shared" si="2"/>
        <v>1.9144276440779926</v>
      </c>
      <c r="L15" s="71">
        <f t="shared" si="2"/>
        <v>1.5598333054277569</v>
      </c>
      <c r="M15" s="71">
        <f t="shared" si="2"/>
        <v>1.1601162119829369</v>
      </c>
      <c r="N15" s="71">
        <f t="shared" si="2"/>
        <v>1.1886921681904248</v>
      </c>
      <c r="O15" s="71">
        <f t="shared" si="2"/>
        <v>1.6125826820057227</v>
      </c>
      <c r="P15" s="71">
        <v>2.0034747819840502</v>
      </c>
      <c r="Q15" s="71">
        <v>2.0242141084008902</v>
      </c>
      <c r="R15" s="71">
        <v>2.40509821946983</v>
      </c>
      <c r="S15" s="71">
        <v>3.0823902122194999</v>
      </c>
      <c r="T15" s="71">
        <v>4.1165242939922697</v>
      </c>
      <c r="U15" s="71">
        <v>6.33965695728629</v>
      </c>
      <c r="V15" s="71">
        <v>7.3903593359370499</v>
      </c>
      <c r="W15" s="71">
        <v>4.9122738301881297</v>
      </c>
    </row>
    <row r="16" spans="2:23" ht="15.75" customHeight="1" x14ac:dyDescent="0.25">
      <c r="B16" s="7" t="s">
        <v>219</v>
      </c>
      <c r="C16" s="72">
        <v>0</v>
      </c>
      <c r="D16" s="72">
        <v>120760.49118476</v>
      </c>
      <c r="E16" s="72">
        <v>0</v>
      </c>
      <c r="F16" s="57">
        <v>335857.64545518102</v>
      </c>
      <c r="G16" s="57">
        <v>1435325.5443567799</v>
      </c>
      <c r="H16" s="57">
        <v>1423111.10597481</v>
      </c>
      <c r="I16" s="57">
        <v>806095.41647660197</v>
      </c>
      <c r="J16" s="57">
        <v>831306.39973014197</v>
      </c>
      <c r="K16" s="57">
        <v>2794894.3992541102</v>
      </c>
      <c r="L16" s="57">
        <v>1620020.5703209999</v>
      </c>
      <c r="M16" s="57">
        <v>800287.20318117004</v>
      </c>
      <c r="N16" s="57">
        <v>1628644.9271045499</v>
      </c>
      <c r="O16" s="57">
        <v>2526379.3210198502</v>
      </c>
      <c r="P16" s="57">
        <v>1879765.30336515</v>
      </c>
      <c r="Q16" s="57">
        <v>831579.06323133397</v>
      </c>
      <c r="R16" s="57">
        <v>932027.25548722001</v>
      </c>
      <c r="S16" s="57">
        <v>1902809.6808571799</v>
      </c>
      <c r="T16" s="57">
        <v>1685298.3760696601</v>
      </c>
      <c r="U16" s="57">
        <v>714502.19762090698</v>
      </c>
      <c r="V16" s="57">
        <v>1426019.4136536999</v>
      </c>
      <c r="W16" s="57">
        <v>2305075.62988406</v>
      </c>
    </row>
    <row r="17" spans="2:23" ht="15.75" customHeight="1" x14ac:dyDescent="0.25">
      <c r="B17" s="7" t="s">
        <v>220</v>
      </c>
      <c r="C17" s="72">
        <f>C13</f>
        <v>203462.49800000002</v>
      </c>
      <c r="D17" s="72">
        <v>575165.20681523997</v>
      </c>
      <c r="E17" s="72">
        <v>2571767.0500143799</v>
      </c>
      <c r="F17" s="57">
        <v>2314821.7325591999</v>
      </c>
      <c r="G17" s="57">
        <v>1404338.0597333501</v>
      </c>
      <c r="H17" s="57">
        <v>1648620.49811532</v>
      </c>
      <c r="I17" s="57">
        <v>2166016.96580052</v>
      </c>
      <c r="J17" s="57">
        <v>1502133.8412160701</v>
      </c>
      <c r="K17" s="57">
        <v>820301.93121678894</v>
      </c>
      <c r="L17" s="57">
        <v>2148485.9723047302</v>
      </c>
      <c r="M17" s="57">
        <v>2241267.68405595</v>
      </c>
      <c r="N17" s="57">
        <v>1665890.3715325601</v>
      </c>
      <c r="O17" s="57">
        <v>2088863.32743727</v>
      </c>
      <c r="P17" s="57">
        <v>3186737.54616747</v>
      </c>
      <c r="Q17" s="57">
        <v>4010537.8063198598</v>
      </c>
      <c r="R17" s="57">
        <v>4102329.8968194202</v>
      </c>
      <c r="S17" s="57">
        <v>3042979.3191428198</v>
      </c>
      <c r="T17" s="57">
        <v>3500140.6239303402</v>
      </c>
      <c r="U17" s="57">
        <v>4650064.8023790903</v>
      </c>
      <c r="V17" s="57">
        <v>4988738.5863463003</v>
      </c>
      <c r="W17" s="57">
        <v>4580247.3701159405</v>
      </c>
    </row>
    <row r="18" spans="2:23" ht="15.75" customHeight="1" x14ac:dyDescent="0.25">
      <c r="B18" s="35" t="s">
        <v>221</v>
      </c>
      <c r="C18" s="73">
        <f>C15</f>
        <v>2.6011902223244996</v>
      </c>
      <c r="D18" s="73">
        <v>2.7052175180143898</v>
      </c>
      <c r="E18" s="73">
        <v>5.3551448811627402</v>
      </c>
      <c r="F18" s="71">
        <v>4.0497910047066803</v>
      </c>
      <c r="G18" s="71">
        <v>1.9262251009798099</v>
      </c>
      <c r="H18" s="71">
        <v>1.7829316208819499</v>
      </c>
      <c r="I18" s="71">
        <v>1.8671272376047501</v>
      </c>
      <c r="J18" s="71">
        <v>0.99114690477678402</v>
      </c>
      <c r="K18" s="71">
        <v>0.43439108869748599</v>
      </c>
      <c r="L18" s="71">
        <v>0.88928586565444701</v>
      </c>
      <c r="M18" s="71">
        <v>0.85486880763513395</v>
      </c>
      <c r="N18" s="71">
        <v>0.60106533672293205</v>
      </c>
      <c r="O18" s="71">
        <v>0.72985662639929205</v>
      </c>
      <c r="P18" s="71">
        <v>1.2601489627381199</v>
      </c>
      <c r="Q18" s="71">
        <v>1.6765774215665801</v>
      </c>
      <c r="R18" s="71">
        <v>1.9598334640214501</v>
      </c>
      <c r="S18" s="71">
        <v>1.8964920802954199</v>
      </c>
      <c r="T18" s="71">
        <v>2.77862952602442</v>
      </c>
      <c r="U18" s="71">
        <v>5.4952833427627503</v>
      </c>
      <c r="V18" s="71">
        <v>5.7474608997180798</v>
      </c>
      <c r="W18" s="71">
        <v>3.2677376634340201</v>
      </c>
    </row>
    <row r="19" spans="2:23" ht="15.75" customHeight="1" x14ac:dyDescent="0.35">
      <c r="B19" s="36"/>
      <c r="C19" s="74"/>
      <c r="D19" s="74"/>
      <c r="E19" s="74"/>
      <c r="F19" s="74"/>
      <c r="G19" s="74"/>
      <c r="H19" s="74"/>
      <c r="I19" s="74"/>
      <c r="J19" s="74"/>
      <c r="K19" s="74"/>
      <c r="L19" s="74"/>
      <c r="M19" s="74"/>
      <c r="N19" s="74"/>
      <c r="O19" s="74"/>
      <c r="P19" s="74"/>
      <c r="Q19" s="74"/>
      <c r="R19" s="74"/>
      <c r="S19" s="74"/>
      <c r="T19" s="74"/>
      <c r="U19" s="74"/>
      <c r="V19" s="74"/>
      <c r="W19" s="74"/>
    </row>
    <row r="20" spans="2:23" ht="15.75" customHeight="1" x14ac:dyDescent="0.25">
      <c r="B20" s="11" t="s">
        <v>222</v>
      </c>
      <c r="C20" s="75"/>
      <c r="D20" s="75"/>
      <c r="E20" s="75"/>
      <c r="F20" s="75"/>
      <c r="G20" s="75"/>
      <c r="H20" s="75"/>
      <c r="I20" s="75"/>
      <c r="J20" s="75"/>
      <c r="K20" s="75"/>
      <c r="L20" s="75"/>
      <c r="M20" s="75"/>
      <c r="N20" s="75"/>
      <c r="O20" s="75"/>
      <c r="P20" s="75"/>
      <c r="Q20" s="75"/>
      <c r="R20" s="75"/>
      <c r="S20" s="75"/>
      <c r="T20" s="75"/>
      <c r="U20" s="75"/>
      <c r="V20" s="75"/>
      <c r="W20" s="75"/>
    </row>
    <row r="21" spans="2:23" ht="15.75" customHeight="1" x14ac:dyDescent="0.25">
      <c r="B21" s="33" t="s">
        <v>223</v>
      </c>
      <c r="C21" s="57">
        <f>12153734/1000</f>
        <v>12153.734</v>
      </c>
      <c r="D21" s="57">
        <v>66638</v>
      </c>
      <c r="E21" s="57">
        <v>538943</v>
      </c>
      <c r="F21" s="57">
        <v>649182</v>
      </c>
      <c r="G21" s="57">
        <v>694724</v>
      </c>
      <c r="H21" s="57">
        <f>'Statements financial position'!H39</f>
        <v>867389</v>
      </c>
      <c r="I21" s="57">
        <f>'Statements financial position'!I39</f>
        <v>751890</v>
      </c>
      <c r="J21" s="57">
        <f>'Statements financial position'!J39</f>
        <v>457209</v>
      </c>
      <c r="K21" s="57">
        <f>'Statements financial position'!K39</f>
        <v>936187</v>
      </c>
      <c r="L21" s="57">
        <f>'Statements financial position'!L39</f>
        <v>974300</v>
      </c>
      <c r="M21" s="57">
        <f>'Statements financial position'!M39</f>
        <v>955552</v>
      </c>
      <c r="N21" s="57">
        <f>'Statements financial position'!N39</f>
        <v>640538</v>
      </c>
      <c r="O21" s="57">
        <f>'Statements financial position'!O39</f>
        <v>1264321</v>
      </c>
      <c r="P21" s="57">
        <f>'Statements financial position'!P39</f>
        <v>3906946</v>
      </c>
      <c r="Q21" s="57">
        <f>'Statements financial position'!Q39</f>
        <v>4271074</v>
      </c>
      <c r="R21" s="57">
        <f>'Statements financial position'!R39</f>
        <v>2978091</v>
      </c>
      <c r="S21" s="57">
        <f>'Statements financial position'!S39</f>
        <v>4264453</v>
      </c>
      <c r="T21" s="57">
        <f>'Statements financial position'!T39</f>
        <v>2860731</v>
      </c>
      <c r="U21" s="57">
        <f>'Statements financial position'!U39</f>
        <v>1031046</v>
      </c>
      <c r="V21" s="57">
        <f>'Statements financial position'!V39</f>
        <v>1315542</v>
      </c>
      <c r="W21" s="57">
        <f>'Statements financial position'!W39</f>
        <v>1042799</v>
      </c>
    </row>
    <row r="22" spans="2:23" ht="15.75" customHeight="1" x14ac:dyDescent="0.25">
      <c r="B22" s="22" t="s">
        <v>224</v>
      </c>
      <c r="C22" s="57">
        <f>425775764/1000</f>
        <v>425775.76400000002</v>
      </c>
      <c r="D22" s="57">
        <v>679847</v>
      </c>
      <c r="E22" s="57">
        <v>2498230</v>
      </c>
      <c r="F22" s="57">
        <v>2898066</v>
      </c>
      <c r="G22" s="57">
        <v>2895089</v>
      </c>
      <c r="H22" s="57">
        <f t="shared" ref="H22:W22" si="3">H11-H21</f>
        <v>2868779</v>
      </c>
      <c r="I22" s="57">
        <f t="shared" si="3"/>
        <v>3197709.9894447802</v>
      </c>
      <c r="J22" s="57">
        <f t="shared" si="3"/>
        <v>2907156.1687711799</v>
      </c>
      <c r="K22" s="57">
        <f t="shared" si="3"/>
        <v>3484063.0438445602</v>
      </c>
      <c r="L22" s="57">
        <f t="shared" si="3"/>
        <v>3944181.3556505796</v>
      </c>
      <c r="M22" s="57">
        <f t="shared" si="3"/>
        <v>4338018.4608591907</v>
      </c>
      <c r="N22" s="57">
        <f t="shared" si="3"/>
        <v>5905256.8332865601</v>
      </c>
      <c r="O22" s="57">
        <f t="shared" si="3"/>
        <v>5479389.1657106094</v>
      </c>
      <c r="P22" s="57">
        <f t="shared" si="3"/>
        <v>2607687.1040463103</v>
      </c>
      <c r="Q22" s="57">
        <f t="shared" si="3"/>
        <v>2628371.2419215301</v>
      </c>
      <c r="R22" s="57">
        <f t="shared" si="3"/>
        <v>4870702.9395631701</v>
      </c>
      <c r="S22" s="57">
        <f t="shared" si="3"/>
        <v>3282090.4053705698</v>
      </c>
      <c r="T22" s="57">
        <f t="shared" si="3"/>
        <v>5417399.9701289097</v>
      </c>
      <c r="U22" s="57">
        <f t="shared" si="3"/>
        <v>8959868.3677926194</v>
      </c>
      <c r="V22" s="57">
        <f t="shared" si="3"/>
        <v>8961564.0746321995</v>
      </c>
      <c r="W22" s="57">
        <f t="shared" si="3"/>
        <v>9227226.2127503008</v>
      </c>
    </row>
    <row r="23" spans="2:23" ht="15.75" customHeight="1" x14ac:dyDescent="0.35">
      <c r="B23" s="38" t="s">
        <v>225</v>
      </c>
      <c r="C23" s="77">
        <f t="shared" ref="C23:W23" si="4">C21/C11*100</f>
        <v>2.7752718315403362</v>
      </c>
      <c r="D23" s="77">
        <f t="shared" si="4"/>
        <v>8.9269040905041628</v>
      </c>
      <c r="E23" s="77">
        <f t="shared" si="4"/>
        <v>17.744889737924048</v>
      </c>
      <c r="F23" s="77">
        <f t="shared" si="4"/>
        <v>18.30100404595337</v>
      </c>
      <c r="G23" s="77">
        <f t="shared" si="4"/>
        <v>19.352646125955271</v>
      </c>
      <c r="H23" s="77">
        <f t="shared" si="4"/>
        <v>23.216006346609682</v>
      </c>
      <c r="I23" s="77">
        <f t="shared" si="4"/>
        <v>19.037117733679604</v>
      </c>
      <c r="J23" s="77">
        <f t="shared" si="4"/>
        <v>13.589755483260863</v>
      </c>
      <c r="K23" s="77">
        <f t="shared" si="4"/>
        <v>21.179503211672191</v>
      </c>
      <c r="L23" s="77">
        <f t="shared" si="4"/>
        <v>19.808959911593014</v>
      </c>
      <c r="M23" s="77">
        <f t="shared" si="4"/>
        <v>18.051181278597848</v>
      </c>
      <c r="N23" s="77">
        <f t="shared" si="4"/>
        <v>9.7854884901486283</v>
      </c>
      <c r="O23" s="77">
        <f t="shared" si="4"/>
        <v>18.748151520933192</v>
      </c>
      <c r="P23" s="77">
        <f t="shared" si="4"/>
        <v>59.9718501042423</v>
      </c>
      <c r="Q23" s="77">
        <f t="shared" si="4"/>
        <v>61.904600301030641</v>
      </c>
      <c r="R23" s="77">
        <f t="shared" si="4"/>
        <v>37.943294510363302</v>
      </c>
      <c r="S23" s="77">
        <f t="shared" si="4"/>
        <v>56.508692403003494</v>
      </c>
      <c r="T23" s="77">
        <f t="shared" si="4"/>
        <v>34.557691951513689</v>
      </c>
      <c r="U23" s="77">
        <f t="shared" si="4"/>
        <v>10.319836223636838</v>
      </c>
      <c r="V23" s="77">
        <f t="shared" si="4"/>
        <v>12.800704696891835</v>
      </c>
      <c r="W23" s="77">
        <f t="shared" si="4"/>
        <v>10.153811489239175</v>
      </c>
    </row>
    <row r="24" spans="2:23" ht="15.75" customHeight="1" x14ac:dyDescent="0.35">
      <c r="B24" s="38" t="s">
        <v>226</v>
      </c>
      <c r="C24" s="77">
        <f t="shared" ref="C24:W24" si="5">C22/C11*100</f>
        <v>97.224728168459663</v>
      </c>
      <c r="D24" s="77">
        <f t="shared" si="5"/>
        <v>91.073095909495834</v>
      </c>
      <c r="E24" s="77">
        <f t="shared" si="5"/>
        <v>82.255110262075945</v>
      </c>
      <c r="F24" s="77">
        <f t="shared" si="5"/>
        <v>81.698995954046623</v>
      </c>
      <c r="G24" s="77">
        <f t="shared" si="5"/>
        <v>80.647326017448265</v>
      </c>
      <c r="H24" s="77">
        <f t="shared" si="5"/>
        <v>76.783993653390311</v>
      </c>
      <c r="I24" s="77">
        <f t="shared" si="5"/>
        <v>80.962882266320406</v>
      </c>
      <c r="J24" s="77">
        <f t="shared" si="5"/>
        <v>86.410244516739127</v>
      </c>
      <c r="K24" s="77">
        <f t="shared" si="5"/>
        <v>78.820496788327816</v>
      </c>
      <c r="L24" s="77">
        <f t="shared" si="5"/>
        <v>80.191040088406979</v>
      </c>
      <c r="M24" s="77">
        <f t="shared" si="5"/>
        <v>81.948818721402148</v>
      </c>
      <c r="N24" s="77">
        <f t="shared" si="5"/>
        <v>90.214511509851363</v>
      </c>
      <c r="O24" s="77">
        <f t="shared" si="5"/>
        <v>81.251848479066808</v>
      </c>
      <c r="P24" s="77">
        <f t="shared" si="5"/>
        <v>40.028149895757707</v>
      </c>
      <c r="Q24" s="77">
        <f t="shared" si="5"/>
        <v>38.095399698969359</v>
      </c>
      <c r="R24" s="77">
        <f t="shared" si="5"/>
        <v>62.056705489636698</v>
      </c>
      <c r="S24" s="77">
        <f t="shared" si="5"/>
        <v>43.491307596996506</v>
      </c>
      <c r="T24" s="77">
        <f t="shared" si="5"/>
        <v>65.442308048486325</v>
      </c>
      <c r="U24" s="77">
        <f t="shared" si="5"/>
        <v>89.680163776363159</v>
      </c>
      <c r="V24" s="77">
        <f t="shared" si="5"/>
        <v>87.199295303108173</v>
      </c>
      <c r="W24" s="77">
        <f t="shared" si="5"/>
        <v>89.846188510760825</v>
      </c>
    </row>
    <row r="25" spans="2:23" ht="15.75" customHeight="1" x14ac:dyDescent="0.35">
      <c r="B25" s="26"/>
      <c r="C25" s="78"/>
      <c r="D25" s="78"/>
      <c r="E25" s="78"/>
      <c r="F25" s="78"/>
      <c r="G25" s="78"/>
      <c r="H25" s="78"/>
      <c r="I25" s="78"/>
      <c r="J25" s="78"/>
      <c r="K25" s="78"/>
      <c r="L25" s="78"/>
      <c r="M25" s="78"/>
      <c r="N25" s="78"/>
      <c r="O25" s="78"/>
      <c r="P25" s="78"/>
      <c r="Q25" s="78"/>
      <c r="R25" s="78"/>
      <c r="S25" s="78"/>
      <c r="T25" s="78"/>
      <c r="U25" s="78"/>
      <c r="V25" s="78"/>
      <c r="W25" s="78"/>
    </row>
    <row r="26" spans="2:23" ht="15.75" customHeight="1" x14ac:dyDescent="0.35">
      <c r="B26" s="38" t="s">
        <v>212</v>
      </c>
      <c r="C26" s="57">
        <f t="shared" ref="C26:W26" si="6">C8</f>
        <v>437929.49800000002</v>
      </c>
      <c r="D26" s="57">
        <f t="shared" si="6"/>
        <v>705686</v>
      </c>
      <c r="E26" s="57">
        <f t="shared" si="6"/>
        <v>2419889</v>
      </c>
      <c r="F26" s="57">
        <f t="shared" si="6"/>
        <v>2659403</v>
      </c>
      <c r="G26" s="57">
        <f t="shared" si="6"/>
        <v>2741039</v>
      </c>
      <c r="H26" s="57">
        <f t="shared" si="6"/>
        <v>0</v>
      </c>
      <c r="I26" s="57">
        <f t="shared" si="6"/>
        <v>0</v>
      </c>
      <c r="J26" s="57">
        <f t="shared" si="6"/>
        <v>0</v>
      </c>
      <c r="K26" s="57">
        <f t="shared" si="6"/>
        <v>0</v>
      </c>
      <c r="L26" s="57">
        <f t="shared" si="6"/>
        <v>0</v>
      </c>
      <c r="M26" s="57">
        <f t="shared" si="6"/>
        <v>0</v>
      </c>
      <c r="N26" s="57">
        <f t="shared" si="6"/>
        <v>0</v>
      </c>
      <c r="O26" s="57">
        <f t="shared" si="6"/>
        <v>0</v>
      </c>
      <c r="P26" s="57">
        <f t="shared" si="6"/>
        <v>0</v>
      </c>
      <c r="Q26" s="57">
        <f t="shared" si="6"/>
        <v>0</v>
      </c>
      <c r="R26" s="57">
        <f t="shared" si="6"/>
        <v>0</v>
      </c>
      <c r="S26" s="57">
        <f t="shared" si="6"/>
        <v>0</v>
      </c>
      <c r="T26" s="57">
        <f t="shared" si="6"/>
        <v>0</v>
      </c>
      <c r="U26" s="57">
        <f t="shared" si="6"/>
        <v>0</v>
      </c>
      <c r="V26" s="57">
        <f t="shared" si="6"/>
        <v>0</v>
      </c>
      <c r="W26" s="57">
        <f t="shared" si="6"/>
        <v>0</v>
      </c>
    </row>
    <row r="27" spans="2:23" ht="15.75" customHeight="1" x14ac:dyDescent="0.35">
      <c r="B27" s="38" t="s">
        <v>227</v>
      </c>
      <c r="C27" s="79">
        <f t="shared" ref="C27:W27" si="7">SUM(C9:C10)</f>
        <v>0</v>
      </c>
      <c r="D27" s="79">
        <f t="shared" si="7"/>
        <v>40799</v>
      </c>
      <c r="E27" s="79">
        <f t="shared" si="7"/>
        <v>617284</v>
      </c>
      <c r="F27" s="79">
        <f t="shared" si="7"/>
        <v>887845</v>
      </c>
      <c r="G27" s="79">
        <f t="shared" si="7"/>
        <v>848775</v>
      </c>
      <c r="H27" s="79">
        <f t="shared" si="7"/>
        <v>909634</v>
      </c>
      <c r="I27" s="79">
        <f t="shared" si="7"/>
        <v>489712.26274999999</v>
      </c>
      <c r="J27" s="79">
        <f t="shared" si="7"/>
        <v>408486.99687000003</v>
      </c>
      <c r="K27" s="79">
        <f t="shared" si="7"/>
        <v>1113161.11772</v>
      </c>
      <c r="L27" s="79">
        <f t="shared" si="7"/>
        <v>1122354.8082400002</v>
      </c>
      <c r="M27" s="79">
        <f t="shared" si="7"/>
        <v>1985142.5520600011</v>
      </c>
      <c r="N27" s="79">
        <f t="shared" si="7"/>
        <v>3109831.99291</v>
      </c>
      <c r="O27" s="79">
        <f t="shared" si="7"/>
        <v>3356127.4730492597</v>
      </c>
      <c r="P27" s="79">
        <f t="shared" si="7"/>
        <v>3408893.6309069702</v>
      </c>
      <c r="Q27" s="79">
        <f t="shared" si="7"/>
        <v>3791618.2203729702</v>
      </c>
      <c r="R27" s="79">
        <f t="shared" si="7"/>
        <v>5383826.82957114</v>
      </c>
      <c r="S27" s="79">
        <f t="shared" si="7"/>
        <v>5067927.8548831204</v>
      </c>
      <c r="T27" s="79">
        <f t="shared" si="7"/>
        <v>6124409.0125227794</v>
      </c>
      <c r="U27" s="79">
        <f t="shared" si="7"/>
        <v>6796032.51227012</v>
      </c>
      <c r="V27" s="79">
        <f t="shared" si="7"/>
        <v>7007756.1960623804</v>
      </c>
      <c r="W27" s="79">
        <f t="shared" si="7"/>
        <v>7113432.7478885297</v>
      </c>
    </row>
    <row r="28" spans="2:23" ht="15.75" customHeight="1" x14ac:dyDescent="0.35">
      <c r="B28" s="38" t="s">
        <v>228</v>
      </c>
      <c r="C28" s="77">
        <f t="shared" ref="C28:W28" si="8">C26/C$11*100</f>
        <v>100</v>
      </c>
      <c r="D28" s="77">
        <f t="shared" si="8"/>
        <v>94.534518443103337</v>
      </c>
      <c r="E28" s="77">
        <f t="shared" si="8"/>
        <v>79.675705005938084</v>
      </c>
      <c r="F28" s="77">
        <f t="shared" si="8"/>
        <v>74.970878833394224</v>
      </c>
      <c r="G28" s="77">
        <f t="shared" si="8"/>
        <v>76.356017331260063</v>
      </c>
      <c r="H28" s="77">
        <f t="shared" si="8"/>
        <v>0</v>
      </c>
      <c r="I28" s="77">
        <f t="shared" si="8"/>
        <v>0</v>
      </c>
      <c r="J28" s="77">
        <f t="shared" si="8"/>
        <v>0</v>
      </c>
      <c r="K28" s="77">
        <f t="shared" si="8"/>
        <v>0</v>
      </c>
      <c r="L28" s="77">
        <f t="shared" si="8"/>
        <v>0</v>
      </c>
      <c r="M28" s="77">
        <f t="shared" si="8"/>
        <v>0</v>
      </c>
      <c r="N28" s="77">
        <f t="shared" si="8"/>
        <v>0</v>
      </c>
      <c r="O28" s="77">
        <f t="shared" si="8"/>
        <v>0</v>
      </c>
      <c r="P28" s="77">
        <f t="shared" si="8"/>
        <v>0</v>
      </c>
      <c r="Q28" s="77">
        <f t="shared" si="8"/>
        <v>0</v>
      </c>
      <c r="R28" s="77">
        <f t="shared" si="8"/>
        <v>0</v>
      </c>
      <c r="S28" s="77">
        <f t="shared" si="8"/>
        <v>0</v>
      </c>
      <c r="T28" s="77">
        <f t="shared" si="8"/>
        <v>0</v>
      </c>
      <c r="U28" s="77">
        <f t="shared" si="8"/>
        <v>0</v>
      </c>
      <c r="V28" s="77">
        <f t="shared" si="8"/>
        <v>0</v>
      </c>
      <c r="W28" s="77">
        <f t="shared" si="8"/>
        <v>0</v>
      </c>
    </row>
    <row r="29" spans="2:23" ht="15.75" customHeight="1" x14ac:dyDescent="0.35">
      <c r="B29" s="38" t="s">
        <v>229</v>
      </c>
      <c r="C29" s="77">
        <f t="shared" ref="C29:W29" si="9">C27/C$11*100</f>
        <v>0</v>
      </c>
      <c r="D29" s="77">
        <f t="shared" si="9"/>
        <v>5.4654815568966555</v>
      </c>
      <c r="E29" s="77">
        <f t="shared" si="9"/>
        <v>20.324294994061912</v>
      </c>
      <c r="F29" s="77">
        <f t="shared" si="9"/>
        <v>25.029121166605773</v>
      </c>
      <c r="G29" s="77">
        <f t="shared" si="9"/>
        <v>23.643982668739941</v>
      </c>
      <c r="H29" s="77">
        <f t="shared" si="9"/>
        <v>24.34671031923618</v>
      </c>
      <c r="I29" s="77">
        <f t="shared" si="9"/>
        <v>12.399034435354094</v>
      </c>
      <c r="J29" s="77">
        <f t="shared" si="9"/>
        <v>12.14157727768886</v>
      </c>
      <c r="K29" s="77">
        <f t="shared" si="9"/>
        <v>25.183216032544081</v>
      </c>
      <c r="L29" s="77">
        <f t="shared" si="9"/>
        <v>22.819133124304454</v>
      </c>
      <c r="M29" s="77">
        <f t="shared" si="9"/>
        <v>37.501013101425606</v>
      </c>
      <c r="N29" s="77">
        <f t="shared" si="9"/>
        <v>47.508852203798654</v>
      </c>
      <c r="O29" s="77">
        <f t="shared" si="9"/>
        <v>49.766781053462026</v>
      </c>
      <c r="P29" s="77">
        <f t="shared" si="9"/>
        <v>52.326717045502825</v>
      </c>
      <c r="Q29" s="77">
        <f t="shared" si="9"/>
        <v>54.955407100484287</v>
      </c>
      <c r="R29" s="77">
        <f t="shared" si="9"/>
        <v>68.594319981227329</v>
      </c>
      <c r="S29" s="77">
        <f t="shared" si="9"/>
        <v>67.155617912122267</v>
      </c>
      <c r="T29" s="77">
        <f t="shared" si="9"/>
        <v>73.982992472845694</v>
      </c>
      <c r="U29" s="77">
        <f t="shared" si="9"/>
        <v>68.022127525967647</v>
      </c>
      <c r="V29" s="77">
        <f t="shared" si="9"/>
        <v>68.188030221466562</v>
      </c>
      <c r="W29" s="77">
        <f t="shared" si="9"/>
        <v>69.264024192045397</v>
      </c>
    </row>
    <row r="30" spans="2:23" ht="15.75" customHeight="1" x14ac:dyDescent="0.35">
      <c r="B30" s="38"/>
      <c r="C30" s="80"/>
      <c r="D30" s="28"/>
      <c r="E30" s="62"/>
      <c r="F30" s="81"/>
      <c r="G30" s="81"/>
      <c r="H30" s="81"/>
      <c r="I30" s="81"/>
      <c r="J30" s="81"/>
      <c r="K30" s="81"/>
      <c r="L30" s="81"/>
      <c r="M30" s="81"/>
      <c r="N30" s="81"/>
      <c r="O30" s="81"/>
      <c r="P30" s="20"/>
      <c r="Q30" s="20"/>
      <c r="R30" s="20"/>
      <c r="S30" s="20"/>
      <c r="T30" s="81"/>
      <c r="U30" s="81"/>
      <c r="V30" s="81"/>
      <c r="W30" s="81"/>
    </row>
    <row r="31" spans="2:23" ht="15.75" customHeight="1" x14ac:dyDescent="0.35">
      <c r="B31" s="38" t="s">
        <v>230</v>
      </c>
      <c r="C31" s="57">
        <f>C8</f>
        <v>437929.49800000002</v>
      </c>
      <c r="D31" s="57">
        <f>D8</f>
        <v>705686</v>
      </c>
      <c r="E31" s="57">
        <v>2456512.7958800001</v>
      </c>
      <c r="F31" s="57">
        <v>2688800.44783</v>
      </c>
      <c r="G31" s="57">
        <v>2762708.3095</v>
      </c>
      <c r="H31" s="57">
        <v>1308101.8638500001</v>
      </c>
      <c r="I31" s="57">
        <v>1494725.26003478</v>
      </c>
      <c r="J31" s="57">
        <v>1230044.15435118</v>
      </c>
      <c r="K31" s="57">
        <v>1431049</v>
      </c>
      <c r="L31" s="57">
        <v>1870972.14445059</v>
      </c>
      <c r="M31" s="57">
        <v>1650388.6124177901</v>
      </c>
      <c r="N31" s="57">
        <v>1758874.6020025599</v>
      </c>
      <c r="O31" s="57">
        <v>1656005.8733898101</v>
      </c>
      <c r="P31" s="57">
        <v>1432251.7076228701</v>
      </c>
      <c r="Q31" s="57">
        <v>1480947.5265782501</v>
      </c>
      <c r="R31" s="57">
        <v>919495.178087104</v>
      </c>
      <c r="S31" s="57">
        <v>875313.01423056703</v>
      </c>
      <c r="T31" s="57">
        <v>843430.11426890502</v>
      </c>
      <c r="U31" s="57">
        <v>1678246.3881526201</v>
      </c>
      <c r="V31" s="57">
        <v>1765102.58179219</v>
      </c>
      <c r="W31" s="57">
        <v>1685603.02138952</v>
      </c>
    </row>
    <row r="32" spans="2:23" ht="15.75" customHeight="1" x14ac:dyDescent="0.35">
      <c r="B32" s="38" t="s">
        <v>231</v>
      </c>
      <c r="C32" s="57">
        <v>0</v>
      </c>
      <c r="D32" s="57">
        <v>40799.432000000001</v>
      </c>
      <c r="E32" s="57">
        <v>580660.20421999996</v>
      </c>
      <c r="F32" s="57">
        <v>858447.55168999999</v>
      </c>
      <c r="G32" s="57">
        <v>827105.30825</v>
      </c>
      <c r="H32" s="57">
        <v>2428066.1222199998</v>
      </c>
      <c r="I32" s="57">
        <v>2454874.7294100001</v>
      </c>
      <c r="J32" s="57">
        <v>2134321.0144199999</v>
      </c>
      <c r="K32" s="57">
        <v>2989201</v>
      </c>
      <c r="L32" s="57">
        <v>3047509.2111999998</v>
      </c>
      <c r="M32" s="57">
        <v>3643181.8484414001</v>
      </c>
      <c r="N32" s="57">
        <v>4786920.231284</v>
      </c>
      <c r="O32" s="57">
        <v>5087704.2923208</v>
      </c>
      <c r="P32" s="57">
        <v>5082381.3964234404</v>
      </c>
      <c r="Q32" s="57">
        <v>5418497.7153432798</v>
      </c>
      <c r="R32" s="57">
        <v>6929298.7614760604</v>
      </c>
      <c r="S32" s="57">
        <v>6671230.39114</v>
      </c>
      <c r="T32" s="57">
        <v>7434700.8558599995</v>
      </c>
      <c r="U32" s="57">
        <v>8312667.9796399996</v>
      </c>
      <c r="V32" s="57">
        <v>8512003.4928399995</v>
      </c>
      <c r="W32" s="57">
        <v>8584422.1913607996</v>
      </c>
    </row>
    <row r="33" spans="2:23" ht="15.75" customHeight="1" x14ac:dyDescent="0.35">
      <c r="B33" s="38" t="s">
        <v>232</v>
      </c>
      <c r="C33" s="77">
        <f t="shared" ref="C33:R33" si="10">C31/C$11*100</f>
        <v>100</v>
      </c>
      <c r="D33" s="77">
        <f t="shared" si="10"/>
        <v>94.534518443103337</v>
      </c>
      <c r="E33" s="77">
        <f t="shared" si="10"/>
        <v>80.88155649612321</v>
      </c>
      <c r="F33" s="77">
        <f t="shared" si="10"/>
        <v>75.799618403618808</v>
      </c>
      <c r="G33" s="77">
        <f t="shared" si="10"/>
        <v>76.959650541782949</v>
      </c>
      <c r="H33" s="77">
        <f t="shared" si="10"/>
        <v>35.011858777496094</v>
      </c>
      <c r="I33" s="77">
        <f t="shared" si="10"/>
        <v>37.844978327663576</v>
      </c>
      <c r="J33" s="77">
        <f t="shared" si="10"/>
        <v>36.560958535914473</v>
      </c>
      <c r="K33" s="77">
        <f t="shared" si="10"/>
        <v>32.374842730736781</v>
      </c>
      <c r="L33" s="77">
        <f t="shared" si="10"/>
        <v>38.039630714491388</v>
      </c>
      <c r="M33" s="77">
        <f t="shared" si="10"/>
        <v>31.177229520619594</v>
      </c>
      <c r="N33" s="77">
        <f t="shared" si="10"/>
        <v>26.870298364048352</v>
      </c>
      <c r="O33" s="77">
        <f t="shared" si="10"/>
        <v>24.556302579698883</v>
      </c>
      <c r="P33" s="77">
        <f t="shared" si="10"/>
        <v>21.98514766293259</v>
      </c>
      <c r="Q33" s="77">
        <f t="shared" si="10"/>
        <v>21.464733390155853</v>
      </c>
      <c r="R33" s="77">
        <f t="shared" si="10"/>
        <v>11.715114260450047</v>
      </c>
      <c r="S33" s="77">
        <v>11.5988601298926</v>
      </c>
      <c r="T33" s="77">
        <v>10.1886526732404</v>
      </c>
      <c r="U33" s="77">
        <v>16.7977239959686</v>
      </c>
      <c r="V33" s="77">
        <v>17.175093542618299</v>
      </c>
      <c r="W33" s="77">
        <f>0.164128420960139*100</f>
        <v>16.4128420960139</v>
      </c>
    </row>
    <row r="34" spans="2:23" ht="15.75" customHeight="1" x14ac:dyDescent="0.35">
      <c r="B34" s="38" t="s">
        <v>233</v>
      </c>
      <c r="C34" s="77">
        <f t="shared" ref="C34:R34" si="11">C32/C$11*100</f>
        <v>0</v>
      </c>
      <c r="D34" s="77">
        <f t="shared" si="11"/>
        <v>5.4655394281197882</v>
      </c>
      <c r="E34" s="77">
        <f t="shared" si="11"/>
        <v>19.118443507169331</v>
      </c>
      <c r="F34" s="77">
        <f t="shared" si="11"/>
        <v>24.200381582849577</v>
      </c>
      <c r="G34" s="77">
        <f t="shared" si="11"/>
        <v>23.040338810033052</v>
      </c>
      <c r="H34" s="77">
        <f t="shared" si="11"/>
        <v>64.988140849662003</v>
      </c>
      <c r="I34" s="77">
        <f t="shared" si="11"/>
        <v>62.155021672336417</v>
      </c>
      <c r="J34" s="77">
        <f t="shared" si="11"/>
        <v>63.439041464085534</v>
      </c>
      <c r="K34" s="77">
        <f t="shared" si="11"/>
        <v>67.625156277360958</v>
      </c>
      <c r="L34" s="77">
        <f t="shared" si="11"/>
        <v>61.960369285508818</v>
      </c>
      <c r="M34" s="77">
        <f t="shared" si="11"/>
        <v>68.822770479380395</v>
      </c>
      <c r="N34" s="77">
        <f t="shared" si="11"/>
        <v>73.129701635951648</v>
      </c>
      <c r="O34" s="77">
        <f t="shared" si="11"/>
        <v>75.44369742030112</v>
      </c>
      <c r="P34" s="77">
        <f t="shared" si="11"/>
        <v>78.014852337067424</v>
      </c>
      <c r="Q34" s="77">
        <f t="shared" si="11"/>
        <v>78.535266609844143</v>
      </c>
      <c r="R34" s="77">
        <f t="shared" si="11"/>
        <v>88.284885739549878</v>
      </c>
      <c r="S34" s="77">
        <v>88.4011398701074</v>
      </c>
      <c r="T34" s="77">
        <v>89.811335246739603</v>
      </c>
      <c r="U34" s="77">
        <v>83.2022659949385</v>
      </c>
      <c r="V34" s="77">
        <v>82.824906457381701</v>
      </c>
      <c r="W34" s="77">
        <f>0.835871579039861*100</f>
        <v>83.587157903986096</v>
      </c>
    </row>
    <row r="35" spans="2:23" ht="15.75" customHeight="1" x14ac:dyDescent="0.45">
      <c r="B35" s="26"/>
      <c r="C35" s="26"/>
      <c r="D35" s="39"/>
      <c r="E35" s="25"/>
      <c r="F35" s="40"/>
      <c r="G35" s="40"/>
      <c r="H35" s="40"/>
      <c r="I35" s="4"/>
      <c r="J35" s="4"/>
      <c r="K35" s="4"/>
      <c r="L35" s="4"/>
      <c r="M35" s="4"/>
      <c r="N35" s="4"/>
      <c r="O35" s="4"/>
      <c r="P35" s="4"/>
      <c r="Q35" s="4"/>
      <c r="R35" s="4"/>
      <c r="S35" s="4"/>
      <c r="T35" s="4"/>
      <c r="U35" s="4"/>
      <c r="V35" s="4"/>
      <c r="W35" s="4"/>
    </row>
    <row r="36" spans="2:23" ht="15.75" customHeight="1" x14ac:dyDescent="0.45">
      <c r="B36" s="69" t="s">
        <v>382</v>
      </c>
      <c r="C36" s="18"/>
      <c r="D36" s="18"/>
      <c r="E36" s="18"/>
      <c r="F36" s="18"/>
      <c r="G36" s="18"/>
      <c r="H36" s="18"/>
      <c r="I36" s="18"/>
      <c r="J36" s="18"/>
      <c r="K36" s="18"/>
      <c r="L36" s="18"/>
      <c r="M36" s="18"/>
      <c r="N36" s="18"/>
      <c r="O36" s="18"/>
      <c r="P36" s="18"/>
      <c r="Q36" s="18"/>
      <c r="R36" s="18"/>
      <c r="S36" s="18"/>
      <c r="T36" s="18"/>
      <c r="U36" s="18"/>
      <c r="V36" s="4"/>
      <c r="W36" s="4"/>
    </row>
    <row r="37" spans="2:23" ht="15.75" customHeight="1" x14ac:dyDescent="0.45">
      <c r="B37" s="69" t="s">
        <v>383</v>
      </c>
      <c r="C37" s="4"/>
      <c r="D37" s="4"/>
      <c r="E37" s="4"/>
      <c r="F37" s="4"/>
      <c r="G37" s="4"/>
      <c r="H37" s="4"/>
      <c r="I37" s="4"/>
      <c r="J37" s="4"/>
      <c r="K37" s="4"/>
      <c r="L37" s="4"/>
      <c r="M37" s="4"/>
      <c r="N37" s="4"/>
      <c r="O37" s="4"/>
      <c r="P37" s="4"/>
      <c r="Q37" s="4"/>
      <c r="R37" s="4"/>
      <c r="S37" s="4"/>
      <c r="T37" s="4"/>
      <c r="U37" s="4"/>
      <c r="V37" s="4"/>
      <c r="W37" s="4"/>
    </row>
    <row r="38" spans="2:23" ht="15.75" customHeight="1" x14ac:dyDescent="0.45">
      <c r="B38" s="69" t="s">
        <v>384</v>
      </c>
      <c r="C38" s="7"/>
      <c r="D38" s="4"/>
      <c r="E38" s="4"/>
      <c r="F38" s="4"/>
      <c r="G38" s="4"/>
      <c r="H38" s="24"/>
      <c r="I38" s="4"/>
      <c r="J38" s="4"/>
      <c r="K38" s="4"/>
      <c r="L38" s="4"/>
      <c r="M38" s="4"/>
      <c r="N38" s="4"/>
      <c r="O38" s="4"/>
      <c r="P38" s="4"/>
      <c r="Q38" s="4"/>
      <c r="R38" s="4"/>
      <c r="S38" s="4"/>
      <c r="T38" s="4"/>
      <c r="U38" s="4"/>
      <c r="V38" s="4"/>
      <c r="W38" s="4"/>
    </row>
    <row r="39" spans="2:23" ht="15.75" customHeight="1" x14ac:dyDescent="0.45">
      <c r="B39" s="69" t="s">
        <v>234</v>
      </c>
      <c r="C39" s="4"/>
      <c r="D39" s="4"/>
      <c r="E39" s="4"/>
      <c r="F39" s="4"/>
      <c r="G39" s="4"/>
      <c r="H39" s="4"/>
      <c r="I39" s="4"/>
      <c r="J39" s="4"/>
      <c r="K39" s="4"/>
      <c r="L39" s="4"/>
      <c r="M39" s="4"/>
      <c r="N39" s="4"/>
      <c r="O39" s="4"/>
      <c r="P39" s="4"/>
      <c r="Q39" s="4"/>
      <c r="R39" s="4"/>
      <c r="S39" s="4"/>
      <c r="T39" s="4"/>
      <c r="U39" s="4"/>
      <c r="V39" s="4"/>
      <c r="W39" s="4"/>
    </row>
    <row r="40" spans="2:23" ht="15.75" customHeight="1" x14ac:dyDescent="0.25"/>
    <row r="41" spans="2:23" ht="15.75" customHeight="1" x14ac:dyDescent="0.25"/>
    <row r="42" spans="2:23" ht="15.75" customHeight="1" x14ac:dyDescent="0.25"/>
    <row r="43" spans="2:23" ht="15.75" customHeight="1" x14ac:dyDescent="0.25"/>
    <row r="44" spans="2:23" ht="15.75" customHeight="1" x14ac:dyDescent="0.25"/>
    <row r="45" spans="2:23" ht="15.75" customHeight="1" x14ac:dyDescent="0.25"/>
    <row r="46" spans="2:23" ht="15.75" customHeight="1" x14ac:dyDescent="0.25"/>
    <row r="47" spans="2:23" ht="15.75" customHeight="1" x14ac:dyDescent="0.25"/>
    <row r="48" spans="2:23" ht="15" customHeight="1" x14ac:dyDescent="0.25"/>
  </sheetData>
  <mergeCells count="22">
    <mergeCell ref="C5:C6"/>
    <mergeCell ref="D5:D6"/>
    <mergeCell ref="E5:E6"/>
    <mergeCell ref="N5:N6"/>
    <mergeCell ref="O5:O6"/>
    <mergeCell ref="J5:J6"/>
    <mergeCell ref="K5:K6"/>
    <mergeCell ref="F5:F6"/>
    <mergeCell ref="I5:I6"/>
    <mergeCell ref="H5:H6"/>
    <mergeCell ref="G5:G6"/>
    <mergeCell ref="P5:P6"/>
    <mergeCell ref="Q5:Q6"/>
    <mergeCell ref="L5:L6"/>
    <mergeCell ref="M5:M6"/>
    <mergeCell ref="Q2:W3"/>
    <mergeCell ref="S5:S6"/>
    <mergeCell ref="R5:R6"/>
    <mergeCell ref="V5:V6"/>
    <mergeCell ref="W5:W6"/>
    <mergeCell ref="U5:U6"/>
    <mergeCell ref="T5:T6"/>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B7754"/>
  </sheetPr>
  <dimension ref="B1:AA159"/>
  <sheetViews>
    <sheetView showGridLines="0" workbookViewId="0"/>
  </sheetViews>
  <sheetFormatPr defaultColWidth="13.08984375" defaultRowHeight="12.5" x14ac:dyDescent="0.25"/>
  <cols>
    <col min="1" max="1" width="1.08984375" customWidth="1"/>
    <col min="2" max="2" width="60" customWidth="1"/>
    <col min="3" max="27" width="11" customWidth="1"/>
  </cols>
  <sheetData>
    <row r="1" spans="2:27" ht="15.75" customHeight="1" x14ac:dyDescent="0.45">
      <c r="E1" s="41"/>
    </row>
    <row r="2" spans="2:27" ht="15.75" customHeight="1" x14ac:dyDescent="0.45">
      <c r="B2" s="4"/>
      <c r="C2" s="4"/>
      <c r="D2" s="41"/>
      <c r="E2" s="4"/>
      <c r="F2" s="4"/>
      <c r="G2" s="4"/>
      <c r="H2" s="4"/>
      <c r="I2" s="41"/>
      <c r="J2" s="41"/>
      <c r="K2" s="4"/>
      <c r="L2" s="4"/>
      <c r="M2" s="4"/>
      <c r="N2" s="4"/>
      <c r="O2" s="4"/>
      <c r="P2" s="4"/>
      <c r="Q2" s="4"/>
      <c r="R2" s="4"/>
      <c r="S2" s="4"/>
      <c r="U2" s="100" t="s">
        <v>1</v>
      </c>
      <c r="V2" s="101"/>
      <c r="W2" s="101"/>
      <c r="X2" s="101"/>
      <c r="Y2" s="101"/>
      <c r="Z2" s="101"/>
      <c r="AA2" s="101"/>
    </row>
    <row r="3" spans="2:27" ht="15.75" customHeight="1" x14ac:dyDescent="0.45">
      <c r="B3" s="4"/>
      <c r="C3" s="4"/>
      <c r="D3" s="41"/>
      <c r="E3" s="4"/>
      <c r="F3" s="3"/>
      <c r="G3" s="3"/>
      <c r="H3" s="4"/>
      <c r="I3" s="41"/>
      <c r="J3" s="41"/>
      <c r="K3" s="4"/>
      <c r="L3" s="4"/>
      <c r="M3" s="4"/>
      <c r="N3" s="4"/>
      <c r="O3" s="3"/>
      <c r="P3" s="4"/>
      <c r="Q3" s="4"/>
      <c r="R3" s="4"/>
      <c r="S3" s="4"/>
      <c r="U3" s="101"/>
      <c r="V3" s="101"/>
      <c r="W3" s="101"/>
      <c r="X3" s="101"/>
      <c r="Y3" s="101"/>
      <c r="Z3" s="101"/>
      <c r="AA3" s="101"/>
    </row>
    <row r="4" spans="2:27" ht="15.75" customHeight="1" x14ac:dyDescent="0.45">
      <c r="B4" s="4"/>
      <c r="C4" s="4"/>
      <c r="D4" s="4"/>
      <c r="E4" s="4"/>
      <c r="F4" s="4"/>
      <c r="G4" s="4"/>
      <c r="H4" s="4"/>
      <c r="I4" s="41"/>
      <c r="J4" s="41"/>
      <c r="K4" s="4"/>
      <c r="L4" s="4"/>
      <c r="M4" s="4"/>
      <c r="N4" s="4"/>
      <c r="O4" s="4"/>
      <c r="P4" s="4"/>
      <c r="Q4" s="4"/>
      <c r="R4" s="4"/>
      <c r="S4" s="4"/>
      <c r="T4" s="4"/>
      <c r="U4" s="4"/>
      <c r="V4" s="4"/>
      <c r="W4" s="4"/>
      <c r="X4" s="4"/>
      <c r="Y4" s="4"/>
      <c r="Z4" s="4"/>
      <c r="AA4" s="4"/>
    </row>
    <row r="5" spans="2:27" ht="15.75" customHeight="1" x14ac:dyDescent="0.25">
      <c r="B5" s="5" t="s">
        <v>235</v>
      </c>
      <c r="C5" s="99" t="s">
        <v>209</v>
      </c>
      <c r="D5" s="99" t="s">
        <v>210</v>
      </c>
      <c r="E5" s="99" t="s">
        <v>211</v>
      </c>
      <c r="F5" s="99" t="s">
        <v>6</v>
      </c>
      <c r="G5" s="99" t="s">
        <v>7</v>
      </c>
      <c r="H5" s="99" t="s">
        <v>8</v>
      </c>
      <c r="I5" s="99" t="s">
        <v>76</v>
      </c>
      <c r="J5" s="99" t="s">
        <v>236</v>
      </c>
      <c r="K5" s="99" t="s">
        <v>10</v>
      </c>
      <c r="L5" s="99" t="s">
        <v>11</v>
      </c>
      <c r="M5" s="99" t="s">
        <v>12</v>
      </c>
      <c r="N5" s="99" t="s">
        <v>77</v>
      </c>
      <c r="O5" s="99" t="s">
        <v>237</v>
      </c>
      <c r="P5" s="99" t="s">
        <v>14</v>
      </c>
      <c r="Q5" s="99" t="s">
        <v>15</v>
      </c>
      <c r="R5" s="99" t="s">
        <v>16</v>
      </c>
      <c r="S5" s="99" t="s">
        <v>78</v>
      </c>
      <c r="T5" s="99" t="s">
        <v>238</v>
      </c>
      <c r="U5" s="99" t="s">
        <v>18</v>
      </c>
      <c r="V5" s="99" t="s">
        <v>19</v>
      </c>
      <c r="W5" s="99" t="s">
        <v>20</v>
      </c>
      <c r="X5" s="99" t="s">
        <v>79</v>
      </c>
      <c r="Y5" s="99" t="s">
        <v>239</v>
      </c>
      <c r="Z5" s="99" t="s">
        <v>22</v>
      </c>
      <c r="AA5" s="99" t="s">
        <v>23</v>
      </c>
    </row>
    <row r="6" spans="2:27" ht="15.75" customHeight="1" x14ac:dyDescent="0.25">
      <c r="B6" s="42" t="s">
        <v>24</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row>
    <row r="7" spans="2:27" ht="15" customHeight="1" x14ac:dyDescent="0.25">
      <c r="B7" s="11" t="s">
        <v>240</v>
      </c>
      <c r="C7" s="37"/>
      <c r="D7" s="37"/>
      <c r="E7" s="37"/>
      <c r="F7" s="37"/>
      <c r="G7" s="37"/>
      <c r="H7" s="37"/>
      <c r="I7" s="37"/>
      <c r="J7" s="37"/>
      <c r="K7" s="37"/>
      <c r="L7" s="37"/>
      <c r="M7" s="37"/>
      <c r="N7" s="37"/>
      <c r="O7" s="37"/>
      <c r="P7" s="37"/>
      <c r="Q7" s="37"/>
      <c r="R7" s="37"/>
      <c r="S7" s="37"/>
      <c r="T7" s="37"/>
      <c r="U7" s="37"/>
      <c r="V7" s="37"/>
      <c r="W7" s="37"/>
      <c r="X7" s="37"/>
      <c r="Y7" s="37"/>
      <c r="Z7" s="37"/>
      <c r="AA7" s="37"/>
    </row>
    <row r="8" spans="2:27" ht="15.75" customHeight="1" x14ac:dyDescent="0.25">
      <c r="B8" s="12" t="s">
        <v>241</v>
      </c>
      <c r="C8" s="82">
        <v>348528.47</v>
      </c>
      <c r="D8" s="82">
        <v>625389</v>
      </c>
      <c r="E8" s="76">
        <v>1288900</v>
      </c>
      <c r="F8" s="76">
        <v>595649</v>
      </c>
      <c r="G8" s="76">
        <v>645987</v>
      </c>
      <c r="H8" s="76">
        <v>659967</v>
      </c>
      <c r="I8" s="76">
        <v>664946.31000000006</v>
      </c>
      <c r="J8" s="76">
        <v>2566548.31</v>
      </c>
      <c r="K8" s="76">
        <v>777506.03</v>
      </c>
      <c r="L8" s="76">
        <v>834486.33</v>
      </c>
      <c r="M8" s="76">
        <v>844819.17</v>
      </c>
      <c r="N8" s="76">
        <v>819833.12</v>
      </c>
      <c r="O8" s="76">
        <v>3276644.65</v>
      </c>
      <c r="P8" s="76">
        <v>728664.53</v>
      </c>
      <c r="Q8" s="76">
        <v>859495.49</v>
      </c>
      <c r="R8" s="76">
        <v>868225.87</v>
      </c>
      <c r="S8" s="76">
        <v>859163.67</v>
      </c>
      <c r="T8" s="76">
        <v>3315549.56</v>
      </c>
      <c r="U8" s="76">
        <v>1054966.07</v>
      </c>
      <c r="V8" s="76">
        <v>1191982.22</v>
      </c>
      <c r="W8" s="76">
        <v>1253064.77</v>
      </c>
      <c r="X8" s="76">
        <v>1287497.6399999999</v>
      </c>
      <c r="Y8" s="76">
        <v>4787510.7</v>
      </c>
      <c r="Z8" s="76">
        <v>1308509.5190000001</v>
      </c>
      <c r="AA8" s="76">
        <v>1361789.44</v>
      </c>
    </row>
    <row r="9" spans="2:27" ht="15.75" customHeight="1" x14ac:dyDescent="0.25">
      <c r="B9" s="8" t="s">
        <v>242</v>
      </c>
      <c r="C9" s="57">
        <f>323212.1+101867.38</f>
        <v>425079.48</v>
      </c>
      <c r="D9" s="79">
        <v>681529.97059514001</v>
      </c>
      <c r="E9" s="57">
        <v>1319595.8615999999</v>
      </c>
      <c r="F9" s="57">
        <v>633456.62408199999</v>
      </c>
      <c r="G9" s="57">
        <v>629319.41421620001</v>
      </c>
      <c r="H9" s="57">
        <v>669309.37970000005</v>
      </c>
      <c r="I9" s="57">
        <v>691388.30744180002</v>
      </c>
      <c r="J9" s="57">
        <v>2629258.33</v>
      </c>
      <c r="K9" s="57">
        <v>748757.10042000003</v>
      </c>
      <c r="L9" s="57">
        <v>785167.12080000003</v>
      </c>
      <c r="M9" s="57">
        <v>828006.87271420006</v>
      </c>
      <c r="N9" s="57">
        <v>798812.09603200003</v>
      </c>
      <c r="O9" s="57">
        <v>3160743.1899661999</v>
      </c>
      <c r="P9" s="57">
        <v>643826.44513240003</v>
      </c>
      <c r="Q9" s="57">
        <v>724532.40938800003</v>
      </c>
      <c r="R9" s="57">
        <v>738194.72609020001</v>
      </c>
      <c r="S9" s="57">
        <v>756383.51556620002</v>
      </c>
      <c r="T9" s="57">
        <v>2862937.0961767999</v>
      </c>
      <c r="U9" s="57">
        <v>899607.14970860002</v>
      </c>
      <c r="V9" s="57">
        <v>1005867.6828299999</v>
      </c>
      <c r="W9" s="57">
        <v>1106227.6524984001</v>
      </c>
      <c r="X9" s="57">
        <v>1061485.4113518</v>
      </c>
      <c r="Y9" s="57">
        <v>4073187.8963887999</v>
      </c>
      <c r="Z9" s="57">
        <v>1069045.1068202001</v>
      </c>
      <c r="AA9" s="57">
        <v>1047404.818904</v>
      </c>
    </row>
    <row r="10" spans="2:27" ht="15" customHeight="1" x14ac:dyDescent="0.25">
      <c r="B10" s="8" t="s">
        <v>243</v>
      </c>
      <c r="C10" s="57">
        <v>120769.61</v>
      </c>
      <c r="D10" s="57">
        <v>258109.40735287301</v>
      </c>
      <c r="E10" s="57">
        <v>537433.59</v>
      </c>
      <c r="F10" s="57">
        <v>252740.98</v>
      </c>
      <c r="G10" s="57">
        <v>276025.38</v>
      </c>
      <c r="H10" s="57">
        <v>280304.87</v>
      </c>
      <c r="I10" s="57">
        <v>277767.23</v>
      </c>
      <c r="J10" s="57">
        <f>I10+H10+G10+F10</f>
        <v>1086838.46</v>
      </c>
      <c r="K10" s="57">
        <v>328282.43</v>
      </c>
      <c r="L10" s="57">
        <v>359189.02</v>
      </c>
      <c r="M10" s="57">
        <v>359664.96</v>
      </c>
      <c r="N10" s="57">
        <v>349395.28</v>
      </c>
      <c r="O10" s="57">
        <v>1396531.69</v>
      </c>
      <c r="P10" s="57">
        <v>314632.3</v>
      </c>
      <c r="Q10" s="57">
        <v>376421.2</v>
      </c>
      <c r="R10" s="57">
        <v>375773.59</v>
      </c>
      <c r="S10" s="57">
        <v>369230.99</v>
      </c>
      <c r="T10" s="57">
        <v>1436058.08</v>
      </c>
      <c r="U10" s="57">
        <v>447318.99</v>
      </c>
      <c r="V10" s="57">
        <v>518975.25</v>
      </c>
      <c r="W10" s="57">
        <v>542698.71</v>
      </c>
      <c r="X10" s="57">
        <v>562495.19999999995</v>
      </c>
      <c r="Y10" s="57">
        <v>2071488.15</v>
      </c>
      <c r="Z10" s="57">
        <v>567848.74</v>
      </c>
      <c r="AA10" s="57">
        <v>589030.07999999996</v>
      </c>
    </row>
    <row r="11" spans="2:27" ht="15" customHeight="1" x14ac:dyDescent="0.25">
      <c r="B11" s="8" t="s">
        <v>244</v>
      </c>
      <c r="C11" s="57">
        <f>SUM(C13:C14)</f>
        <v>138964</v>
      </c>
      <c r="D11" s="57">
        <f>SUM(D13:D14)</f>
        <v>259059.80350408587</v>
      </c>
      <c r="E11" s="57">
        <v>543233.43999999994</v>
      </c>
      <c r="F11" s="57">
        <f t="shared" ref="F11:R11" si="0">SUM(F13:F14)</f>
        <v>260577.16</v>
      </c>
      <c r="G11" s="57">
        <f t="shared" si="0"/>
        <v>281688.51</v>
      </c>
      <c r="H11" s="57">
        <f t="shared" si="0"/>
        <v>286820.53000000003</v>
      </c>
      <c r="I11" s="57">
        <f t="shared" si="0"/>
        <v>281543.22000000003</v>
      </c>
      <c r="J11" s="57">
        <f t="shared" si="0"/>
        <v>1110629.42</v>
      </c>
      <c r="K11" s="57">
        <f t="shared" si="0"/>
        <v>336334.32999999996</v>
      </c>
      <c r="L11" s="57">
        <f t="shared" si="0"/>
        <v>366552.03</v>
      </c>
      <c r="M11" s="57">
        <f t="shared" si="0"/>
        <v>366124.48</v>
      </c>
      <c r="N11" s="57">
        <f t="shared" si="0"/>
        <v>356507.13</v>
      </c>
      <c r="O11" s="57">
        <f t="shared" si="0"/>
        <v>1425517.97</v>
      </c>
      <c r="P11" s="57">
        <f t="shared" si="0"/>
        <v>319991.32999999996</v>
      </c>
      <c r="Q11" s="57">
        <f t="shared" si="0"/>
        <v>381484.24</v>
      </c>
      <c r="R11" s="57">
        <f t="shared" si="0"/>
        <v>381088.26</v>
      </c>
      <c r="S11" s="57">
        <v>372683.62</v>
      </c>
      <c r="T11" s="57">
        <v>1455247.45</v>
      </c>
      <c r="U11" s="57">
        <v>452612.86</v>
      </c>
      <c r="V11" s="57">
        <v>524066.02</v>
      </c>
      <c r="W11" s="57">
        <v>551772.89</v>
      </c>
      <c r="X11" s="57">
        <v>570186.72</v>
      </c>
      <c r="Y11" s="57">
        <v>2098638.4900000002</v>
      </c>
      <c r="Z11" s="72">
        <v>573007</v>
      </c>
      <c r="AA11" s="72">
        <v>596211.14</v>
      </c>
    </row>
    <row r="12" spans="2:27" ht="15.75" customHeight="1" x14ac:dyDescent="0.25">
      <c r="B12" s="8" t="s">
        <v>245</v>
      </c>
      <c r="C12" s="77">
        <f>(C10/C8)*1000</f>
        <v>346.51289749729773</v>
      </c>
      <c r="D12" s="77">
        <f>(D10/D8)*1000</f>
        <v>412.71817597187191</v>
      </c>
      <c r="E12" s="77">
        <v>416.970742493599</v>
      </c>
      <c r="F12" s="77">
        <f t="shared" ref="F12:AA12" si="1">(F10/F8)*1000</f>
        <v>424.31193538476521</v>
      </c>
      <c r="G12" s="77">
        <f t="shared" si="1"/>
        <v>427.29246873389093</v>
      </c>
      <c r="H12" s="77">
        <f t="shared" si="1"/>
        <v>424.72558476408665</v>
      </c>
      <c r="I12" s="77">
        <f t="shared" si="1"/>
        <v>417.72880881164673</v>
      </c>
      <c r="J12" s="77">
        <f t="shared" si="1"/>
        <v>423.46308299180231</v>
      </c>
      <c r="K12" s="77">
        <f t="shared" si="1"/>
        <v>422.224931168701</v>
      </c>
      <c r="L12" s="77">
        <f t="shared" si="1"/>
        <v>430.43128100133168</v>
      </c>
      <c r="M12" s="77">
        <f t="shared" si="1"/>
        <v>425.73011216116225</v>
      </c>
      <c r="N12" s="77">
        <f t="shared" si="1"/>
        <v>426.17853740771051</v>
      </c>
      <c r="O12" s="77">
        <f t="shared" si="1"/>
        <v>426.20785564891816</v>
      </c>
      <c r="P12" s="77">
        <f t="shared" si="1"/>
        <v>431.7930776732058</v>
      </c>
      <c r="Q12" s="77">
        <f t="shared" si="1"/>
        <v>437.95599206692754</v>
      </c>
      <c r="R12" s="77">
        <f t="shared" si="1"/>
        <v>432.80625812267039</v>
      </c>
      <c r="S12" s="77">
        <f t="shared" si="1"/>
        <v>429.75628846131258</v>
      </c>
      <c r="T12" s="77">
        <f t="shared" si="1"/>
        <v>433.12822022784059</v>
      </c>
      <c r="U12" s="77">
        <f t="shared" si="1"/>
        <v>424.01267938408671</v>
      </c>
      <c r="V12" s="77">
        <f t="shared" si="1"/>
        <v>435.38841544129747</v>
      </c>
      <c r="W12" s="77">
        <f t="shared" si="1"/>
        <v>433.09709361631798</v>
      </c>
      <c r="X12" s="77">
        <f t="shared" si="1"/>
        <v>436.89027655227392</v>
      </c>
      <c r="Y12" s="77">
        <f t="shared" si="1"/>
        <v>432.68585279610966</v>
      </c>
      <c r="Z12" s="77">
        <f t="shared" si="1"/>
        <v>433.96607495371228</v>
      </c>
      <c r="AA12" s="77">
        <f t="shared" si="1"/>
        <v>432.54123045630308</v>
      </c>
    </row>
    <row r="13" spans="2:27" ht="15" customHeight="1" x14ac:dyDescent="0.25">
      <c r="B13" s="22" t="s">
        <v>246</v>
      </c>
      <c r="C13" s="57">
        <v>56706.73</v>
      </c>
      <c r="D13" s="57">
        <v>187133.00036734599</v>
      </c>
      <c r="E13" s="57">
        <v>334592.46999999997</v>
      </c>
      <c r="F13" s="57">
        <v>91498.65</v>
      </c>
      <c r="G13" s="57">
        <v>116073.72</v>
      </c>
      <c r="H13" s="57">
        <v>97037.36</v>
      </c>
      <c r="I13" s="57">
        <v>99975.24</v>
      </c>
      <c r="J13" s="57">
        <v>404584.97</v>
      </c>
      <c r="K13" s="57">
        <v>133750.22</v>
      </c>
      <c r="L13" s="57">
        <v>181835.41</v>
      </c>
      <c r="M13" s="57">
        <v>180375.56</v>
      </c>
      <c r="N13" s="57">
        <v>152758.46</v>
      </c>
      <c r="O13" s="57">
        <v>648719.65</v>
      </c>
      <c r="P13" s="57">
        <v>154971.96</v>
      </c>
      <c r="Q13" s="57">
        <v>212846.56</v>
      </c>
      <c r="R13" s="57">
        <v>212183.61</v>
      </c>
      <c r="S13" s="57">
        <v>227874.4</v>
      </c>
      <c r="T13" s="57">
        <v>807876.53</v>
      </c>
      <c r="U13" s="57">
        <v>257875.39</v>
      </c>
      <c r="V13" s="57">
        <v>323389.39</v>
      </c>
      <c r="W13" s="57">
        <v>227664.98</v>
      </c>
      <c r="X13" s="57">
        <v>239207.75</v>
      </c>
      <c r="Y13" s="57">
        <v>1048137.51</v>
      </c>
      <c r="Z13" s="72">
        <v>291653.59999999998</v>
      </c>
      <c r="AA13" s="72">
        <v>317939.81</v>
      </c>
    </row>
    <row r="14" spans="2:27" ht="15.75" customHeight="1" x14ac:dyDescent="0.25">
      <c r="B14" s="22" t="s">
        <v>247</v>
      </c>
      <c r="C14" s="57">
        <v>82257.27</v>
      </c>
      <c r="D14" s="57">
        <v>71926.803136739894</v>
      </c>
      <c r="E14" s="57">
        <v>208640.97</v>
      </c>
      <c r="F14" s="57">
        <v>169078.51</v>
      </c>
      <c r="G14" s="57">
        <v>165614.79</v>
      </c>
      <c r="H14" s="57">
        <v>189783.17</v>
      </c>
      <c r="I14" s="57">
        <v>181567.98</v>
      </c>
      <c r="J14" s="57">
        <v>706044.45</v>
      </c>
      <c r="K14" s="57">
        <v>202584.11</v>
      </c>
      <c r="L14" s="57">
        <v>184716.62</v>
      </c>
      <c r="M14" s="57">
        <v>185748.92</v>
      </c>
      <c r="N14" s="57">
        <v>203748.67</v>
      </c>
      <c r="O14" s="57">
        <v>776798.32</v>
      </c>
      <c r="P14" s="57">
        <v>165019.37</v>
      </c>
      <c r="Q14" s="57">
        <v>168637.68</v>
      </c>
      <c r="R14" s="57">
        <v>168904.65</v>
      </c>
      <c r="S14" s="57">
        <v>144809.22</v>
      </c>
      <c r="T14" s="57">
        <v>647370.92000000004</v>
      </c>
      <c r="U14" s="57">
        <v>194737.47</v>
      </c>
      <c r="V14" s="57">
        <v>200676.63</v>
      </c>
      <c r="W14" s="57">
        <v>324107.90999999997</v>
      </c>
      <c r="X14" s="57">
        <v>330978.96999999997</v>
      </c>
      <c r="Y14" s="57">
        <v>1050500.98</v>
      </c>
      <c r="Z14" s="72">
        <v>281353.40000000002</v>
      </c>
      <c r="AA14" s="72">
        <v>278271.33</v>
      </c>
    </row>
    <row r="15" spans="2:27" ht="16.649999999999999" customHeight="1" x14ac:dyDescent="0.25">
      <c r="B15" s="20" t="s">
        <v>248</v>
      </c>
      <c r="C15" s="47">
        <f>C13/C11</f>
        <v>0.40806777294838953</v>
      </c>
      <c r="D15" s="47">
        <f>D13/D11</f>
        <v>0.72235444417139971</v>
      </c>
      <c r="E15" s="47">
        <v>0.61592760195322305</v>
      </c>
      <c r="F15" s="47">
        <f t="shared" ref="F15:AA15" si="2">F13/F11</f>
        <v>0.35113841136345181</v>
      </c>
      <c r="G15" s="47">
        <f t="shared" si="2"/>
        <v>0.41206409164505858</v>
      </c>
      <c r="H15" s="47">
        <f t="shared" si="2"/>
        <v>0.33832083079966413</v>
      </c>
      <c r="I15" s="47">
        <f t="shared" si="2"/>
        <v>0.35509730974874831</v>
      </c>
      <c r="J15" s="47">
        <f t="shared" si="2"/>
        <v>0.36428439830092019</v>
      </c>
      <c r="K15" s="47">
        <f t="shared" si="2"/>
        <v>0.39767043703210436</v>
      </c>
      <c r="L15" s="47">
        <f t="shared" si="2"/>
        <v>0.49606984852873409</v>
      </c>
      <c r="M15" s="47">
        <f t="shared" si="2"/>
        <v>0.49266184003866664</v>
      </c>
      <c r="N15" s="47">
        <f t="shared" si="2"/>
        <v>0.42848640923394715</v>
      </c>
      <c r="O15" s="47">
        <f t="shared" si="2"/>
        <v>0.45507644495004157</v>
      </c>
      <c r="P15" s="47">
        <f t="shared" si="2"/>
        <v>0.48430049651657753</v>
      </c>
      <c r="Q15" s="47">
        <f t="shared" si="2"/>
        <v>0.55794325867826156</v>
      </c>
      <c r="R15" s="47">
        <f t="shared" si="2"/>
        <v>0.55678338136157746</v>
      </c>
      <c r="S15" s="47">
        <f t="shared" si="2"/>
        <v>0.61144195175521798</v>
      </c>
      <c r="T15" s="47">
        <f t="shared" si="2"/>
        <v>0.55514718819813091</v>
      </c>
      <c r="U15" s="47">
        <f t="shared" si="2"/>
        <v>0.56974826124030153</v>
      </c>
      <c r="V15" s="47">
        <f t="shared" si="2"/>
        <v>0.61707757736324897</v>
      </c>
      <c r="W15" s="47">
        <f t="shared" si="2"/>
        <v>0.41260631706642925</v>
      </c>
      <c r="X15" s="47">
        <f t="shared" si="2"/>
        <v>0.41952529164481417</v>
      </c>
      <c r="Y15" s="47">
        <f t="shared" si="2"/>
        <v>0.49943690397101215</v>
      </c>
      <c r="Z15" s="83">
        <f t="shared" si="2"/>
        <v>0.50898784831598909</v>
      </c>
      <c r="AA15" s="83">
        <f t="shared" si="2"/>
        <v>0.53326714089911165</v>
      </c>
    </row>
    <row r="16" spans="2:27" ht="15" customHeight="1" x14ac:dyDescent="0.25">
      <c r="B16" s="8" t="s">
        <v>249</v>
      </c>
      <c r="C16" s="57">
        <f>C17+C18+C19</f>
        <v>135210.4</v>
      </c>
      <c r="D16" s="57">
        <f>D17+D18+D19</f>
        <v>248389.13</v>
      </c>
      <c r="E16" s="57">
        <v>479620.08</v>
      </c>
      <c r="F16" s="57">
        <f t="shared" ref="F16:N16" si="3">F17+F18+F19</f>
        <v>225457.95</v>
      </c>
      <c r="G16" s="57">
        <f t="shared" si="3"/>
        <v>231039.59</v>
      </c>
      <c r="H16" s="57">
        <f t="shared" si="3"/>
        <v>237589.69</v>
      </c>
      <c r="I16" s="57">
        <f t="shared" si="3"/>
        <v>240058.82</v>
      </c>
      <c r="J16" s="57">
        <f t="shared" si="3"/>
        <v>934146.05</v>
      </c>
      <c r="K16" s="57">
        <f t="shared" si="3"/>
        <v>294744.89</v>
      </c>
      <c r="L16" s="57">
        <f t="shared" si="3"/>
        <v>317857.88</v>
      </c>
      <c r="M16" s="57">
        <f t="shared" si="3"/>
        <v>308394.03000000003</v>
      </c>
      <c r="N16" s="57">
        <f t="shared" si="3"/>
        <v>300498.89999999997</v>
      </c>
      <c r="O16" s="57">
        <f>SUM(K16:N16)</f>
        <v>1221495.7</v>
      </c>
      <c r="P16" s="57">
        <v>288439.08</v>
      </c>
      <c r="Q16" s="57">
        <v>331573.57</v>
      </c>
      <c r="R16" s="57">
        <v>310885.75</v>
      </c>
      <c r="S16" s="57">
        <v>294020.01</v>
      </c>
      <c r="T16" s="57">
        <v>1224918.4099999999</v>
      </c>
      <c r="U16" s="57">
        <v>387852.9</v>
      </c>
      <c r="V16" s="57">
        <v>428411.59</v>
      </c>
      <c r="W16" s="57">
        <v>425632.34</v>
      </c>
      <c r="X16" s="57">
        <v>418026.25</v>
      </c>
      <c r="Y16" s="57">
        <v>1659923.08</v>
      </c>
      <c r="Z16" s="72">
        <v>471469.91</v>
      </c>
      <c r="AA16" s="72">
        <v>497288.67</v>
      </c>
    </row>
    <row r="17" spans="2:27" ht="15" customHeight="1" x14ac:dyDescent="0.25">
      <c r="B17" s="22" t="s">
        <v>250</v>
      </c>
      <c r="C17" s="57">
        <v>41758.35</v>
      </c>
      <c r="D17" s="57">
        <v>113190.65</v>
      </c>
      <c r="E17" s="57">
        <v>128879.78</v>
      </c>
      <c r="F17" s="57">
        <v>63149.85</v>
      </c>
      <c r="G17" s="57">
        <v>75537.7</v>
      </c>
      <c r="H17" s="57">
        <v>75487.89</v>
      </c>
      <c r="I17" s="57">
        <v>74897.05</v>
      </c>
      <c r="J17" s="57">
        <v>289072.49</v>
      </c>
      <c r="K17" s="57">
        <v>87498.42</v>
      </c>
      <c r="L17" s="57">
        <v>95747.520000000004</v>
      </c>
      <c r="M17" s="57">
        <v>95925.57</v>
      </c>
      <c r="N17" s="57">
        <v>92061.04</v>
      </c>
      <c r="O17" s="57">
        <f>SUM(K17:N17)</f>
        <v>371232.55</v>
      </c>
      <c r="P17" s="57">
        <v>84076.55</v>
      </c>
      <c r="Q17" s="57">
        <v>95744.54</v>
      </c>
      <c r="R17" s="57">
        <v>94324.83</v>
      </c>
      <c r="S17" s="57">
        <v>93558.12</v>
      </c>
      <c r="T17" s="57">
        <v>367704.04</v>
      </c>
      <c r="U17" s="57">
        <v>113318.47</v>
      </c>
      <c r="V17" s="57">
        <v>126918.95</v>
      </c>
      <c r="W17" s="57">
        <v>130536.58</v>
      </c>
      <c r="X17" s="57">
        <v>135149.20000000001</v>
      </c>
      <c r="Y17" s="57">
        <v>505923.2</v>
      </c>
      <c r="Z17" s="72">
        <v>133691.49</v>
      </c>
      <c r="AA17" s="72">
        <v>133303.24</v>
      </c>
    </row>
    <row r="18" spans="2:27" ht="15.75" customHeight="1" x14ac:dyDescent="0.25">
      <c r="B18" s="22" t="s">
        <v>251</v>
      </c>
      <c r="C18" s="57">
        <v>33620.49</v>
      </c>
      <c r="D18" s="57">
        <v>72379.839999999997</v>
      </c>
      <c r="E18" s="57">
        <v>143419.09</v>
      </c>
      <c r="F18" s="57">
        <v>67639.839999999997</v>
      </c>
      <c r="G18" s="57">
        <v>72717.05</v>
      </c>
      <c r="H18" s="57">
        <v>73394.22</v>
      </c>
      <c r="I18" s="57">
        <v>73964.960000000006</v>
      </c>
      <c r="J18" s="57">
        <v>287716.07</v>
      </c>
      <c r="K18" s="57">
        <v>76163.34</v>
      </c>
      <c r="L18" s="57">
        <v>80455.259999999995</v>
      </c>
      <c r="M18" s="57">
        <v>79259.78</v>
      </c>
      <c r="N18" s="57">
        <v>79144.81</v>
      </c>
      <c r="O18" s="57">
        <f>SUM(K18:N18)</f>
        <v>315023.18999999994</v>
      </c>
      <c r="P18" s="57">
        <v>72886.41</v>
      </c>
      <c r="Q18" s="57">
        <v>74001.03</v>
      </c>
      <c r="R18" s="57">
        <v>78714.38</v>
      </c>
      <c r="S18" s="57">
        <v>83572.28</v>
      </c>
      <c r="T18" s="57">
        <v>309174.09999999998</v>
      </c>
      <c r="U18" s="57">
        <v>87879.51</v>
      </c>
      <c r="V18" s="57">
        <v>99147.91</v>
      </c>
      <c r="W18" s="57">
        <v>105608.09</v>
      </c>
      <c r="X18" s="57">
        <v>113666.5</v>
      </c>
      <c r="Y18" s="57">
        <v>406302.01</v>
      </c>
      <c r="Z18" s="72">
        <v>114622.62</v>
      </c>
      <c r="AA18" s="72">
        <v>126968.37</v>
      </c>
    </row>
    <row r="19" spans="2:27" ht="15.75" customHeight="1" x14ac:dyDescent="0.25">
      <c r="B19" s="22" t="s">
        <v>252</v>
      </c>
      <c r="C19" s="57">
        <v>59831.56</v>
      </c>
      <c r="D19" s="57">
        <v>62818.64</v>
      </c>
      <c r="E19" s="57">
        <v>207321.21</v>
      </c>
      <c r="F19" s="57">
        <v>94668.26</v>
      </c>
      <c r="G19" s="57">
        <v>82784.84</v>
      </c>
      <c r="H19" s="57">
        <v>88707.58</v>
      </c>
      <c r="I19" s="57">
        <v>91196.81</v>
      </c>
      <c r="J19" s="57">
        <v>357357.49</v>
      </c>
      <c r="K19" s="57">
        <v>131083.13</v>
      </c>
      <c r="L19" s="57">
        <v>141655.1</v>
      </c>
      <c r="M19" s="57">
        <v>133208.68</v>
      </c>
      <c r="N19" s="57">
        <v>129293.05</v>
      </c>
      <c r="O19" s="57">
        <f>SUM(K19:N19)</f>
        <v>535239.96</v>
      </c>
      <c r="P19" s="57">
        <v>131476.12</v>
      </c>
      <c r="Q19" s="57">
        <v>161828</v>
      </c>
      <c r="R19" s="57">
        <v>137846.54</v>
      </c>
      <c r="S19" s="57">
        <v>116889.61</v>
      </c>
      <c r="T19" s="57">
        <v>548040.27</v>
      </c>
      <c r="U19" s="57">
        <v>186654.92</v>
      </c>
      <c r="V19" s="57">
        <v>200438.48</v>
      </c>
      <c r="W19" s="57">
        <v>175185.29</v>
      </c>
      <c r="X19" s="57">
        <v>171506.49</v>
      </c>
      <c r="Y19" s="57">
        <v>733785.18</v>
      </c>
      <c r="Z19" s="72">
        <v>216043.49</v>
      </c>
      <c r="AA19" s="72">
        <v>231885.36</v>
      </c>
    </row>
    <row r="20" spans="2:27" ht="15.75" customHeight="1" x14ac:dyDescent="0.25">
      <c r="B20" s="8" t="s">
        <v>253</v>
      </c>
      <c r="C20" s="57">
        <v>2832.8</v>
      </c>
      <c r="D20" s="57">
        <v>7492</v>
      </c>
      <c r="E20" s="57">
        <v>15504.43</v>
      </c>
      <c r="F20" s="57">
        <v>7703.98</v>
      </c>
      <c r="G20" s="57">
        <v>8535.1</v>
      </c>
      <c r="H20" s="57">
        <v>8782.81</v>
      </c>
      <c r="I20" s="57">
        <v>8515.48</v>
      </c>
      <c r="J20" s="57">
        <v>33537.480000000003</v>
      </c>
      <c r="K20" s="57">
        <v>10622.26</v>
      </c>
      <c r="L20" s="57">
        <v>11552.03</v>
      </c>
      <c r="M20" s="57">
        <v>11715.8</v>
      </c>
      <c r="N20" s="57">
        <v>10729.78</v>
      </c>
      <c r="O20" s="57">
        <f>SUM(K20:N20)</f>
        <v>44619.869999999995</v>
      </c>
      <c r="P20" s="57">
        <v>9782.2800000000007</v>
      </c>
      <c r="Q20" s="57">
        <v>13315.77</v>
      </c>
      <c r="R20" s="57">
        <v>13754.02</v>
      </c>
      <c r="S20" s="57">
        <v>13163.02</v>
      </c>
      <c r="T20" s="57">
        <v>50015.09</v>
      </c>
      <c r="U20" s="57">
        <v>16383.74</v>
      </c>
      <c r="V20" s="57">
        <v>20417.95</v>
      </c>
      <c r="W20" s="57">
        <v>22044.81</v>
      </c>
      <c r="X20" s="57">
        <v>21486.29</v>
      </c>
      <c r="Y20" s="57">
        <v>80332.789999999994</v>
      </c>
      <c r="Z20" s="57">
        <v>22156.95</v>
      </c>
      <c r="AA20" s="57">
        <v>24587.27</v>
      </c>
    </row>
    <row r="21" spans="2:27" ht="15.75" customHeight="1" x14ac:dyDescent="0.35">
      <c r="B21" s="36"/>
      <c r="C21" s="84"/>
      <c r="D21" s="84"/>
      <c r="E21" s="84"/>
      <c r="F21" s="84"/>
      <c r="G21" s="84"/>
      <c r="H21" s="84"/>
      <c r="I21" s="84"/>
      <c r="J21" s="84"/>
      <c r="K21" s="84"/>
      <c r="L21" s="84"/>
      <c r="M21" s="84"/>
      <c r="N21" s="84"/>
      <c r="O21" s="84"/>
      <c r="P21" s="84"/>
      <c r="Q21" s="84"/>
      <c r="R21" s="84"/>
      <c r="S21" s="84"/>
      <c r="T21" s="84"/>
      <c r="U21" s="84"/>
      <c r="V21" s="84"/>
      <c r="W21" s="84"/>
      <c r="X21" s="84"/>
      <c r="Y21" s="84"/>
      <c r="Z21" s="84"/>
      <c r="AA21" s="84"/>
    </row>
    <row r="22" spans="2:27" ht="15.75" customHeight="1" x14ac:dyDescent="0.25">
      <c r="B22" s="11" t="s">
        <v>254</v>
      </c>
      <c r="C22" s="75"/>
      <c r="D22" s="75"/>
      <c r="E22" s="75"/>
      <c r="F22" s="75"/>
      <c r="G22" s="75"/>
      <c r="H22" s="75"/>
      <c r="I22" s="75"/>
      <c r="J22" s="75"/>
      <c r="K22" s="75"/>
      <c r="L22" s="75"/>
      <c r="M22" s="75"/>
      <c r="N22" s="75"/>
      <c r="O22" s="75"/>
      <c r="P22" s="75"/>
      <c r="Q22" s="75"/>
      <c r="R22" s="75"/>
      <c r="S22" s="75"/>
      <c r="T22" s="75"/>
      <c r="U22" s="75"/>
      <c r="V22" s="75"/>
      <c r="W22" s="75"/>
      <c r="X22" s="75"/>
      <c r="Y22" s="75"/>
      <c r="Z22" s="75"/>
      <c r="AA22" s="75"/>
    </row>
    <row r="23" spans="2:27" ht="15.75" customHeight="1" x14ac:dyDescent="0.25">
      <c r="B23" s="44" t="s">
        <v>255</v>
      </c>
      <c r="C23" s="85">
        <f>C24+C25</f>
        <v>233945.62167999998</v>
      </c>
      <c r="D23" s="85">
        <f>D24+D25</f>
        <v>456539.03857999999</v>
      </c>
      <c r="E23" s="85">
        <v>974244</v>
      </c>
      <c r="F23" s="85">
        <f t="shared" ref="F23:AA23" si="4">F24+F25</f>
        <v>379240</v>
      </c>
      <c r="G23" s="85">
        <f t="shared" si="4"/>
        <v>405919</v>
      </c>
      <c r="H23" s="85">
        <f t="shared" si="4"/>
        <v>596505.41997000005</v>
      </c>
      <c r="I23" s="85">
        <f t="shared" si="4"/>
        <v>741335.68901999993</v>
      </c>
      <c r="J23" s="85">
        <f t="shared" si="4"/>
        <v>2122996</v>
      </c>
      <c r="K23" s="85">
        <f t="shared" si="4"/>
        <v>883714</v>
      </c>
      <c r="L23" s="85">
        <f t="shared" si="4"/>
        <v>1050291</v>
      </c>
      <c r="M23" s="85">
        <f t="shared" si="4"/>
        <v>1514665</v>
      </c>
      <c r="N23" s="85">
        <f t="shared" si="4"/>
        <v>1210367</v>
      </c>
      <c r="O23" s="85">
        <f t="shared" si="4"/>
        <v>4659042</v>
      </c>
      <c r="P23" s="85">
        <f t="shared" si="4"/>
        <v>1121579</v>
      </c>
      <c r="Q23" s="85">
        <f t="shared" si="4"/>
        <v>1004221</v>
      </c>
      <c r="R23" s="85">
        <f t="shared" si="4"/>
        <v>990516</v>
      </c>
      <c r="S23" s="85">
        <f t="shared" si="4"/>
        <v>1233488</v>
      </c>
      <c r="T23" s="85">
        <f t="shared" si="4"/>
        <v>4349804</v>
      </c>
      <c r="U23" s="85">
        <f t="shared" si="4"/>
        <v>1117041</v>
      </c>
      <c r="V23" s="85">
        <f t="shared" si="4"/>
        <v>1098777</v>
      </c>
      <c r="W23" s="85">
        <f t="shared" si="4"/>
        <v>1282831</v>
      </c>
      <c r="X23" s="85">
        <f t="shared" si="4"/>
        <v>1245347</v>
      </c>
      <c r="Y23" s="85">
        <f t="shared" si="4"/>
        <v>4743996</v>
      </c>
      <c r="Z23" s="85">
        <f t="shared" si="4"/>
        <v>1276532</v>
      </c>
      <c r="AA23" s="85">
        <f t="shared" si="4"/>
        <v>1550732</v>
      </c>
    </row>
    <row r="24" spans="2:27" ht="15.75" customHeight="1" x14ac:dyDescent="0.25">
      <c r="B24" s="22" t="s">
        <v>256</v>
      </c>
      <c r="C24" s="57">
        <f>85.6973508*1000</f>
        <v>85697.3508</v>
      </c>
      <c r="D24" s="57">
        <v>327987.91621</v>
      </c>
      <c r="E24" s="57">
        <v>611184</v>
      </c>
      <c r="F24" s="57">
        <v>141935</v>
      </c>
      <c r="G24" s="57">
        <v>180381</v>
      </c>
      <c r="H24" s="56">
        <v>212368.46580999999</v>
      </c>
      <c r="I24" s="56">
        <v>261431.84419999999</v>
      </c>
      <c r="J24" s="56">
        <v>796074</v>
      </c>
      <c r="K24" s="56">
        <v>381684</v>
      </c>
      <c r="L24" s="56">
        <v>565034</v>
      </c>
      <c r="M24" s="56">
        <v>777213</v>
      </c>
      <c r="N24" s="56">
        <v>515040</v>
      </c>
      <c r="O24" s="57">
        <v>2238970</v>
      </c>
      <c r="P24" s="57">
        <v>564694</v>
      </c>
      <c r="Q24" s="56">
        <v>644486</v>
      </c>
      <c r="R24" s="56">
        <v>530596</v>
      </c>
      <c r="S24" s="56">
        <v>764486</v>
      </c>
      <c r="T24" s="56">
        <v>2504262</v>
      </c>
      <c r="U24" s="56">
        <v>694899</v>
      </c>
      <c r="V24" s="56">
        <v>679123</v>
      </c>
      <c r="W24" s="56">
        <v>628264</v>
      </c>
      <c r="X24" s="56">
        <v>538011</v>
      </c>
      <c r="Y24" s="56">
        <v>2540297</v>
      </c>
      <c r="Z24" s="56">
        <v>643710</v>
      </c>
      <c r="AA24" s="56">
        <v>857470</v>
      </c>
    </row>
    <row r="25" spans="2:27" ht="15.75" customHeight="1" x14ac:dyDescent="0.25">
      <c r="B25" s="22" t="s">
        <v>257</v>
      </c>
      <c r="C25" s="57">
        <f>148.24827088*1000</f>
        <v>148248.27088</v>
      </c>
      <c r="D25" s="57">
        <v>128551.12237</v>
      </c>
      <c r="E25" s="57">
        <v>363060</v>
      </c>
      <c r="F25" s="57">
        <v>237305</v>
      </c>
      <c r="G25" s="57">
        <v>225538</v>
      </c>
      <c r="H25" s="56">
        <v>384136.95416000002</v>
      </c>
      <c r="I25" s="56">
        <v>479903.84482</v>
      </c>
      <c r="J25" s="56">
        <v>1326922</v>
      </c>
      <c r="K25" s="56">
        <v>502030</v>
      </c>
      <c r="L25" s="56">
        <v>485257</v>
      </c>
      <c r="M25" s="56">
        <v>737452</v>
      </c>
      <c r="N25" s="56">
        <v>695327</v>
      </c>
      <c r="O25" s="57">
        <v>2420072</v>
      </c>
      <c r="P25" s="57">
        <v>556885</v>
      </c>
      <c r="Q25" s="56">
        <v>359735</v>
      </c>
      <c r="R25" s="56">
        <v>459920</v>
      </c>
      <c r="S25" s="56">
        <v>469002</v>
      </c>
      <c r="T25" s="56">
        <v>1845542</v>
      </c>
      <c r="U25" s="56">
        <v>422142</v>
      </c>
      <c r="V25" s="56">
        <v>419654</v>
      </c>
      <c r="W25" s="56">
        <v>654567</v>
      </c>
      <c r="X25" s="56">
        <v>707336</v>
      </c>
      <c r="Y25" s="56">
        <v>2203699</v>
      </c>
      <c r="Z25" s="56">
        <v>632822</v>
      </c>
      <c r="AA25" s="56">
        <v>693262</v>
      </c>
    </row>
    <row r="26" spans="2:27" ht="15.75" customHeight="1" x14ac:dyDescent="0.25">
      <c r="B26" s="9" t="s">
        <v>258</v>
      </c>
      <c r="C26" s="58">
        <f>SUM(C27:C30)</f>
        <v>29347.841780000002</v>
      </c>
      <c r="D26" s="58">
        <f>SUM(D27:D30)</f>
        <v>78352.003899999996</v>
      </c>
      <c r="E26" s="58">
        <v>171073.80178526399</v>
      </c>
      <c r="F26" s="58">
        <f t="shared" ref="F26:AA26" si="5">SUM(F27:F30)</f>
        <v>105456</v>
      </c>
      <c r="G26" s="58">
        <f t="shared" si="5"/>
        <v>139870</v>
      </c>
      <c r="H26" s="58">
        <f t="shared" si="5"/>
        <v>168008.12562000001</v>
      </c>
      <c r="I26" s="58">
        <f t="shared" si="5"/>
        <v>184414.29785</v>
      </c>
      <c r="J26" s="58">
        <f t="shared" si="5"/>
        <v>597750</v>
      </c>
      <c r="K26" s="58">
        <f t="shared" si="5"/>
        <v>278736</v>
      </c>
      <c r="L26" s="58">
        <f t="shared" si="5"/>
        <v>305081</v>
      </c>
      <c r="M26" s="58">
        <f t="shared" si="5"/>
        <v>295668</v>
      </c>
      <c r="N26" s="58">
        <f t="shared" si="5"/>
        <v>334087</v>
      </c>
      <c r="O26" s="58">
        <f t="shared" si="5"/>
        <v>1213571</v>
      </c>
      <c r="P26" s="58">
        <f t="shared" si="5"/>
        <v>338873</v>
      </c>
      <c r="Q26" s="58">
        <f t="shared" si="5"/>
        <v>404629</v>
      </c>
      <c r="R26" s="58">
        <f t="shared" si="5"/>
        <v>362022</v>
      </c>
      <c r="S26" s="58">
        <f t="shared" si="5"/>
        <v>362109</v>
      </c>
      <c r="T26" s="58">
        <f t="shared" si="5"/>
        <v>1467633</v>
      </c>
      <c r="U26" s="58">
        <f t="shared" si="5"/>
        <v>370132</v>
      </c>
      <c r="V26" s="58">
        <f t="shared" si="5"/>
        <v>385805</v>
      </c>
      <c r="W26" s="58">
        <f t="shared" si="5"/>
        <v>379728</v>
      </c>
      <c r="X26" s="58">
        <f t="shared" si="5"/>
        <v>364944</v>
      </c>
      <c r="Y26" s="58">
        <f t="shared" si="5"/>
        <v>1500609</v>
      </c>
      <c r="Z26" s="58">
        <f t="shared" si="5"/>
        <v>366287</v>
      </c>
      <c r="AA26" s="58">
        <f t="shared" si="5"/>
        <v>403907</v>
      </c>
    </row>
    <row r="27" spans="2:27" ht="15.75" customHeight="1" x14ac:dyDescent="0.25">
      <c r="B27" s="22" t="s">
        <v>259</v>
      </c>
      <c r="C27" s="57">
        <f>15.29983774*1000</f>
        <v>15299.837739999999</v>
      </c>
      <c r="D27" s="57">
        <v>37367.780789999997</v>
      </c>
      <c r="E27" s="57">
        <v>82567.041849679998</v>
      </c>
      <c r="F27" s="57">
        <v>52038</v>
      </c>
      <c r="G27" s="57">
        <v>77626</v>
      </c>
      <c r="H27" s="56">
        <v>86199.273029999997</v>
      </c>
      <c r="I27" s="56">
        <v>93783.8649</v>
      </c>
      <c r="J27" s="56">
        <v>309648</v>
      </c>
      <c r="K27" s="56">
        <v>162389</v>
      </c>
      <c r="L27" s="56">
        <v>158790</v>
      </c>
      <c r="M27" s="56">
        <v>136580</v>
      </c>
      <c r="N27" s="56">
        <v>163382</v>
      </c>
      <c r="O27" s="57">
        <v>621141</v>
      </c>
      <c r="P27" s="57">
        <v>142589</v>
      </c>
      <c r="Q27" s="56">
        <v>163713</v>
      </c>
      <c r="R27" s="56">
        <v>151491</v>
      </c>
      <c r="S27" s="56">
        <v>165458</v>
      </c>
      <c r="T27" s="56">
        <v>623251</v>
      </c>
      <c r="U27" s="56">
        <v>156563</v>
      </c>
      <c r="V27" s="56">
        <v>171224</v>
      </c>
      <c r="W27" s="56">
        <v>168600</v>
      </c>
      <c r="X27" s="56">
        <v>167537</v>
      </c>
      <c r="Y27" s="56">
        <v>663924</v>
      </c>
      <c r="Z27" s="56">
        <v>157633</v>
      </c>
      <c r="AA27" s="56">
        <v>164133</v>
      </c>
    </row>
    <row r="28" spans="2:27" ht="15.75" customHeight="1" x14ac:dyDescent="0.25">
      <c r="B28" s="22" t="s">
        <v>260</v>
      </c>
      <c r="C28" s="57">
        <f>7.58341023*1000</f>
        <v>7583.4102300000004</v>
      </c>
      <c r="D28" s="57">
        <v>19925.109980000001</v>
      </c>
      <c r="E28" s="57">
        <v>47115.886109874999</v>
      </c>
      <c r="F28" s="57">
        <v>26940</v>
      </c>
      <c r="G28" s="57">
        <v>31423</v>
      </c>
      <c r="H28" s="56">
        <v>32492.978350000001</v>
      </c>
      <c r="I28" s="56">
        <v>38077.849990000002</v>
      </c>
      <c r="J28" s="56">
        <v>128934</v>
      </c>
      <c r="K28" s="56">
        <v>42381</v>
      </c>
      <c r="L28" s="56">
        <v>58988</v>
      </c>
      <c r="M28" s="56">
        <v>65810</v>
      </c>
      <c r="N28" s="56">
        <v>79223</v>
      </c>
      <c r="O28" s="57">
        <v>246401</v>
      </c>
      <c r="P28" s="57">
        <v>85911</v>
      </c>
      <c r="Q28" s="56">
        <v>95657</v>
      </c>
      <c r="R28" s="56">
        <v>85675</v>
      </c>
      <c r="S28" s="56">
        <v>86991</v>
      </c>
      <c r="T28" s="56">
        <v>354234</v>
      </c>
      <c r="U28" s="56">
        <v>93017</v>
      </c>
      <c r="V28" s="56">
        <v>89838</v>
      </c>
      <c r="W28" s="56">
        <v>75572</v>
      </c>
      <c r="X28" s="56">
        <v>72745</v>
      </c>
      <c r="Y28" s="56">
        <v>331172</v>
      </c>
      <c r="Z28" s="56">
        <v>77371</v>
      </c>
      <c r="AA28" s="56">
        <v>85103</v>
      </c>
    </row>
    <row r="29" spans="2:27" ht="15.75" customHeight="1" x14ac:dyDescent="0.25">
      <c r="B29" s="22" t="s">
        <v>261</v>
      </c>
      <c r="C29" s="57">
        <f>3.01612557*1000</f>
        <v>3016.1255699999997</v>
      </c>
      <c r="D29" s="57">
        <v>8736.9156700000003</v>
      </c>
      <c r="E29" s="57">
        <v>17331.577327874998</v>
      </c>
      <c r="F29" s="57">
        <v>10243</v>
      </c>
      <c r="G29" s="57">
        <v>8500</v>
      </c>
      <c r="H29" s="56">
        <v>9985.9595700000009</v>
      </c>
      <c r="I29" s="56">
        <v>14518.84182</v>
      </c>
      <c r="J29" s="56">
        <v>43248</v>
      </c>
      <c r="K29" s="56">
        <v>21682</v>
      </c>
      <c r="L29" s="56">
        <v>24611</v>
      </c>
      <c r="M29" s="56">
        <v>22987</v>
      </c>
      <c r="N29" s="56">
        <v>24484</v>
      </c>
      <c r="O29" s="57">
        <v>93763</v>
      </c>
      <c r="P29" s="57">
        <v>45915</v>
      </c>
      <c r="Q29" s="56">
        <v>58963</v>
      </c>
      <c r="R29" s="56">
        <v>49852</v>
      </c>
      <c r="S29" s="56">
        <v>39375</v>
      </c>
      <c r="T29" s="56">
        <v>194105</v>
      </c>
      <c r="U29" s="56">
        <v>59553</v>
      </c>
      <c r="V29" s="56">
        <v>58094</v>
      </c>
      <c r="W29" s="56">
        <v>48639</v>
      </c>
      <c r="X29" s="56">
        <v>43654</v>
      </c>
      <c r="Y29" s="56">
        <v>209940</v>
      </c>
      <c r="Z29" s="56">
        <v>53161</v>
      </c>
      <c r="AA29" s="56">
        <v>55206</v>
      </c>
    </row>
    <row r="30" spans="2:27" ht="15.75" customHeight="1" x14ac:dyDescent="0.35">
      <c r="B30" s="38" t="s">
        <v>262</v>
      </c>
      <c r="C30" s="57">
        <f>3.44846824*1000</f>
        <v>3448.4682400000002</v>
      </c>
      <c r="D30" s="57">
        <v>12322.197459999999</v>
      </c>
      <c r="E30" s="57">
        <v>24059.296497834399</v>
      </c>
      <c r="F30" s="57">
        <v>16235</v>
      </c>
      <c r="G30" s="57">
        <v>22321</v>
      </c>
      <c r="H30" s="56">
        <v>39329.914669999998</v>
      </c>
      <c r="I30" s="56">
        <v>38033.741139999998</v>
      </c>
      <c r="J30" s="56">
        <v>115920</v>
      </c>
      <c r="K30" s="56">
        <v>52284</v>
      </c>
      <c r="L30" s="56">
        <v>62692</v>
      </c>
      <c r="M30" s="56">
        <v>70291</v>
      </c>
      <c r="N30" s="56">
        <v>66998</v>
      </c>
      <c r="O30" s="57">
        <v>252266</v>
      </c>
      <c r="P30" s="57">
        <v>64458</v>
      </c>
      <c r="Q30" s="56">
        <v>86296</v>
      </c>
      <c r="R30" s="56">
        <v>75004</v>
      </c>
      <c r="S30" s="56">
        <v>70285</v>
      </c>
      <c r="T30" s="56">
        <v>296043</v>
      </c>
      <c r="U30" s="56">
        <v>60999</v>
      </c>
      <c r="V30" s="56">
        <v>66649</v>
      </c>
      <c r="W30" s="56">
        <v>86917</v>
      </c>
      <c r="X30" s="56">
        <v>81008</v>
      </c>
      <c r="Y30" s="56">
        <v>295573</v>
      </c>
      <c r="Z30" s="56">
        <v>78122</v>
      </c>
      <c r="AA30" s="56">
        <v>99465</v>
      </c>
    </row>
    <row r="31" spans="2:27" ht="15.75" customHeight="1" x14ac:dyDescent="0.25">
      <c r="B31" s="9" t="s">
        <v>263</v>
      </c>
      <c r="C31" s="58">
        <v>5687</v>
      </c>
      <c r="D31" s="58">
        <f>SUM(D32:D33)</f>
        <v>9925.0835200000001</v>
      </c>
      <c r="E31" s="58">
        <v>18944.756529999999</v>
      </c>
      <c r="F31" s="58">
        <f t="shared" ref="F31:AA31" si="6">SUM(F32:F33)</f>
        <v>6247.19625</v>
      </c>
      <c r="G31" s="58">
        <f t="shared" si="6"/>
        <v>7309.2668899999999</v>
      </c>
      <c r="H31" s="58">
        <f t="shared" si="6"/>
        <v>12100.05565</v>
      </c>
      <c r="I31" s="58">
        <f t="shared" si="6"/>
        <v>8397.8926599999959</v>
      </c>
      <c r="J31" s="58">
        <f t="shared" si="6"/>
        <v>34060.217190000003</v>
      </c>
      <c r="K31" s="58">
        <f t="shared" si="6"/>
        <v>8177.74208</v>
      </c>
      <c r="L31" s="58">
        <f t="shared" si="6"/>
        <v>18592.659189040001</v>
      </c>
      <c r="M31" s="58">
        <f t="shared" si="6"/>
        <v>14622</v>
      </c>
      <c r="N31" s="58">
        <f t="shared" si="6"/>
        <v>11341</v>
      </c>
      <c r="O31" s="58">
        <f t="shared" si="6"/>
        <v>52731</v>
      </c>
      <c r="P31" s="58">
        <f t="shared" si="6"/>
        <v>3926.1716999999999</v>
      </c>
      <c r="Q31" s="58">
        <f t="shared" si="6"/>
        <v>3551.6184499999999</v>
      </c>
      <c r="R31" s="58">
        <f t="shared" si="6"/>
        <v>7099.9489199999998</v>
      </c>
      <c r="S31" s="58">
        <f t="shared" si="6"/>
        <v>5395.7278800000004</v>
      </c>
      <c r="T31" s="58">
        <f t="shared" si="6"/>
        <v>16820.466950000002</v>
      </c>
      <c r="U31" s="58">
        <f t="shared" si="6"/>
        <v>5956</v>
      </c>
      <c r="V31" s="58">
        <f t="shared" si="6"/>
        <v>5325</v>
      </c>
      <c r="W31" s="58">
        <f t="shared" si="6"/>
        <v>7575</v>
      </c>
      <c r="X31" s="58">
        <f t="shared" si="6"/>
        <v>5728</v>
      </c>
      <c r="Y31" s="58">
        <f t="shared" si="6"/>
        <v>24584</v>
      </c>
      <c r="Z31" s="58">
        <f t="shared" si="6"/>
        <v>6843</v>
      </c>
      <c r="AA31" s="58">
        <f t="shared" si="6"/>
        <v>6362</v>
      </c>
    </row>
    <row r="32" spans="2:27" ht="15.75" customHeight="1" x14ac:dyDescent="0.25">
      <c r="B32" s="22" t="s">
        <v>264</v>
      </c>
      <c r="C32" s="56">
        <v>0</v>
      </c>
      <c r="D32" s="56">
        <v>9925.0835200000001</v>
      </c>
      <c r="E32" s="56">
        <v>15855</v>
      </c>
      <c r="F32" s="56">
        <v>5375</v>
      </c>
      <c r="G32" s="56">
        <v>6163</v>
      </c>
      <c r="H32" s="56">
        <v>10957.489960000001</v>
      </c>
      <c r="I32" s="56">
        <v>7438.6754700000001</v>
      </c>
      <c r="J32" s="56">
        <v>29936</v>
      </c>
      <c r="K32" s="56">
        <v>7490</v>
      </c>
      <c r="L32" s="56">
        <v>17866</v>
      </c>
      <c r="M32" s="56">
        <v>13609</v>
      </c>
      <c r="N32" s="56">
        <v>10760</v>
      </c>
      <c r="O32" s="57">
        <v>49725</v>
      </c>
      <c r="P32" s="57">
        <v>2969.1716999999999</v>
      </c>
      <c r="Q32" s="56">
        <v>2399.6184499999999</v>
      </c>
      <c r="R32" s="56">
        <v>6055.9489199999998</v>
      </c>
      <c r="S32" s="56">
        <v>4570.7278800000004</v>
      </c>
      <c r="T32" s="56">
        <v>15995.46695</v>
      </c>
      <c r="U32" s="56">
        <v>4580</v>
      </c>
      <c r="V32" s="56">
        <v>3861</v>
      </c>
      <c r="W32" s="56">
        <v>5946</v>
      </c>
      <c r="X32" s="56">
        <v>4279</v>
      </c>
      <c r="Y32" s="56">
        <v>18666</v>
      </c>
      <c r="Z32" s="56">
        <v>5495</v>
      </c>
      <c r="AA32" s="56">
        <v>5430</v>
      </c>
    </row>
    <row r="33" spans="2:27" ht="15.75" customHeight="1" x14ac:dyDescent="0.25">
      <c r="B33" s="22" t="s">
        <v>265</v>
      </c>
      <c r="C33" s="56">
        <v>0</v>
      </c>
      <c r="D33" s="56">
        <v>0</v>
      </c>
      <c r="E33" s="56">
        <v>3089.7565300000001</v>
      </c>
      <c r="F33" s="56">
        <v>872.19624999999996</v>
      </c>
      <c r="G33" s="56">
        <v>1146.2668900000001</v>
      </c>
      <c r="H33" s="56">
        <v>1142.5656899999999</v>
      </c>
      <c r="I33" s="56">
        <v>959.21718999999598</v>
      </c>
      <c r="J33" s="56">
        <v>4124.2171900000003</v>
      </c>
      <c r="K33" s="56">
        <v>687.74207999999999</v>
      </c>
      <c r="L33" s="56">
        <v>726.65918904</v>
      </c>
      <c r="M33" s="56">
        <v>1013</v>
      </c>
      <c r="N33" s="56">
        <v>581</v>
      </c>
      <c r="O33" s="57">
        <v>3006</v>
      </c>
      <c r="P33" s="57">
        <v>957</v>
      </c>
      <c r="Q33" s="56">
        <v>1152</v>
      </c>
      <c r="R33" s="56">
        <v>1044</v>
      </c>
      <c r="S33" s="56">
        <v>825</v>
      </c>
      <c r="T33" s="56">
        <v>825</v>
      </c>
      <c r="U33" s="56">
        <v>1376</v>
      </c>
      <c r="V33" s="56">
        <v>1464</v>
      </c>
      <c r="W33" s="56">
        <v>1629</v>
      </c>
      <c r="X33" s="56">
        <v>1449</v>
      </c>
      <c r="Y33" s="56">
        <v>5918</v>
      </c>
      <c r="Z33" s="56">
        <v>1348</v>
      </c>
      <c r="AA33" s="56">
        <v>932</v>
      </c>
    </row>
    <row r="34" spans="2:27" ht="15.75" customHeight="1" x14ac:dyDescent="0.25">
      <c r="B34" s="9" t="s">
        <v>266</v>
      </c>
      <c r="C34" s="58">
        <f>C31+C26+C23</f>
        <v>268980.46346</v>
      </c>
      <c r="D34" s="58">
        <f>D31+D26+D23</f>
        <v>544816.12599999993</v>
      </c>
      <c r="E34" s="58">
        <v>1164262.5583152601</v>
      </c>
      <c r="F34" s="58">
        <f t="shared" ref="F34:AA34" si="7">F31+F26+F23</f>
        <v>490943.19624999998</v>
      </c>
      <c r="G34" s="58">
        <f t="shared" si="7"/>
        <v>553098.26688999997</v>
      </c>
      <c r="H34" s="58">
        <f t="shared" si="7"/>
        <v>776613.60123999999</v>
      </c>
      <c r="I34" s="58">
        <f t="shared" si="7"/>
        <v>934147.87952999992</v>
      </c>
      <c r="J34" s="58">
        <f t="shared" si="7"/>
        <v>2754806.2171900002</v>
      </c>
      <c r="K34" s="58">
        <f t="shared" si="7"/>
        <v>1170627.74208</v>
      </c>
      <c r="L34" s="58">
        <f t="shared" si="7"/>
        <v>1373964.6591890401</v>
      </c>
      <c r="M34" s="58">
        <f t="shared" si="7"/>
        <v>1824955</v>
      </c>
      <c r="N34" s="58">
        <f t="shared" si="7"/>
        <v>1555795</v>
      </c>
      <c r="O34" s="58">
        <f t="shared" si="7"/>
        <v>5925344</v>
      </c>
      <c r="P34" s="58">
        <f t="shared" si="7"/>
        <v>1464378.1717000001</v>
      </c>
      <c r="Q34" s="58">
        <f t="shared" si="7"/>
        <v>1412401.61845</v>
      </c>
      <c r="R34" s="58">
        <f t="shared" si="7"/>
        <v>1359637.9489199999</v>
      </c>
      <c r="S34" s="58">
        <f t="shared" si="7"/>
        <v>1600992.7278800001</v>
      </c>
      <c r="T34" s="58">
        <f t="shared" si="7"/>
        <v>5834257.4669500003</v>
      </c>
      <c r="U34" s="58">
        <f t="shared" si="7"/>
        <v>1493129</v>
      </c>
      <c r="V34" s="58">
        <f t="shared" si="7"/>
        <v>1489907</v>
      </c>
      <c r="W34" s="58">
        <f t="shared" si="7"/>
        <v>1670134</v>
      </c>
      <c r="X34" s="58">
        <f t="shared" si="7"/>
        <v>1616019</v>
      </c>
      <c r="Y34" s="58">
        <f t="shared" si="7"/>
        <v>6269189</v>
      </c>
      <c r="Z34" s="58">
        <f t="shared" si="7"/>
        <v>1649662</v>
      </c>
      <c r="AA34" s="58">
        <f t="shared" si="7"/>
        <v>1961001</v>
      </c>
    </row>
    <row r="35" spans="2:27" ht="15.75" customHeight="1" x14ac:dyDescent="0.25">
      <c r="B35" s="10"/>
      <c r="C35" s="86"/>
      <c r="D35" s="86"/>
      <c r="E35" s="86"/>
      <c r="F35" s="86"/>
      <c r="G35" s="86"/>
      <c r="H35" s="86"/>
      <c r="I35" s="86"/>
      <c r="J35" s="86"/>
      <c r="K35" s="86"/>
      <c r="L35" s="86"/>
      <c r="M35" s="86"/>
      <c r="N35" s="86"/>
      <c r="O35" s="86"/>
      <c r="P35" s="86"/>
      <c r="Q35" s="86"/>
      <c r="R35" s="86"/>
      <c r="S35" s="86"/>
      <c r="T35" s="86"/>
      <c r="U35" s="86"/>
      <c r="V35" s="86"/>
      <c r="W35" s="86"/>
      <c r="X35" s="86"/>
      <c r="Y35" s="86"/>
      <c r="Z35" s="86"/>
      <c r="AA35" s="86"/>
    </row>
    <row r="36" spans="2:27" ht="15.75" customHeight="1" x14ac:dyDescent="0.25">
      <c r="B36" s="11" t="s">
        <v>267</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row>
    <row r="37" spans="2:27" ht="15.75" customHeight="1" x14ac:dyDescent="0.25">
      <c r="B37" s="12" t="s">
        <v>268</v>
      </c>
      <c r="C37" s="67">
        <v>0</v>
      </c>
      <c r="D37" s="67">
        <v>0</v>
      </c>
      <c r="E37" s="67">
        <v>6654.8993099999998</v>
      </c>
      <c r="F37" s="67">
        <f>70835.94593</f>
        <v>70835.945930000002</v>
      </c>
      <c r="G37" s="67">
        <f>49013.0907600001</f>
        <v>49013.090760000101</v>
      </c>
      <c r="H37" s="67">
        <v>0</v>
      </c>
      <c r="I37" s="67">
        <v>0</v>
      </c>
      <c r="J37" s="67">
        <f>SUM(F37:I37)</f>
        <v>119849.0366900001</v>
      </c>
      <c r="K37" s="67">
        <v>38257.985249999998</v>
      </c>
      <c r="L37" s="67">
        <v>49124.532310000002</v>
      </c>
      <c r="M37" s="67">
        <v>78850</v>
      </c>
      <c r="N37" s="67">
        <v>119400</v>
      </c>
      <c r="O37" s="67">
        <v>285632</v>
      </c>
      <c r="P37" s="67">
        <v>254659</v>
      </c>
      <c r="Q37" s="67">
        <v>283857</v>
      </c>
      <c r="R37" s="67">
        <v>326855</v>
      </c>
      <c r="S37" s="67">
        <v>69880</v>
      </c>
      <c r="T37" s="67">
        <v>935251</v>
      </c>
      <c r="U37" s="67">
        <v>114958</v>
      </c>
      <c r="V37" s="67">
        <v>211507</v>
      </c>
      <c r="W37" s="67">
        <v>223418</v>
      </c>
      <c r="X37" s="67">
        <v>30583</v>
      </c>
      <c r="Y37" s="67">
        <v>580466</v>
      </c>
      <c r="Z37" s="67">
        <v>72849</v>
      </c>
      <c r="AA37" s="67">
        <v>216915</v>
      </c>
    </row>
    <row r="38" spans="2:27" ht="15.75" customHeight="1" x14ac:dyDescent="0.25">
      <c r="B38" s="8" t="s">
        <v>269</v>
      </c>
      <c r="C38" s="56">
        <v>0</v>
      </c>
      <c r="D38" s="56">
        <v>0</v>
      </c>
      <c r="E38" s="56">
        <v>0</v>
      </c>
      <c r="F38" s="56">
        <v>0</v>
      </c>
      <c r="G38" s="56">
        <v>0</v>
      </c>
      <c r="H38" s="56">
        <v>0</v>
      </c>
      <c r="I38" s="56">
        <v>0</v>
      </c>
      <c r="J38" s="56">
        <v>0</v>
      </c>
      <c r="K38" s="56">
        <v>0</v>
      </c>
      <c r="L38" s="56">
        <v>0</v>
      </c>
      <c r="M38" s="56">
        <v>0</v>
      </c>
      <c r="N38" s="56">
        <v>0</v>
      </c>
      <c r="O38" s="56">
        <v>0</v>
      </c>
      <c r="P38" s="56">
        <v>0</v>
      </c>
      <c r="Q38" s="56">
        <v>0</v>
      </c>
      <c r="R38" s="56">
        <v>0</v>
      </c>
      <c r="S38" s="56">
        <v>0</v>
      </c>
      <c r="T38" s="56">
        <v>0</v>
      </c>
      <c r="U38" s="56">
        <v>0</v>
      </c>
      <c r="V38" s="56">
        <v>1782</v>
      </c>
      <c r="W38" s="56">
        <v>50634</v>
      </c>
      <c r="X38" s="56">
        <v>52616</v>
      </c>
      <c r="Y38" s="56">
        <v>105032</v>
      </c>
      <c r="Z38" s="56">
        <v>47313</v>
      </c>
      <c r="AA38" s="56">
        <v>137326</v>
      </c>
    </row>
    <row r="39" spans="2:27" ht="15.75" customHeight="1" x14ac:dyDescent="0.25">
      <c r="B39" s="8" t="s">
        <v>270</v>
      </c>
      <c r="C39" s="56">
        <v>0</v>
      </c>
      <c r="D39" s="56">
        <v>0</v>
      </c>
      <c r="E39" s="56">
        <v>0</v>
      </c>
      <c r="F39" s="56">
        <v>0</v>
      </c>
      <c r="G39" s="56">
        <v>0</v>
      </c>
      <c r="H39" s="56">
        <v>0</v>
      </c>
      <c r="I39" s="56">
        <v>0</v>
      </c>
      <c r="J39" s="56">
        <v>0</v>
      </c>
      <c r="K39" s="56">
        <v>0</v>
      </c>
      <c r="L39" s="56">
        <v>0</v>
      </c>
      <c r="M39" s="56">
        <v>0</v>
      </c>
      <c r="N39" s="56">
        <v>0</v>
      </c>
      <c r="O39" s="56">
        <v>0</v>
      </c>
      <c r="P39" s="56">
        <v>3962.8283000000001</v>
      </c>
      <c r="Q39" s="56">
        <v>9135.2281899999998</v>
      </c>
      <c r="R39" s="56">
        <v>6284.0380699999996</v>
      </c>
      <c r="S39" s="56">
        <v>7410.6229999999996</v>
      </c>
      <c r="T39" s="56">
        <v>26792.717560000001</v>
      </c>
      <c r="U39" s="56">
        <v>3380</v>
      </c>
      <c r="V39" s="56">
        <v>7901</v>
      </c>
      <c r="W39" s="56">
        <v>6014</v>
      </c>
      <c r="X39" s="56">
        <v>5352</v>
      </c>
      <c r="Y39" s="56">
        <v>22647</v>
      </c>
      <c r="Z39" s="56">
        <v>4855</v>
      </c>
      <c r="AA39" s="56">
        <v>8566</v>
      </c>
    </row>
    <row r="40" spans="2:27" ht="15.75" customHeight="1" x14ac:dyDescent="0.25">
      <c r="B40" s="9" t="s">
        <v>266</v>
      </c>
      <c r="C40" s="58">
        <f>SUM(C37:C39)</f>
        <v>0</v>
      </c>
      <c r="D40" s="58">
        <f>SUM(D37:D39)</f>
        <v>0</v>
      </c>
      <c r="E40" s="58">
        <v>6654.8993099999998</v>
      </c>
      <c r="F40" s="58">
        <f t="shared" ref="F40:AA40" si="8">SUM(F37:F39)</f>
        <v>70835.945930000002</v>
      </c>
      <c r="G40" s="58">
        <f t="shared" si="8"/>
        <v>49013.090760000101</v>
      </c>
      <c r="H40" s="58">
        <f t="shared" si="8"/>
        <v>0</v>
      </c>
      <c r="I40" s="58">
        <f t="shared" si="8"/>
        <v>0</v>
      </c>
      <c r="J40" s="58">
        <f t="shared" si="8"/>
        <v>119849.0366900001</v>
      </c>
      <c r="K40" s="58">
        <f t="shared" si="8"/>
        <v>38257.985249999998</v>
      </c>
      <c r="L40" s="58">
        <f t="shared" si="8"/>
        <v>49124.532310000002</v>
      </c>
      <c r="M40" s="58">
        <f t="shared" si="8"/>
        <v>78850</v>
      </c>
      <c r="N40" s="58">
        <f t="shared" si="8"/>
        <v>119400</v>
      </c>
      <c r="O40" s="58">
        <f t="shared" si="8"/>
        <v>285632</v>
      </c>
      <c r="P40" s="58">
        <f t="shared" si="8"/>
        <v>258621.82829999999</v>
      </c>
      <c r="Q40" s="58">
        <f t="shared" si="8"/>
        <v>292992.22818999999</v>
      </c>
      <c r="R40" s="58">
        <f t="shared" si="8"/>
        <v>333139.03807000001</v>
      </c>
      <c r="S40" s="58">
        <f t="shared" si="8"/>
        <v>77290.622999999992</v>
      </c>
      <c r="T40" s="58">
        <f t="shared" si="8"/>
        <v>962043.71756000002</v>
      </c>
      <c r="U40" s="58">
        <f t="shared" si="8"/>
        <v>118338</v>
      </c>
      <c r="V40" s="58">
        <f t="shared" si="8"/>
        <v>221190</v>
      </c>
      <c r="W40" s="58">
        <f t="shared" si="8"/>
        <v>280066</v>
      </c>
      <c r="X40" s="58">
        <f t="shared" si="8"/>
        <v>88551</v>
      </c>
      <c r="Y40" s="58">
        <f t="shared" si="8"/>
        <v>708145</v>
      </c>
      <c r="Z40" s="58">
        <f t="shared" si="8"/>
        <v>125017</v>
      </c>
      <c r="AA40" s="58">
        <f t="shared" si="8"/>
        <v>362807</v>
      </c>
    </row>
    <row r="41" spans="2:27" ht="15.75" customHeight="1" x14ac:dyDescent="0.25">
      <c r="B41" s="10"/>
      <c r="C41" s="86"/>
      <c r="D41" s="86"/>
      <c r="E41" s="86"/>
      <c r="F41" s="86"/>
      <c r="G41" s="86"/>
      <c r="H41" s="86"/>
      <c r="I41" s="86"/>
      <c r="J41" s="86"/>
      <c r="K41" s="86"/>
      <c r="L41" s="86"/>
      <c r="M41" s="86"/>
      <c r="N41" s="86"/>
      <c r="O41" s="86"/>
      <c r="P41" s="86"/>
      <c r="Q41" s="86"/>
      <c r="R41" s="86"/>
      <c r="S41" s="86"/>
      <c r="T41" s="86"/>
      <c r="U41" s="86"/>
      <c r="V41" s="86"/>
      <c r="W41" s="86"/>
      <c r="X41" s="86"/>
      <c r="Y41" s="86"/>
      <c r="Z41" s="86"/>
      <c r="AA41" s="86"/>
    </row>
    <row r="42" spans="2:27" ht="15.75" customHeight="1" x14ac:dyDescent="0.25">
      <c r="B42" s="11" t="s">
        <v>271</v>
      </c>
      <c r="C42" s="75"/>
      <c r="D42" s="75"/>
      <c r="E42" s="75"/>
      <c r="F42" s="75"/>
      <c r="G42" s="75"/>
      <c r="H42" s="75"/>
      <c r="I42" s="75"/>
      <c r="J42" s="75"/>
      <c r="K42" s="75"/>
      <c r="L42" s="75"/>
      <c r="M42" s="75"/>
      <c r="N42" s="75"/>
      <c r="O42" s="75"/>
      <c r="P42" s="75"/>
      <c r="Q42" s="75"/>
      <c r="R42" s="75"/>
      <c r="S42" s="75"/>
      <c r="T42" s="75"/>
      <c r="U42" s="75"/>
      <c r="V42" s="75"/>
      <c r="W42" s="75"/>
      <c r="X42" s="75"/>
      <c r="Y42" s="75"/>
      <c r="Z42" s="75"/>
      <c r="AA42" s="75"/>
    </row>
    <row r="43" spans="2:27" ht="15.75" customHeight="1" x14ac:dyDescent="0.25">
      <c r="B43" s="12" t="s">
        <v>272</v>
      </c>
      <c r="C43" s="67">
        <v>16659</v>
      </c>
      <c r="D43" s="67">
        <v>20469</v>
      </c>
      <c r="E43" s="67">
        <v>60903</v>
      </c>
      <c r="F43" s="67">
        <v>48391</v>
      </c>
      <c r="G43" s="67">
        <v>59644</v>
      </c>
      <c r="H43" s="67">
        <v>62701</v>
      </c>
      <c r="I43" s="67">
        <v>62316</v>
      </c>
      <c r="J43" s="67">
        <v>233051</v>
      </c>
      <c r="K43" s="67">
        <v>85723</v>
      </c>
      <c r="L43" s="67">
        <v>97223</v>
      </c>
      <c r="M43" s="67">
        <v>111793</v>
      </c>
      <c r="N43" s="67">
        <v>129588</v>
      </c>
      <c r="O43" s="67">
        <v>424326</v>
      </c>
      <c r="P43" s="67">
        <v>163597</v>
      </c>
      <c r="Q43" s="67">
        <v>201346</v>
      </c>
      <c r="R43" s="67">
        <v>198388</v>
      </c>
      <c r="S43" s="67">
        <v>187722</v>
      </c>
      <c r="T43" s="67">
        <v>751052</v>
      </c>
      <c r="U43" s="67">
        <v>210083</v>
      </c>
      <c r="V43" s="67">
        <v>292062</v>
      </c>
      <c r="W43" s="67">
        <v>326834</v>
      </c>
      <c r="X43" s="67">
        <v>265737</v>
      </c>
      <c r="Y43" s="67">
        <v>1094716</v>
      </c>
      <c r="Z43" s="67">
        <v>263163</v>
      </c>
      <c r="AA43" s="67">
        <v>354526</v>
      </c>
    </row>
    <row r="44" spans="2:27" ht="15.75" customHeight="1" x14ac:dyDescent="0.25">
      <c r="B44" s="9" t="s">
        <v>273</v>
      </c>
      <c r="C44" s="58">
        <f>SUM(C43,C34,C40)</f>
        <v>285639.46346</v>
      </c>
      <c r="D44" s="58">
        <f>SUM(D43,D34,D40)</f>
        <v>565285.12599999993</v>
      </c>
      <c r="E44" s="58">
        <v>1231820.4576252601</v>
      </c>
      <c r="F44" s="58">
        <f t="shared" ref="F44:AA44" si="9">SUM(F43,F34,F40)</f>
        <v>610170.14218000008</v>
      </c>
      <c r="G44" s="58">
        <f t="shared" si="9"/>
        <v>661755.35765000002</v>
      </c>
      <c r="H44" s="58">
        <f t="shared" si="9"/>
        <v>839314.60123999999</v>
      </c>
      <c r="I44" s="58">
        <f t="shared" si="9"/>
        <v>996463.87952999992</v>
      </c>
      <c r="J44" s="58">
        <f t="shared" si="9"/>
        <v>3107706.2538800002</v>
      </c>
      <c r="K44" s="58">
        <f t="shared" si="9"/>
        <v>1294608.7273299999</v>
      </c>
      <c r="L44" s="58">
        <f t="shared" si="9"/>
        <v>1520312.19149904</v>
      </c>
      <c r="M44" s="58">
        <f t="shared" si="9"/>
        <v>2015598</v>
      </c>
      <c r="N44" s="58">
        <f t="shared" si="9"/>
        <v>1804783</v>
      </c>
      <c r="O44" s="58">
        <f t="shared" si="9"/>
        <v>6635302</v>
      </c>
      <c r="P44" s="58">
        <f t="shared" si="9"/>
        <v>1886597</v>
      </c>
      <c r="Q44" s="58">
        <f t="shared" si="9"/>
        <v>1906739.8466399999</v>
      </c>
      <c r="R44" s="58">
        <f t="shared" si="9"/>
        <v>1891164.9869899999</v>
      </c>
      <c r="S44" s="58">
        <f t="shared" si="9"/>
        <v>1866005.35088</v>
      </c>
      <c r="T44" s="58">
        <f t="shared" si="9"/>
        <v>7547353.1845100001</v>
      </c>
      <c r="U44" s="58">
        <f t="shared" si="9"/>
        <v>1821550</v>
      </c>
      <c r="V44" s="58">
        <f t="shared" si="9"/>
        <v>2003159</v>
      </c>
      <c r="W44" s="58">
        <f t="shared" si="9"/>
        <v>2277034</v>
      </c>
      <c r="X44" s="58">
        <f t="shared" si="9"/>
        <v>1970307</v>
      </c>
      <c r="Y44" s="58">
        <f t="shared" si="9"/>
        <v>8072050</v>
      </c>
      <c r="Z44" s="58">
        <f t="shared" si="9"/>
        <v>2037842</v>
      </c>
      <c r="AA44" s="58">
        <f t="shared" si="9"/>
        <v>2678334</v>
      </c>
    </row>
    <row r="45" spans="2:27" ht="15.75" customHeight="1" x14ac:dyDescent="0.25">
      <c r="B45" s="43"/>
      <c r="C45" s="84"/>
      <c r="D45" s="84"/>
      <c r="E45" s="84"/>
      <c r="F45" s="84"/>
      <c r="G45" s="84"/>
      <c r="H45" s="84"/>
      <c r="I45" s="84"/>
      <c r="J45" s="84"/>
      <c r="K45" s="84"/>
      <c r="L45" s="84"/>
      <c r="M45" s="84"/>
      <c r="N45" s="84"/>
      <c r="O45" s="84"/>
      <c r="P45" s="84"/>
      <c r="Q45" s="84"/>
      <c r="R45" s="84"/>
      <c r="S45" s="84"/>
      <c r="T45" s="84"/>
      <c r="U45" s="84"/>
      <c r="V45" s="84"/>
      <c r="W45" s="84"/>
      <c r="X45" s="84"/>
      <c r="Y45" s="84"/>
      <c r="Z45" s="84"/>
      <c r="AA45" s="84"/>
    </row>
    <row r="46" spans="2:27" ht="15.75" customHeight="1" x14ac:dyDescent="0.25">
      <c r="B46" s="11" t="s">
        <v>274</v>
      </c>
      <c r="C46" s="75"/>
      <c r="D46" s="75"/>
      <c r="E46" s="75"/>
      <c r="F46" s="75"/>
      <c r="G46" s="75"/>
      <c r="H46" s="75"/>
      <c r="I46" s="75"/>
      <c r="J46" s="75"/>
      <c r="K46" s="75"/>
      <c r="L46" s="75"/>
      <c r="M46" s="75"/>
      <c r="N46" s="75"/>
      <c r="O46" s="75"/>
      <c r="P46" s="75"/>
      <c r="Q46" s="75"/>
      <c r="R46" s="75"/>
      <c r="S46" s="75"/>
      <c r="T46" s="75"/>
      <c r="U46" s="75"/>
      <c r="V46" s="75"/>
      <c r="W46" s="75"/>
      <c r="X46" s="75"/>
      <c r="Y46" s="75"/>
      <c r="Z46" s="75"/>
      <c r="AA46" s="75"/>
    </row>
    <row r="47" spans="2:27" ht="15.75" customHeight="1" x14ac:dyDescent="0.25">
      <c r="B47" s="34" t="s">
        <v>275</v>
      </c>
      <c r="C47" s="67">
        <f>C26</f>
        <v>29347.841780000002</v>
      </c>
      <c r="D47" s="67">
        <f>D26</f>
        <v>78352.003899999996</v>
      </c>
      <c r="E47" s="67">
        <v>171073.80178526399</v>
      </c>
      <c r="F47" s="67">
        <f t="shared" ref="F47:AA47" si="10">F26</f>
        <v>105456</v>
      </c>
      <c r="G47" s="67">
        <f t="shared" si="10"/>
        <v>139870</v>
      </c>
      <c r="H47" s="67">
        <f t="shared" si="10"/>
        <v>168008.12562000001</v>
      </c>
      <c r="I47" s="67">
        <f t="shared" si="10"/>
        <v>184414.29785</v>
      </c>
      <c r="J47" s="67">
        <f t="shared" si="10"/>
        <v>597750</v>
      </c>
      <c r="K47" s="67">
        <f t="shared" si="10"/>
        <v>278736</v>
      </c>
      <c r="L47" s="67">
        <f t="shared" si="10"/>
        <v>305081</v>
      </c>
      <c r="M47" s="67">
        <f t="shared" si="10"/>
        <v>295668</v>
      </c>
      <c r="N47" s="67">
        <f t="shared" si="10"/>
        <v>334087</v>
      </c>
      <c r="O47" s="67">
        <f t="shared" si="10"/>
        <v>1213571</v>
      </c>
      <c r="P47" s="67">
        <f t="shared" si="10"/>
        <v>338873</v>
      </c>
      <c r="Q47" s="67">
        <f t="shared" si="10"/>
        <v>404629</v>
      </c>
      <c r="R47" s="67">
        <f t="shared" si="10"/>
        <v>362022</v>
      </c>
      <c r="S47" s="67">
        <f t="shared" si="10"/>
        <v>362109</v>
      </c>
      <c r="T47" s="67">
        <f t="shared" si="10"/>
        <v>1467633</v>
      </c>
      <c r="U47" s="67">
        <f t="shared" si="10"/>
        <v>370132</v>
      </c>
      <c r="V47" s="67">
        <f t="shared" si="10"/>
        <v>385805</v>
      </c>
      <c r="W47" s="67">
        <f t="shared" si="10"/>
        <v>379728</v>
      </c>
      <c r="X47" s="67">
        <f t="shared" si="10"/>
        <v>364944</v>
      </c>
      <c r="Y47" s="67">
        <f t="shared" si="10"/>
        <v>1500609</v>
      </c>
      <c r="Z47" s="67">
        <f t="shared" si="10"/>
        <v>366287</v>
      </c>
      <c r="AA47" s="67">
        <f t="shared" si="10"/>
        <v>403907</v>
      </c>
    </row>
    <row r="48" spans="2:27" ht="15.75" customHeight="1" x14ac:dyDescent="0.25">
      <c r="B48" s="7" t="s">
        <v>276</v>
      </c>
      <c r="C48" s="56">
        <v>0</v>
      </c>
      <c r="D48" s="56">
        <v>0</v>
      </c>
      <c r="E48" s="56">
        <v>2229.5793100000001</v>
      </c>
      <c r="F48" s="56">
        <v>16613.945930000002</v>
      </c>
      <c r="G48" s="56">
        <v>11187.265404903201</v>
      </c>
      <c r="H48" s="56">
        <v>0</v>
      </c>
      <c r="I48" s="56">
        <v>-1657.1779179984901</v>
      </c>
      <c r="J48" s="56">
        <v>26370.392400000099</v>
      </c>
      <c r="K48" s="56">
        <v>2658.9852499999802</v>
      </c>
      <c r="L48" s="56">
        <v>5381.5323100000096</v>
      </c>
      <c r="M48" s="56">
        <v>10012</v>
      </c>
      <c r="N48" s="56">
        <v>28259</v>
      </c>
      <c r="O48" s="56">
        <v>46311</v>
      </c>
      <c r="P48" s="56">
        <v>9232</v>
      </c>
      <c r="Q48" s="56">
        <v>17532</v>
      </c>
      <c r="R48" s="56">
        <v>26758</v>
      </c>
      <c r="S48" s="56">
        <v>1835</v>
      </c>
      <c r="T48" s="56">
        <v>55357</v>
      </c>
      <c r="U48" s="56">
        <v>48243</v>
      </c>
      <c r="V48" s="56">
        <v>19348</v>
      </c>
      <c r="W48" s="56">
        <v>15602</v>
      </c>
      <c r="X48" s="56">
        <v>4934</v>
      </c>
      <c r="Y48" s="56">
        <v>88127</v>
      </c>
      <c r="Z48" s="56">
        <v>25806</v>
      </c>
      <c r="AA48" s="56">
        <v>12334</v>
      </c>
    </row>
    <row r="49" spans="2:27" ht="15.75" customHeight="1" x14ac:dyDescent="0.25">
      <c r="B49" s="35" t="s">
        <v>277</v>
      </c>
      <c r="C49" s="58">
        <f>C48+C47</f>
        <v>29347.841780000002</v>
      </c>
      <c r="D49" s="58">
        <f>D48+D47</f>
        <v>78352.003899999996</v>
      </c>
      <c r="E49" s="58">
        <v>173303.38109526399</v>
      </c>
      <c r="F49" s="58">
        <f t="shared" ref="F49:AA49" si="11">F48+F47</f>
        <v>122069.94593</v>
      </c>
      <c r="G49" s="58">
        <f t="shared" si="11"/>
        <v>151057.26540490321</v>
      </c>
      <c r="H49" s="58">
        <f t="shared" si="11"/>
        <v>168008.12562000001</v>
      </c>
      <c r="I49" s="58">
        <f t="shared" si="11"/>
        <v>182757.11993200151</v>
      </c>
      <c r="J49" s="58">
        <f t="shared" si="11"/>
        <v>624120.39240000013</v>
      </c>
      <c r="K49" s="58">
        <f t="shared" si="11"/>
        <v>281394.98524999997</v>
      </c>
      <c r="L49" s="58">
        <f t="shared" si="11"/>
        <v>310462.53231000004</v>
      </c>
      <c r="M49" s="58">
        <f t="shared" si="11"/>
        <v>305680</v>
      </c>
      <c r="N49" s="58">
        <f t="shared" si="11"/>
        <v>362346</v>
      </c>
      <c r="O49" s="58">
        <f t="shared" si="11"/>
        <v>1259882</v>
      </c>
      <c r="P49" s="58">
        <f t="shared" si="11"/>
        <v>348105</v>
      </c>
      <c r="Q49" s="58">
        <f t="shared" si="11"/>
        <v>422161</v>
      </c>
      <c r="R49" s="58">
        <f t="shared" si="11"/>
        <v>388780</v>
      </c>
      <c r="S49" s="58">
        <f t="shared" si="11"/>
        <v>363944</v>
      </c>
      <c r="T49" s="58">
        <f t="shared" si="11"/>
        <v>1522990</v>
      </c>
      <c r="U49" s="58">
        <f t="shared" si="11"/>
        <v>418375</v>
      </c>
      <c r="V49" s="58">
        <f t="shared" si="11"/>
        <v>405153</v>
      </c>
      <c r="W49" s="58">
        <f t="shared" si="11"/>
        <v>395330</v>
      </c>
      <c r="X49" s="58">
        <f t="shared" si="11"/>
        <v>369878</v>
      </c>
      <c r="Y49" s="58">
        <f t="shared" si="11"/>
        <v>1588736</v>
      </c>
      <c r="Z49" s="58">
        <f t="shared" si="11"/>
        <v>392093</v>
      </c>
      <c r="AA49" s="58">
        <f t="shared" si="11"/>
        <v>416241</v>
      </c>
    </row>
    <row r="50" spans="2:27" ht="15.75" customHeight="1" x14ac:dyDescent="0.25">
      <c r="B50" s="35" t="s">
        <v>278</v>
      </c>
      <c r="C50" s="87">
        <v>98216</v>
      </c>
      <c r="D50" s="87">
        <v>197509.17300000001</v>
      </c>
      <c r="E50" s="87">
        <v>473998.68</v>
      </c>
      <c r="F50" s="87">
        <v>237949</v>
      </c>
      <c r="G50" s="87">
        <v>235933.892734514</v>
      </c>
      <c r="H50" s="87">
        <v>319921</v>
      </c>
      <c r="I50" s="87">
        <v>364599.03642306902</v>
      </c>
      <c r="J50" s="87">
        <v>1160816.0364230699</v>
      </c>
      <c r="K50" s="87">
        <v>500055.41288067901</v>
      </c>
      <c r="L50" s="87">
        <v>605136</v>
      </c>
      <c r="M50" s="87">
        <v>796938</v>
      </c>
      <c r="N50" s="87">
        <v>787040.54952695197</v>
      </c>
      <c r="O50" s="87">
        <v>2681902.5495269499</v>
      </c>
      <c r="P50" s="87">
        <v>667187</v>
      </c>
      <c r="Q50" s="87">
        <v>782877</v>
      </c>
      <c r="R50" s="87">
        <v>830682</v>
      </c>
      <c r="S50" s="87">
        <v>1077137</v>
      </c>
      <c r="T50" s="87">
        <v>3264866</v>
      </c>
      <c r="U50" s="87">
        <v>972008</v>
      </c>
      <c r="V50" s="87">
        <v>1066051</v>
      </c>
      <c r="W50" s="87">
        <v>1239332</v>
      </c>
      <c r="X50" s="87">
        <v>1160848</v>
      </c>
      <c r="Y50" s="87">
        <v>4438239</v>
      </c>
      <c r="Z50" s="87">
        <v>975448</v>
      </c>
      <c r="AA50" s="87">
        <v>887870</v>
      </c>
    </row>
    <row r="51" spans="2:27" ht="15.75" customHeight="1" x14ac:dyDescent="0.25">
      <c r="B51" s="35" t="s">
        <v>279</v>
      </c>
      <c r="C51" s="45">
        <f>C47/C50</f>
        <v>0.29880917345442698</v>
      </c>
      <c r="D51" s="45">
        <f>D47/D50</f>
        <v>0.39670058210410303</v>
      </c>
      <c r="E51" s="45">
        <v>0.360916198722883</v>
      </c>
      <c r="F51" s="45">
        <f>F47/F50</f>
        <v>0.44318740570458376</v>
      </c>
      <c r="G51" s="45">
        <f>G47/G50</f>
        <v>0.59283555397184728</v>
      </c>
      <c r="H51" s="45">
        <f>H47/H50</f>
        <v>0.52515504021305259</v>
      </c>
      <c r="I51" s="45">
        <f>I47/I50</f>
        <v>0.50580028861077841</v>
      </c>
      <c r="J51" s="45">
        <f>J47/J50</f>
        <v>0.5149394746836049</v>
      </c>
      <c r="K51" s="45">
        <f t="shared" ref="K51:AA51" si="12">-(K47+K48)/(-K50)</f>
        <v>0.56272760578465164</v>
      </c>
      <c r="L51" s="45">
        <f t="shared" si="12"/>
        <v>0.51304588110771798</v>
      </c>
      <c r="M51" s="45">
        <f t="shared" si="12"/>
        <v>0.38356810692927179</v>
      </c>
      <c r="N51" s="45">
        <f t="shared" si="12"/>
        <v>0.46039051001601738</v>
      </c>
      <c r="O51" s="45">
        <f t="shared" si="12"/>
        <v>0.46977172985730803</v>
      </c>
      <c r="P51" s="45">
        <f t="shared" si="12"/>
        <v>0.52175027391121231</v>
      </c>
      <c r="Q51" s="45">
        <f t="shared" si="12"/>
        <v>0.53924307394392734</v>
      </c>
      <c r="R51" s="45">
        <f t="shared" si="12"/>
        <v>0.46802506855812454</v>
      </c>
      <c r="S51" s="45">
        <f t="shared" si="12"/>
        <v>0.33788088237615083</v>
      </c>
      <c r="T51" s="45">
        <f t="shared" si="12"/>
        <v>0.46647856297930756</v>
      </c>
      <c r="U51" s="45">
        <f t="shared" si="12"/>
        <v>0.43042341215298641</v>
      </c>
      <c r="V51" s="45">
        <f t="shared" si="12"/>
        <v>0.3800502977812506</v>
      </c>
      <c r="W51" s="45">
        <f t="shared" si="12"/>
        <v>0.31898635716660267</v>
      </c>
      <c r="X51" s="45">
        <f t="shared" si="12"/>
        <v>0.31862741719846183</v>
      </c>
      <c r="Y51" s="45">
        <f t="shared" si="12"/>
        <v>0.35796540024095141</v>
      </c>
      <c r="Z51" s="45">
        <f t="shared" si="12"/>
        <v>0.40196197029467484</v>
      </c>
      <c r="AA51" s="45">
        <f t="shared" si="12"/>
        <v>0.46880849673938751</v>
      </c>
    </row>
    <row r="52" spans="2:27" ht="15.75" customHeight="1" x14ac:dyDescent="0.25">
      <c r="B52" s="43"/>
      <c r="C52" s="84"/>
      <c r="D52" s="84"/>
      <c r="E52" s="84"/>
      <c r="F52" s="84"/>
      <c r="G52" s="84"/>
      <c r="H52" s="84"/>
      <c r="I52" s="84"/>
      <c r="J52" s="84"/>
      <c r="K52" s="84"/>
      <c r="L52" s="84"/>
      <c r="M52" s="84"/>
      <c r="N52" s="84"/>
      <c r="O52" s="84"/>
      <c r="P52" s="84"/>
      <c r="Q52" s="84"/>
      <c r="R52" s="84"/>
      <c r="S52" s="84"/>
      <c r="T52" s="84"/>
      <c r="U52" s="84"/>
      <c r="V52" s="84"/>
      <c r="W52" s="84"/>
      <c r="X52" s="84"/>
      <c r="Y52" s="84"/>
      <c r="Z52" s="84"/>
      <c r="AA52" s="84"/>
    </row>
    <row r="53" spans="2:27" ht="15.75" customHeight="1" x14ac:dyDescent="0.25">
      <c r="B53" s="11" t="s">
        <v>280</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row>
    <row r="54" spans="2:27" ht="15.75" customHeight="1" x14ac:dyDescent="0.25">
      <c r="B54" s="44" t="s">
        <v>281</v>
      </c>
      <c r="C54" s="85">
        <f>C23+C26+C31</f>
        <v>268980.46346</v>
      </c>
      <c r="D54" s="85">
        <v>544816</v>
      </c>
      <c r="E54" s="85">
        <v>1164262.7565299999</v>
      </c>
      <c r="F54" s="85">
        <v>490943.19624999998</v>
      </c>
      <c r="G54" s="85">
        <v>553098.26688999997</v>
      </c>
      <c r="H54" s="85">
        <v>776613.05564999999</v>
      </c>
      <c r="I54" s="85">
        <v>934148.21719</v>
      </c>
      <c r="J54" s="85">
        <v>2754806.2171900002</v>
      </c>
      <c r="K54" s="85">
        <v>1170627.74208</v>
      </c>
      <c r="L54" s="85">
        <v>1373964.6591890401</v>
      </c>
      <c r="M54" s="85">
        <v>1824955</v>
      </c>
      <c r="N54" s="85">
        <v>1555795</v>
      </c>
      <c r="O54" s="85">
        <v>5925344</v>
      </c>
      <c r="P54" s="85">
        <v>1464378.1717000001</v>
      </c>
      <c r="Q54" s="85">
        <v>1412401.61845</v>
      </c>
      <c r="R54" s="85">
        <v>1359637.9489200001</v>
      </c>
      <c r="S54" s="85">
        <v>1600992.7278799999</v>
      </c>
      <c r="T54" s="85">
        <v>5837410.4669500003</v>
      </c>
      <c r="U54" s="85">
        <v>1493129</v>
      </c>
      <c r="V54" s="85">
        <v>1489907</v>
      </c>
      <c r="W54" s="85">
        <v>1670134</v>
      </c>
      <c r="X54" s="85">
        <v>1616019</v>
      </c>
      <c r="Y54" s="85">
        <v>6269189</v>
      </c>
      <c r="Z54" s="85">
        <v>1649662</v>
      </c>
      <c r="AA54" s="85">
        <v>1961001</v>
      </c>
    </row>
    <row r="55" spans="2:27" ht="15.75" customHeight="1" x14ac:dyDescent="0.25">
      <c r="B55" s="9" t="s">
        <v>282</v>
      </c>
      <c r="C55" s="58">
        <v>-127940</v>
      </c>
      <c r="D55" s="58">
        <v>-252814.52299999999</v>
      </c>
      <c r="E55" s="58">
        <v>-583835.68000000005</v>
      </c>
      <c r="F55" s="58">
        <v>-297936</v>
      </c>
      <c r="G55" s="58">
        <v>-284577.58563384198</v>
      </c>
      <c r="H55" s="58">
        <v>-387429</v>
      </c>
      <c r="I55" s="58">
        <v>-440147.056924048</v>
      </c>
      <c r="J55" s="58">
        <v>-1411278.05692405</v>
      </c>
      <c r="K55" s="58">
        <v>-573840.27616353298</v>
      </c>
      <c r="L55" s="58">
        <v>-690698</v>
      </c>
      <c r="M55" s="58">
        <v>-907056</v>
      </c>
      <c r="N55" s="58">
        <v>-890031.71287375595</v>
      </c>
      <c r="O55" s="58">
        <v>-3061627.7128737601</v>
      </c>
      <c r="P55" s="58">
        <f t="shared" ref="P55:AA55" si="13">SUM(P56:P59)</f>
        <v>-758300</v>
      </c>
      <c r="Q55" s="58">
        <f t="shared" si="13"/>
        <v>-875981</v>
      </c>
      <c r="R55" s="58">
        <f t="shared" si="13"/>
        <v>-934400</v>
      </c>
      <c r="S55" s="58">
        <f t="shared" si="13"/>
        <v>-1200704</v>
      </c>
      <c r="T55" s="58">
        <f t="shared" si="13"/>
        <v>-3769385</v>
      </c>
      <c r="U55" s="58">
        <f t="shared" si="13"/>
        <v>-1088609</v>
      </c>
      <c r="V55" s="58">
        <f t="shared" si="13"/>
        <v>-1204462</v>
      </c>
      <c r="W55" s="58">
        <f t="shared" si="13"/>
        <v>-1419426</v>
      </c>
      <c r="X55" s="58">
        <f t="shared" si="13"/>
        <v>-1393886</v>
      </c>
      <c r="Y55" s="58">
        <f t="shared" si="13"/>
        <v>-5106383</v>
      </c>
      <c r="Z55" s="58">
        <f t="shared" si="13"/>
        <v>-1137643</v>
      </c>
      <c r="AA55" s="58">
        <f t="shared" si="13"/>
        <v>-1063477</v>
      </c>
    </row>
    <row r="56" spans="2:27" ht="15.75" customHeight="1" x14ac:dyDescent="0.25">
      <c r="B56" s="22" t="s">
        <v>283</v>
      </c>
      <c r="C56" s="56">
        <v>-98216</v>
      </c>
      <c r="D56" s="56">
        <v>-197509.17300000001</v>
      </c>
      <c r="E56" s="56">
        <v>-473998.68</v>
      </c>
      <c r="F56" s="56">
        <v>-237949</v>
      </c>
      <c r="G56" s="56">
        <v>-235933.892734514</v>
      </c>
      <c r="H56" s="56">
        <v>-319921</v>
      </c>
      <c r="I56" s="56">
        <v>-364599.03642306902</v>
      </c>
      <c r="J56" s="56">
        <v>-1160816.0364230699</v>
      </c>
      <c r="K56" s="56">
        <v>-500055.41288067901</v>
      </c>
      <c r="L56" s="56">
        <v>-605136</v>
      </c>
      <c r="M56" s="56">
        <v>-796938</v>
      </c>
      <c r="N56" s="56">
        <v>-787040.54952695197</v>
      </c>
      <c r="O56" s="56">
        <v>-2681902.5495269499</v>
      </c>
      <c r="P56" s="56">
        <v>-667187</v>
      </c>
      <c r="Q56" s="56">
        <v>-782877</v>
      </c>
      <c r="R56" s="56">
        <v>-830681</v>
      </c>
      <c r="S56" s="56">
        <v>-984121</v>
      </c>
      <c r="T56" s="56">
        <v>-3264866</v>
      </c>
      <c r="U56" s="56">
        <v>-972008</v>
      </c>
      <c r="V56" s="56">
        <v>-1066051</v>
      </c>
      <c r="W56" s="56">
        <v>-1239332</v>
      </c>
      <c r="X56" s="56">
        <v>-1160848</v>
      </c>
      <c r="Y56" s="56">
        <v>-4438239</v>
      </c>
      <c r="Z56" s="56">
        <v>-975448</v>
      </c>
      <c r="AA56" s="56">
        <v>-887870</v>
      </c>
    </row>
    <row r="57" spans="2:27" ht="15.75" customHeight="1" x14ac:dyDescent="0.25">
      <c r="B57" s="22" t="s">
        <v>284</v>
      </c>
      <c r="C57" s="56">
        <v>0</v>
      </c>
      <c r="D57" s="56">
        <v>0</v>
      </c>
      <c r="E57" s="56">
        <v>0</v>
      </c>
      <c r="F57" s="56">
        <v>0</v>
      </c>
      <c r="G57" s="56">
        <v>0</v>
      </c>
      <c r="H57" s="56">
        <v>0</v>
      </c>
      <c r="I57" s="56">
        <v>0</v>
      </c>
      <c r="J57" s="56">
        <v>0</v>
      </c>
      <c r="K57" s="56">
        <v>0</v>
      </c>
      <c r="L57" s="56">
        <v>0</v>
      </c>
      <c r="M57" s="56">
        <v>0</v>
      </c>
      <c r="N57" s="56">
        <v>0</v>
      </c>
      <c r="O57" s="56">
        <v>0</v>
      </c>
      <c r="P57" s="56">
        <v>0</v>
      </c>
      <c r="Q57" s="56">
        <v>0</v>
      </c>
      <c r="R57" s="56">
        <v>0</v>
      </c>
      <c r="S57" s="56">
        <v>-93017</v>
      </c>
      <c r="T57" s="56">
        <v>-93017</v>
      </c>
      <c r="U57" s="56">
        <v>0</v>
      </c>
      <c r="V57" s="56">
        <v>0</v>
      </c>
      <c r="W57" s="56">
        <v>0</v>
      </c>
      <c r="X57" s="56">
        <v>-53519</v>
      </c>
      <c r="Y57" s="56">
        <v>-53519</v>
      </c>
      <c r="Z57" s="56">
        <v>-4290</v>
      </c>
      <c r="AA57" s="56">
        <v>-7032</v>
      </c>
    </row>
    <row r="58" spans="2:27" ht="15.75" customHeight="1" x14ac:dyDescent="0.25">
      <c r="B58" s="22" t="s">
        <v>285</v>
      </c>
      <c r="C58" s="56">
        <v>-17654</v>
      </c>
      <c r="D58" s="56">
        <v>-29106.346000000001</v>
      </c>
      <c r="E58" s="56">
        <v>-66285</v>
      </c>
      <c r="F58" s="56">
        <v>-36722</v>
      </c>
      <c r="G58" s="56">
        <v>-28444.8924598269</v>
      </c>
      <c r="H58" s="56">
        <v>-43052</v>
      </c>
      <c r="I58" s="56">
        <v>-47782.157267351999</v>
      </c>
      <c r="J58" s="56">
        <v>-155416.15726735201</v>
      </c>
      <c r="K58" s="56">
        <v>-42381.391146613401</v>
      </c>
      <c r="L58" s="56">
        <v>-49468</v>
      </c>
      <c r="M58" s="56">
        <v>-62132</v>
      </c>
      <c r="N58" s="56">
        <v>-63300.158585972502</v>
      </c>
      <c r="O58" s="56">
        <v>-224550.15858597201</v>
      </c>
      <c r="P58" s="56">
        <v>-56262</v>
      </c>
      <c r="Q58" s="56">
        <v>-60627</v>
      </c>
      <c r="R58" s="56">
        <v>-63316</v>
      </c>
      <c r="S58" s="56">
        <v>-85198</v>
      </c>
      <c r="T58" s="56">
        <v>-265403</v>
      </c>
      <c r="U58" s="56">
        <v>-74292</v>
      </c>
      <c r="V58" s="56">
        <v>-90744</v>
      </c>
      <c r="W58" s="56">
        <v>-123233</v>
      </c>
      <c r="X58" s="56">
        <v>-123493</v>
      </c>
      <c r="Y58" s="56">
        <v>-411762</v>
      </c>
      <c r="Z58" s="56">
        <v>-107347</v>
      </c>
      <c r="AA58" s="56">
        <v>-113054</v>
      </c>
    </row>
    <row r="59" spans="2:27" ht="15.75" customHeight="1" x14ac:dyDescent="0.25">
      <c r="B59" s="22" t="s">
        <v>286</v>
      </c>
      <c r="C59" s="56">
        <v>-12070</v>
      </c>
      <c r="D59" s="56">
        <v>-26199.004000000001</v>
      </c>
      <c r="E59" s="56">
        <v>-43552</v>
      </c>
      <c r="F59" s="56">
        <v>-23265</v>
      </c>
      <c r="G59" s="56">
        <v>-20198.800439500101</v>
      </c>
      <c r="H59" s="56">
        <v>-24456</v>
      </c>
      <c r="I59" s="56">
        <v>-27765.8632336271</v>
      </c>
      <c r="J59" s="56">
        <v>-95045.863233627097</v>
      </c>
      <c r="K59" s="56">
        <v>-31403.4721362401</v>
      </c>
      <c r="L59" s="56">
        <v>-36094</v>
      </c>
      <c r="M59" s="56">
        <v>-47986</v>
      </c>
      <c r="N59" s="56">
        <v>-39691.0047608311</v>
      </c>
      <c r="O59" s="56">
        <v>-155175.00476083101</v>
      </c>
      <c r="P59" s="56">
        <v>-34851</v>
      </c>
      <c r="Q59" s="56">
        <v>-32477</v>
      </c>
      <c r="R59" s="70">
        <v>-40403</v>
      </c>
      <c r="S59" s="56">
        <v>-38368</v>
      </c>
      <c r="T59" s="56">
        <v>-146099</v>
      </c>
      <c r="U59" s="56">
        <v>-42309</v>
      </c>
      <c r="V59" s="56">
        <v>-47667</v>
      </c>
      <c r="W59" s="56">
        <v>-56861</v>
      </c>
      <c r="X59" s="56">
        <v>-56026</v>
      </c>
      <c r="Y59" s="56">
        <v>-202863</v>
      </c>
      <c r="Z59" s="56">
        <v>-50558</v>
      </c>
      <c r="AA59" s="56">
        <v>-55521</v>
      </c>
    </row>
    <row r="60" spans="2:27" ht="15.75" customHeight="1" x14ac:dyDescent="0.25">
      <c r="B60" s="9" t="s">
        <v>287</v>
      </c>
      <c r="C60" s="58">
        <v>-39449</v>
      </c>
      <c r="D60" s="58">
        <v>-58843.072999999997</v>
      </c>
      <c r="E60" s="58">
        <v>-78470</v>
      </c>
      <c r="F60" s="58">
        <v>-46876</v>
      </c>
      <c r="G60" s="58">
        <v>-40454.565306963297</v>
      </c>
      <c r="H60" s="58">
        <v>-56989</v>
      </c>
      <c r="I60" s="58">
        <v>-64598.943075951996</v>
      </c>
      <c r="J60" s="58">
        <v>-208789.943075952</v>
      </c>
      <c r="K60" s="58">
        <v>-71203.723836467499</v>
      </c>
      <c r="L60" s="58">
        <v>-64912</v>
      </c>
      <c r="M60" s="58">
        <v>-79275</v>
      </c>
      <c r="N60" s="58">
        <v>-75472.563289776896</v>
      </c>
      <c r="O60" s="58">
        <v>-290863.28712624399</v>
      </c>
      <c r="P60" s="58">
        <f t="shared" ref="P60:AA60" si="14">SUM(P61:P64)</f>
        <v>-78026</v>
      </c>
      <c r="Q60" s="58">
        <f t="shared" si="14"/>
        <v>-88314</v>
      </c>
      <c r="R60" s="58">
        <f t="shared" si="14"/>
        <v>-81095</v>
      </c>
      <c r="S60" s="58">
        <f t="shared" si="14"/>
        <v>-107059</v>
      </c>
      <c r="T60" s="58">
        <f t="shared" si="14"/>
        <v>-354494</v>
      </c>
      <c r="U60" s="58">
        <f t="shared" si="14"/>
        <v>-96283</v>
      </c>
      <c r="V60" s="58">
        <f t="shared" si="14"/>
        <v>-127491</v>
      </c>
      <c r="W60" s="58">
        <f t="shared" si="14"/>
        <v>-151877</v>
      </c>
      <c r="X60" s="58">
        <f t="shared" si="14"/>
        <v>-162653</v>
      </c>
      <c r="Y60" s="58">
        <f t="shared" si="14"/>
        <v>-538304</v>
      </c>
      <c r="Z60" s="58">
        <f t="shared" si="14"/>
        <v>-150423</v>
      </c>
      <c r="AA60" s="58">
        <f t="shared" si="14"/>
        <v>-163208</v>
      </c>
    </row>
    <row r="61" spans="2:27" ht="15.75" customHeight="1" x14ac:dyDescent="0.25">
      <c r="B61" s="22" t="s">
        <v>288</v>
      </c>
      <c r="C61" s="56">
        <v>-6042</v>
      </c>
      <c r="D61" s="56">
        <v>-13536</v>
      </c>
      <c r="E61" s="56">
        <v>-18893</v>
      </c>
      <c r="F61" s="56">
        <v>-6354</v>
      </c>
      <c r="G61" s="56">
        <v>-5171.9772009339404</v>
      </c>
      <c r="H61" s="56">
        <v>-8625</v>
      </c>
      <c r="I61" s="56">
        <v>-12223.9526710723</v>
      </c>
      <c r="J61" s="56">
        <v>-32179.9526710723</v>
      </c>
      <c r="K61" s="56">
        <v>-10256.123270649599</v>
      </c>
      <c r="L61" s="56">
        <v>-10515</v>
      </c>
      <c r="M61" s="56">
        <v>-12052</v>
      </c>
      <c r="N61" s="56">
        <v>-10132.777309061799</v>
      </c>
      <c r="O61" s="56">
        <v>-42955.9005797114</v>
      </c>
      <c r="P61" s="56">
        <v>-13993</v>
      </c>
      <c r="Q61" s="56">
        <v>-13612</v>
      </c>
      <c r="R61" s="56">
        <v>-14737</v>
      </c>
      <c r="S61" s="56">
        <v>-15977</v>
      </c>
      <c r="T61" s="56">
        <v>-58319</v>
      </c>
      <c r="U61" s="56">
        <v>-13308</v>
      </c>
      <c r="V61" s="56">
        <v>-16867</v>
      </c>
      <c r="W61" s="56">
        <v>-24862</v>
      </c>
      <c r="X61" s="56">
        <v>-24817</v>
      </c>
      <c r="Y61" s="56">
        <v>-79854</v>
      </c>
      <c r="Z61" s="56">
        <v>-22871</v>
      </c>
      <c r="AA61" s="56">
        <v>-24732</v>
      </c>
    </row>
    <row r="62" spans="2:27" ht="15.75" customHeight="1" x14ac:dyDescent="0.25">
      <c r="B62" s="22" t="s">
        <v>289</v>
      </c>
      <c r="C62" s="56">
        <v>-13257</v>
      </c>
      <c r="D62" s="56">
        <v>-20365.109</v>
      </c>
      <c r="E62" s="56">
        <v>-25414</v>
      </c>
      <c r="F62" s="56">
        <v>-12393</v>
      </c>
      <c r="G62" s="56">
        <v>-12074.494437577299</v>
      </c>
      <c r="H62" s="56">
        <v>-12442</v>
      </c>
      <c r="I62" s="56">
        <v>-15673.2048449013</v>
      </c>
      <c r="J62" s="56">
        <v>-52237.204844901302</v>
      </c>
      <c r="K62" s="56">
        <v>-13851.464802795799</v>
      </c>
      <c r="L62" s="56">
        <v>-14070</v>
      </c>
      <c r="M62" s="56">
        <v>-17676</v>
      </c>
      <c r="N62" s="56">
        <v>-16489.929368437999</v>
      </c>
      <c r="O62" s="56">
        <v>-62087.394171233798</v>
      </c>
      <c r="P62" s="56">
        <v>-17402</v>
      </c>
      <c r="Q62" s="56">
        <v>-23476</v>
      </c>
      <c r="R62" s="56">
        <v>-17255</v>
      </c>
      <c r="S62" s="56">
        <v>-26132</v>
      </c>
      <c r="T62" s="56">
        <v>-84265</v>
      </c>
      <c r="U62" s="56">
        <v>-20777</v>
      </c>
      <c r="V62" s="56">
        <v>-27505</v>
      </c>
      <c r="W62" s="56">
        <v>-30531</v>
      </c>
      <c r="X62" s="56">
        <v>-32327</v>
      </c>
      <c r="Y62" s="56">
        <v>-111140</v>
      </c>
      <c r="Z62" s="56">
        <v>-33244</v>
      </c>
      <c r="AA62" s="56">
        <v>-33134</v>
      </c>
    </row>
    <row r="63" spans="2:27" ht="15.75" customHeight="1" x14ac:dyDescent="0.25">
      <c r="B63" s="22" t="s">
        <v>290</v>
      </c>
      <c r="C63" s="56">
        <v>-10189</v>
      </c>
      <c r="D63" s="56">
        <v>-15776.758</v>
      </c>
      <c r="E63" s="56">
        <v>-38446</v>
      </c>
      <c r="F63" s="56">
        <v>-23442</v>
      </c>
      <c r="G63" s="56">
        <v>-16172.986814997899</v>
      </c>
      <c r="H63" s="56">
        <v>-16930</v>
      </c>
      <c r="I63" s="56">
        <v>-18463</v>
      </c>
      <c r="J63" s="56">
        <v>-75744</v>
      </c>
      <c r="K63" s="56">
        <v>-30451</v>
      </c>
      <c r="L63" s="56">
        <v>-28234</v>
      </c>
      <c r="M63" s="56">
        <v>-33977</v>
      </c>
      <c r="N63" s="56">
        <v>-32416</v>
      </c>
      <c r="O63" s="56">
        <v>-125078</v>
      </c>
      <c r="P63" s="56">
        <v>-30446</v>
      </c>
      <c r="Q63" s="56">
        <v>-32086</v>
      </c>
      <c r="R63" s="56">
        <v>-34348</v>
      </c>
      <c r="S63" s="56">
        <v>-40525</v>
      </c>
      <c r="T63" s="56">
        <v>-137405</v>
      </c>
      <c r="U63" s="56">
        <v>-45046</v>
      </c>
      <c r="V63" s="56">
        <v>-59124</v>
      </c>
      <c r="W63" s="56">
        <v>-69773</v>
      </c>
      <c r="X63" s="56">
        <v>-66220</v>
      </c>
      <c r="Y63" s="56">
        <v>-240163</v>
      </c>
      <c r="Z63" s="56">
        <v>-63614</v>
      </c>
      <c r="AA63" s="56">
        <v>-71043</v>
      </c>
    </row>
    <row r="64" spans="2:27" ht="15.75" customHeight="1" x14ac:dyDescent="0.25">
      <c r="B64" s="22" t="s">
        <v>291</v>
      </c>
      <c r="C64" s="56">
        <v>-9961</v>
      </c>
      <c r="D64" s="56">
        <v>-9165.2060000000001</v>
      </c>
      <c r="E64" s="56">
        <v>4283</v>
      </c>
      <c r="F64" s="56">
        <v>-4687</v>
      </c>
      <c r="G64" s="56">
        <v>-7035.1068534542001</v>
      </c>
      <c r="H64" s="56">
        <v>-18992</v>
      </c>
      <c r="I64" s="56">
        <v>-18238.785559978402</v>
      </c>
      <c r="J64" s="56">
        <v>-48628.785559978402</v>
      </c>
      <c r="K64" s="56">
        <v>-16645.135763022099</v>
      </c>
      <c r="L64" s="56">
        <v>-12093</v>
      </c>
      <c r="M64" s="56">
        <v>-15570</v>
      </c>
      <c r="N64" s="56">
        <v>-16433.856612276999</v>
      </c>
      <c r="O64" s="56">
        <v>-60741.992375299204</v>
      </c>
      <c r="P64" s="56">
        <v>-16185</v>
      </c>
      <c r="Q64" s="56">
        <v>-19140</v>
      </c>
      <c r="R64" s="70">
        <v>-14755</v>
      </c>
      <c r="S64" s="56">
        <v>-24425</v>
      </c>
      <c r="T64" s="56">
        <v>-74505</v>
      </c>
      <c r="U64" s="56">
        <v>-17152</v>
      </c>
      <c r="V64" s="56">
        <v>-23995</v>
      </c>
      <c r="W64" s="56">
        <v>-26711</v>
      </c>
      <c r="X64" s="56">
        <v>-39289</v>
      </c>
      <c r="Y64" s="56">
        <v>-107147</v>
      </c>
      <c r="Z64" s="56">
        <v>-30694</v>
      </c>
      <c r="AA64" s="56">
        <v>-34299</v>
      </c>
    </row>
    <row r="65" spans="2:27" ht="15.75" customHeight="1" x14ac:dyDescent="0.25">
      <c r="B65" s="9" t="s">
        <v>292</v>
      </c>
      <c r="C65" s="58">
        <f>C55+C60</f>
        <v>-167389</v>
      </c>
      <c r="D65" s="58">
        <v>-311657.59600000002</v>
      </c>
      <c r="E65" s="58">
        <v>-662305.68000000005</v>
      </c>
      <c r="F65" s="58">
        <v>-344812</v>
      </c>
      <c r="G65" s="58">
        <v>-325032.15094080498</v>
      </c>
      <c r="H65" s="58">
        <v>-444418</v>
      </c>
      <c r="I65" s="58">
        <v>-504746</v>
      </c>
      <c r="J65" s="58">
        <v>-1620068</v>
      </c>
      <c r="K65" s="58">
        <v>-645044</v>
      </c>
      <c r="L65" s="58">
        <v>-755610</v>
      </c>
      <c r="M65" s="58">
        <v>-986331</v>
      </c>
      <c r="N65" s="58">
        <v>-965504.27616353298</v>
      </c>
      <c r="O65" s="58">
        <v>-3352491</v>
      </c>
      <c r="P65" s="58">
        <f t="shared" ref="P65:AA65" si="15">P55+P60</f>
        <v>-836326</v>
      </c>
      <c r="Q65" s="58">
        <f t="shared" si="15"/>
        <v>-964295</v>
      </c>
      <c r="R65" s="58">
        <f t="shared" si="15"/>
        <v>-1015495</v>
      </c>
      <c r="S65" s="58">
        <f t="shared" si="15"/>
        <v>-1307763</v>
      </c>
      <c r="T65" s="58">
        <f t="shared" si="15"/>
        <v>-4123879</v>
      </c>
      <c r="U65" s="58">
        <f t="shared" si="15"/>
        <v>-1184892</v>
      </c>
      <c r="V65" s="58">
        <f t="shared" si="15"/>
        <v>-1331953</v>
      </c>
      <c r="W65" s="58">
        <f t="shared" si="15"/>
        <v>-1571303</v>
      </c>
      <c r="X65" s="58">
        <f t="shared" si="15"/>
        <v>-1556539</v>
      </c>
      <c r="Y65" s="58">
        <f t="shared" si="15"/>
        <v>-5644687</v>
      </c>
      <c r="Z65" s="58">
        <f t="shared" si="15"/>
        <v>-1288066</v>
      </c>
      <c r="AA65" s="58">
        <f t="shared" si="15"/>
        <v>-1226685</v>
      </c>
    </row>
    <row r="66" spans="2:27" ht="15.75" customHeight="1" x14ac:dyDescent="0.25">
      <c r="B66" s="9" t="s">
        <v>293</v>
      </c>
      <c r="C66" s="58">
        <f>C54+C65</f>
        <v>101591.46346</v>
      </c>
      <c r="D66" s="58">
        <v>233158.40400000001</v>
      </c>
      <c r="E66" s="58">
        <v>501957.07653000002</v>
      </c>
      <c r="F66" s="58">
        <v>146131.19625000001</v>
      </c>
      <c r="G66" s="58">
        <v>228066.11594919499</v>
      </c>
      <c r="H66" s="58">
        <v>332195.05564999999</v>
      </c>
      <c r="I66" s="58">
        <v>429402.21719</v>
      </c>
      <c r="J66" s="58">
        <v>1134738.21719</v>
      </c>
      <c r="K66" s="58">
        <v>525583.74208</v>
      </c>
      <c r="L66" s="58">
        <v>618354.65918903996</v>
      </c>
      <c r="M66" s="58">
        <v>838624</v>
      </c>
      <c r="N66" s="58">
        <v>590290.72383646702</v>
      </c>
      <c r="O66" s="58">
        <v>2572853</v>
      </c>
      <c r="P66" s="58">
        <f t="shared" ref="P66:AA66" si="16">P54+P65</f>
        <v>628052.17170000006</v>
      </c>
      <c r="Q66" s="58">
        <f t="shared" si="16"/>
        <v>448106.61844999995</v>
      </c>
      <c r="R66" s="58">
        <f t="shared" si="16"/>
        <v>344142.94892000011</v>
      </c>
      <c r="S66" s="58">
        <f t="shared" si="16"/>
        <v>293229.7278799999</v>
      </c>
      <c r="T66" s="58">
        <f t="shared" si="16"/>
        <v>1713531.4669500003</v>
      </c>
      <c r="U66" s="58">
        <f t="shared" si="16"/>
        <v>308237</v>
      </c>
      <c r="V66" s="58">
        <f t="shared" si="16"/>
        <v>157954</v>
      </c>
      <c r="W66" s="58">
        <f t="shared" si="16"/>
        <v>98831</v>
      </c>
      <c r="X66" s="58">
        <f t="shared" si="16"/>
        <v>59480</v>
      </c>
      <c r="Y66" s="58">
        <f t="shared" si="16"/>
        <v>624502</v>
      </c>
      <c r="Z66" s="58">
        <f t="shared" si="16"/>
        <v>361596</v>
      </c>
      <c r="AA66" s="58">
        <f t="shared" si="16"/>
        <v>734316</v>
      </c>
    </row>
    <row r="67" spans="2:27" ht="15.75" customHeight="1" x14ac:dyDescent="0.25">
      <c r="B67" s="46" t="s">
        <v>294</v>
      </c>
      <c r="C67" s="47">
        <f>C66/C54</f>
        <v>0.37769086331843438</v>
      </c>
      <c r="D67" s="47">
        <v>0.42795807024756999</v>
      </c>
      <c r="E67" s="47">
        <v>0.431137278689603</v>
      </c>
      <c r="F67" s="47">
        <v>0.29765397986203401</v>
      </c>
      <c r="G67" s="47">
        <v>0.412342850451478</v>
      </c>
      <c r="H67" s="47">
        <v>0.42774848199269999</v>
      </c>
      <c r="I67" s="47">
        <v>0.45967246876697998</v>
      </c>
      <c r="J67" s="47">
        <v>0.411912173752633</v>
      </c>
      <c r="K67" s="47">
        <v>0.448975983728294</v>
      </c>
      <c r="L67" s="47">
        <v>0.45005135689153303</v>
      </c>
      <c r="M67" s="47">
        <v>0.45953133090952902</v>
      </c>
      <c r="N67" s="47">
        <v>0.37941420549395499</v>
      </c>
      <c r="O67" s="47">
        <v>0.434211583327483</v>
      </c>
      <c r="P67" s="47">
        <f t="shared" ref="P67:Z67" si="17">P66/P54</f>
        <v>0.4288865976272323</v>
      </c>
      <c r="Q67" s="47">
        <f t="shared" si="17"/>
        <v>0.31726572144668158</v>
      </c>
      <c r="R67" s="47">
        <f t="shared" si="17"/>
        <v>0.25311366838014698</v>
      </c>
      <c r="S67" s="47">
        <f t="shared" si="17"/>
        <v>0.18315494054010376</v>
      </c>
      <c r="T67" s="47">
        <f t="shared" si="17"/>
        <v>0.29354308329893863</v>
      </c>
      <c r="U67" s="47">
        <f t="shared" si="17"/>
        <v>0.20643695219903974</v>
      </c>
      <c r="V67" s="47">
        <f t="shared" si="17"/>
        <v>0.10601601308001103</v>
      </c>
      <c r="W67" s="47">
        <f t="shared" si="17"/>
        <v>5.9175491307883077E-2</v>
      </c>
      <c r="X67" s="47">
        <f t="shared" si="17"/>
        <v>3.6806497943402891E-2</v>
      </c>
      <c r="Y67" s="47">
        <f t="shared" si="17"/>
        <v>9.9614479640029993E-2</v>
      </c>
      <c r="Z67" s="47">
        <f t="shared" si="17"/>
        <v>0.21919399246633553</v>
      </c>
      <c r="AA67" s="20"/>
    </row>
    <row r="68" spans="2:27" ht="15.75" customHeight="1" x14ac:dyDescent="0.25">
      <c r="B68" s="9" t="s">
        <v>295</v>
      </c>
      <c r="C68" s="48">
        <v>17.7</v>
      </c>
      <c r="D68" s="48">
        <v>18.25</v>
      </c>
      <c r="E68" s="48">
        <v>22.53</v>
      </c>
      <c r="F68" s="49">
        <v>24.01</v>
      </c>
      <c r="G68" s="48">
        <v>24.21</v>
      </c>
      <c r="H68" s="48">
        <v>28.79</v>
      </c>
      <c r="I68" s="71">
        <v>31.553207990189701</v>
      </c>
      <c r="J68" s="71">
        <v>27.244265210836801</v>
      </c>
      <c r="K68" s="71">
        <v>40.652411100802503</v>
      </c>
      <c r="L68" s="71">
        <v>47.357998443166203</v>
      </c>
      <c r="M68" s="71">
        <v>51.379665470624097</v>
      </c>
      <c r="N68" s="71">
        <v>56.049556746606903</v>
      </c>
      <c r="O68" s="71">
        <v>48.978428711167801</v>
      </c>
      <c r="P68" s="71">
        <v>55.948488964735297</v>
      </c>
      <c r="Q68" s="71">
        <v>56.3365073806307</v>
      </c>
      <c r="R68" s="71">
        <v>60.947399060421802</v>
      </c>
      <c r="S68" s="71">
        <v>63.960629589386897</v>
      </c>
      <c r="T68" s="71">
        <v>59.434313284311997</v>
      </c>
      <c r="U68" s="71">
        <v>62.643552713342302</v>
      </c>
      <c r="V68" s="71">
        <v>56.962600931948202</v>
      </c>
      <c r="W68" s="71">
        <v>53.737982128660903</v>
      </c>
      <c r="X68" s="71">
        <v>53.139771223122899</v>
      </c>
      <c r="Y68" s="71">
        <v>56.342376924378598</v>
      </c>
      <c r="Z68" s="71">
        <v>46.0089185794643</v>
      </c>
      <c r="AA68" s="71">
        <v>41.322225581511098</v>
      </c>
    </row>
    <row r="69" spans="2:27" ht="15.75" customHeight="1" x14ac:dyDescent="0.25">
      <c r="B69" s="9" t="s">
        <v>296</v>
      </c>
      <c r="C69" s="48">
        <v>40.4</v>
      </c>
      <c r="D69" s="48">
        <v>43.29</v>
      </c>
      <c r="E69" s="48">
        <v>48.83</v>
      </c>
      <c r="F69" s="49">
        <v>56.34</v>
      </c>
      <c r="G69" s="48">
        <v>56.66</v>
      </c>
      <c r="H69" s="48">
        <v>60.92</v>
      </c>
      <c r="I69" s="71">
        <v>65.153858324096603</v>
      </c>
      <c r="J69" s="71">
        <v>59.905702754116497</v>
      </c>
      <c r="K69" s="71">
        <v>69.547798746469198</v>
      </c>
      <c r="L69" s="71">
        <v>68.935779856460897</v>
      </c>
      <c r="M69" s="71">
        <v>70.038893988766603</v>
      </c>
      <c r="N69" s="71">
        <v>79.744424698155996</v>
      </c>
      <c r="O69" s="71">
        <v>72.204645178647993</v>
      </c>
      <c r="P69" s="71">
        <v>89.853546289331703</v>
      </c>
      <c r="Q69" s="71">
        <v>87.411268977595796</v>
      </c>
      <c r="R69" s="71">
        <v>92.694311679001302</v>
      </c>
      <c r="S69" s="71">
        <v>101.850672594751</v>
      </c>
      <c r="T69" s="71">
        <v>93.137571477237003</v>
      </c>
      <c r="U69" s="71">
        <v>96.279998884019506</v>
      </c>
      <c r="V69" s="71">
        <v>98.141016900215902</v>
      </c>
      <c r="W69" s="71">
        <v>105.439105627644</v>
      </c>
      <c r="X69" s="71">
        <v>111.690497431347</v>
      </c>
      <c r="Y69" s="71">
        <v>103.243098829993</v>
      </c>
      <c r="Z69" s="71">
        <v>105.770654585689</v>
      </c>
      <c r="AA69" s="71">
        <v>109.035292151417</v>
      </c>
    </row>
    <row r="70" spans="2:27" ht="15.75" customHeight="1" x14ac:dyDescent="0.25">
      <c r="B70" s="43"/>
      <c r="C70" s="84"/>
      <c r="D70" s="84"/>
      <c r="E70" s="84"/>
      <c r="F70" s="84"/>
      <c r="G70" s="84"/>
      <c r="H70" s="84"/>
      <c r="I70" s="84"/>
      <c r="J70" s="84"/>
      <c r="K70" s="84"/>
      <c r="L70" s="84"/>
      <c r="M70" s="84"/>
      <c r="N70" s="84"/>
      <c r="O70" s="84"/>
      <c r="P70" s="84"/>
      <c r="Q70" s="84"/>
      <c r="R70" s="84"/>
      <c r="S70" s="84"/>
      <c r="T70" s="84"/>
      <c r="U70" s="84"/>
      <c r="V70" s="84"/>
      <c r="W70" s="84"/>
      <c r="X70" s="84"/>
      <c r="Y70" s="84"/>
      <c r="Z70" s="84"/>
      <c r="AA70" s="84"/>
    </row>
    <row r="71" spans="2:27" ht="15.75" customHeight="1" x14ac:dyDescent="0.25">
      <c r="B71" s="11" t="s">
        <v>297</v>
      </c>
      <c r="C71" s="75"/>
      <c r="D71" s="75"/>
      <c r="E71" s="75"/>
      <c r="F71" s="75"/>
      <c r="G71" s="75"/>
      <c r="H71" s="75"/>
      <c r="I71" s="75"/>
      <c r="J71" s="75"/>
      <c r="K71" s="75"/>
      <c r="L71" s="75"/>
      <c r="M71" s="75"/>
      <c r="N71" s="75"/>
      <c r="O71" s="75"/>
      <c r="P71" s="75"/>
      <c r="Q71" s="75"/>
      <c r="R71" s="75"/>
      <c r="S71" s="75"/>
      <c r="T71" s="75"/>
      <c r="U71" s="75"/>
      <c r="V71" s="75"/>
      <c r="W71" s="75"/>
      <c r="X71" s="75"/>
      <c r="Y71" s="75"/>
      <c r="Z71" s="75"/>
      <c r="AA71" s="75"/>
    </row>
    <row r="72" spans="2:27" ht="15.75" customHeight="1" x14ac:dyDescent="0.25">
      <c r="B72" s="44" t="s">
        <v>298</v>
      </c>
      <c r="C72" s="85">
        <v>0</v>
      </c>
      <c r="D72" s="85">
        <v>0</v>
      </c>
      <c r="E72" s="85">
        <v>6654.8993099999998</v>
      </c>
      <c r="F72" s="85">
        <v>70835.945930000002</v>
      </c>
      <c r="G72" s="85">
        <v>49013.090760000101</v>
      </c>
      <c r="H72" s="85">
        <v>0</v>
      </c>
      <c r="I72" s="85">
        <v>0</v>
      </c>
      <c r="J72" s="85">
        <v>119849.03668999999</v>
      </c>
      <c r="K72" s="85">
        <v>38257.985249999998</v>
      </c>
      <c r="L72" s="85">
        <v>49124.532310000002</v>
      </c>
      <c r="M72" s="85">
        <v>78850</v>
      </c>
      <c r="N72" s="85">
        <v>119400</v>
      </c>
      <c r="O72" s="85">
        <v>285632</v>
      </c>
      <c r="P72" s="85">
        <v>258621.82829999999</v>
      </c>
      <c r="Q72" s="85">
        <v>292992.22818999999</v>
      </c>
      <c r="R72" s="85">
        <v>333139.03807000001</v>
      </c>
      <c r="S72" s="85">
        <v>77290.623000000007</v>
      </c>
      <c r="T72" s="85">
        <v>962043.71756000002</v>
      </c>
      <c r="U72" s="85">
        <v>118338</v>
      </c>
      <c r="V72" s="85">
        <v>221190</v>
      </c>
      <c r="W72" s="85">
        <v>280066</v>
      </c>
      <c r="X72" s="85">
        <v>88551</v>
      </c>
      <c r="Y72" s="85">
        <v>708145</v>
      </c>
      <c r="Z72" s="85">
        <v>125017</v>
      </c>
      <c r="AA72" s="85">
        <v>362807</v>
      </c>
    </row>
    <row r="73" spans="2:27" ht="15.75" customHeight="1" x14ac:dyDescent="0.25">
      <c r="B73" s="9" t="s">
        <v>299</v>
      </c>
      <c r="C73" s="58">
        <v>0</v>
      </c>
      <c r="D73" s="58">
        <v>0</v>
      </c>
      <c r="E73" s="58">
        <v>-11587.32</v>
      </c>
      <c r="F73" s="58">
        <v>-54685</v>
      </c>
      <c r="G73" s="58">
        <v>-39668.772795611898</v>
      </c>
      <c r="H73" s="58">
        <v>-3780</v>
      </c>
      <c r="I73" s="58">
        <v>-7377</v>
      </c>
      <c r="J73" s="58">
        <v>-104448</v>
      </c>
      <c r="K73" s="58">
        <v>-40932</v>
      </c>
      <c r="L73" s="58">
        <v>-51048</v>
      </c>
      <c r="M73" s="58">
        <v>-76443</v>
      </c>
      <c r="N73" s="58">
        <v>-116728</v>
      </c>
      <c r="O73" s="58">
        <v>-285150</v>
      </c>
      <c r="P73" s="58">
        <v>-244235</v>
      </c>
      <c r="Q73" s="58">
        <v>-270019</v>
      </c>
      <c r="R73" s="58">
        <v>-292240</v>
      </c>
      <c r="S73" s="58">
        <v>-70428</v>
      </c>
      <c r="T73" s="58">
        <v>-876922</v>
      </c>
      <c r="U73" s="58">
        <v>-101812</v>
      </c>
      <c r="V73" s="58">
        <v>-182211</v>
      </c>
      <c r="W73" s="58">
        <v>-247931</v>
      </c>
      <c r="X73" s="58">
        <v>-81278</v>
      </c>
      <c r="Y73" s="58">
        <v>-613232</v>
      </c>
      <c r="Z73" s="58">
        <v>-115545</v>
      </c>
      <c r="AA73" s="58">
        <v>-341197</v>
      </c>
    </row>
    <row r="74" spans="2:27" ht="15.75" customHeight="1" x14ac:dyDescent="0.25">
      <c r="B74" s="22" t="s">
        <v>300</v>
      </c>
      <c r="C74" s="56">
        <v>0</v>
      </c>
      <c r="D74" s="56">
        <v>0</v>
      </c>
      <c r="E74" s="56">
        <v>-4425.32</v>
      </c>
      <c r="F74" s="56">
        <v>-54222</v>
      </c>
      <c r="G74" s="56">
        <v>-37825.825355096902</v>
      </c>
      <c r="H74" s="56">
        <v>0</v>
      </c>
      <c r="I74" s="56">
        <v>-1657.1779179984901</v>
      </c>
      <c r="J74" s="56">
        <v>-93478.644289999997</v>
      </c>
      <c r="K74" s="56">
        <v>-35599</v>
      </c>
      <c r="L74" s="56">
        <v>-43743</v>
      </c>
      <c r="M74" s="56">
        <v>-72741</v>
      </c>
      <c r="N74" s="56">
        <v>-112039</v>
      </c>
      <c r="O74" s="56">
        <v>-264122</v>
      </c>
      <c r="P74" s="56">
        <v>-241913</v>
      </c>
      <c r="Q74" s="56">
        <v>-265106</v>
      </c>
      <c r="R74" s="56">
        <v>-286997</v>
      </c>
      <c r="S74" s="56">
        <v>-65183</v>
      </c>
      <c r="T74" s="56">
        <v>-859199</v>
      </c>
      <c r="U74" s="56">
        <v>-99794</v>
      </c>
      <c r="V74" s="56">
        <v>-174445</v>
      </c>
      <c r="W74" s="56">
        <v>-192602</v>
      </c>
      <c r="X74" s="56">
        <v>-24999</v>
      </c>
      <c r="Y74" s="56">
        <v>-491840</v>
      </c>
      <c r="Z74" s="56">
        <v>-63713</v>
      </c>
      <c r="AA74" s="56">
        <v>-193700</v>
      </c>
    </row>
    <row r="75" spans="2:27" ht="16.649999999999999" customHeight="1" x14ac:dyDescent="0.25">
      <c r="B75" s="22" t="s">
        <v>301</v>
      </c>
      <c r="C75" s="56">
        <v>0</v>
      </c>
      <c r="D75" s="56">
        <v>0</v>
      </c>
      <c r="E75" s="56">
        <v>0</v>
      </c>
      <c r="F75" s="56">
        <v>0</v>
      </c>
      <c r="G75" s="56">
        <v>0</v>
      </c>
      <c r="H75" s="56">
        <v>0</v>
      </c>
      <c r="I75" s="56">
        <v>0</v>
      </c>
      <c r="J75" s="56">
        <v>0</v>
      </c>
      <c r="K75" s="56">
        <v>0</v>
      </c>
      <c r="L75" s="56">
        <v>0</v>
      </c>
      <c r="M75" s="56">
        <v>0</v>
      </c>
      <c r="N75" s="56">
        <v>0</v>
      </c>
      <c r="O75" s="56">
        <v>0</v>
      </c>
      <c r="P75" s="56">
        <v>0</v>
      </c>
      <c r="Q75" s="56">
        <v>0</v>
      </c>
      <c r="R75" s="56">
        <v>0</v>
      </c>
      <c r="S75" s="56">
        <v>0</v>
      </c>
      <c r="T75" s="56">
        <v>0</v>
      </c>
      <c r="U75" s="56">
        <v>0</v>
      </c>
      <c r="V75" s="56">
        <v>-1712</v>
      </c>
      <c r="W75" s="56">
        <v>-49977</v>
      </c>
      <c r="X75" s="56">
        <v>-52529</v>
      </c>
      <c r="Y75" s="56">
        <v>-104218</v>
      </c>
      <c r="Z75" s="56">
        <v>-46547</v>
      </c>
      <c r="AA75" s="56">
        <v>-136260</v>
      </c>
    </row>
    <row r="76" spans="2:27" ht="15.75" customHeight="1" x14ac:dyDescent="0.25">
      <c r="B76" s="22" t="s">
        <v>302</v>
      </c>
      <c r="C76" s="56">
        <v>0</v>
      </c>
      <c r="D76" s="56">
        <v>0</v>
      </c>
      <c r="E76" s="56">
        <v>-7162</v>
      </c>
      <c r="F76" s="56">
        <v>-463</v>
      </c>
      <c r="G76" s="56">
        <v>-1842.9474405150399</v>
      </c>
      <c r="H76" s="56">
        <v>-3780</v>
      </c>
      <c r="I76" s="56">
        <v>-5719.8220820015104</v>
      </c>
      <c r="J76" s="56">
        <v>-10969.35571</v>
      </c>
      <c r="K76" s="56">
        <v>-5333</v>
      </c>
      <c r="L76" s="56">
        <v>-7305</v>
      </c>
      <c r="M76" s="56">
        <v>-3702</v>
      </c>
      <c r="N76" s="56">
        <v>-4689</v>
      </c>
      <c r="O76" s="56">
        <v>-21028</v>
      </c>
      <c r="P76" s="56">
        <v>-2322</v>
      </c>
      <c r="Q76" s="56">
        <v>-4913</v>
      </c>
      <c r="R76" s="56">
        <v>-5243</v>
      </c>
      <c r="S76" s="56">
        <v>-5245</v>
      </c>
      <c r="T76" s="56">
        <v>-17723</v>
      </c>
      <c r="U76" s="56">
        <v>-2018</v>
      </c>
      <c r="V76" s="56">
        <v>-6054</v>
      </c>
      <c r="W76" s="56">
        <v>-5352</v>
      </c>
      <c r="X76" s="56">
        <v>-3750</v>
      </c>
      <c r="Y76" s="56">
        <v>-17174</v>
      </c>
      <c r="Z76" s="56">
        <v>-5285</v>
      </c>
      <c r="AA76" s="56">
        <v>-11237</v>
      </c>
    </row>
    <row r="77" spans="2:27" ht="15.75" customHeight="1" x14ac:dyDescent="0.25">
      <c r="B77" s="9" t="s">
        <v>303</v>
      </c>
      <c r="C77" s="58">
        <f>C72+C73</f>
        <v>0</v>
      </c>
      <c r="D77" s="58">
        <v>0</v>
      </c>
      <c r="E77" s="58">
        <v>-4932.4206899999999</v>
      </c>
      <c r="F77" s="58">
        <v>16150.94593</v>
      </c>
      <c r="G77" s="58">
        <v>9344.3179643882104</v>
      </c>
      <c r="H77" s="58">
        <v>-3780</v>
      </c>
      <c r="I77" s="58">
        <v>-7377</v>
      </c>
      <c r="J77" s="58">
        <v>15401.036690000101</v>
      </c>
      <c r="K77" s="58">
        <v>-2674.0147500000198</v>
      </c>
      <c r="L77" s="58">
        <v>-1923.4676899999899</v>
      </c>
      <c r="M77" s="58">
        <v>2407</v>
      </c>
      <c r="N77" s="58">
        <v>2672</v>
      </c>
      <c r="O77" s="58">
        <v>482</v>
      </c>
      <c r="P77" s="58">
        <f t="shared" ref="P77:AA77" si="18">P72+P73</f>
        <v>14386.828299999994</v>
      </c>
      <c r="Q77" s="58">
        <f t="shared" si="18"/>
        <v>22973.228189999994</v>
      </c>
      <c r="R77" s="58">
        <f t="shared" si="18"/>
        <v>40899.03807000001</v>
      </c>
      <c r="S77" s="58">
        <f t="shared" si="18"/>
        <v>6862.6230000000069</v>
      </c>
      <c r="T77" s="58">
        <f t="shared" si="18"/>
        <v>85121.717560000019</v>
      </c>
      <c r="U77" s="58">
        <f t="shared" si="18"/>
        <v>16526</v>
      </c>
      <c r="V77" s="58">
        <f t="shared" si="18"/>
        <v>38979</v>
      </c>
      <c r="W77" s="58">
        <f t="shared" si="18"/>
        <v>32135</v>
      </c>
      <c r="X77" s="58">
        <f t="shared" si="18"/>
        <v>7273</v>
      </c>
      <c r="Y77" s="58">
        <f t="shared" si="18"/>
        <v>94913</v>
      </c>
      <c r="Z77" s="58">
        <f t="shared" si="18"/>
        <v>9472</v>
      </c>
      <c r="AA77" s="58">
        <f t="shared" si="18"/>
        <v>21610</v>
      </c>
    </row>
    <row r="78" spans="2:27" ht="15.75" customHeight="1" x14ac:dyDescent="0.25">
      <c r="B78" s="46" t="s">
        <v>304</v>
      </c>
      <c r="C78" s="47">
        <v>0</v>
      </c>
      <c r="D78" s="47">
        <v>0</v>
      </c>
      <c r="E78" s="47">
        <v>-0.74117134763981896</v>
      </c>
      <c r="F78" s="47">
        <v>0.228004944635882</v>
      </c>
      <c r="G78" s="47">
        <v>0.190649433028904</v>
      </c>
      <c r="H78" s="47">
        <v>0</v>
      </c>
      <c r="I78" s="47">
        <v>0</v>
      </c>
      <c r="J78" s="47">
        <v>0.12850363353220901</v>
      </c>
      <c r="K78" s="47">
        <v>-6.9894290891860902E-2</v>
      </c>
      <c r="L78" s="47">
        <v>-3.91549313459508E-2</v>
      </c>
      <c r="M78" s="47">
        <v>3.05263157894737E-2</v>
      </c>
      <c r="N78" s="47">
        <v>2.2378559463986598E-2</v>
      </c>
      <c r="O78" s="47">
        <v>1.6874859959668401E-3</v>
      </c>
      <c r="P78" s="47">
        <f t="shared" ref="P78:AA78" si="19">P77/P72</f>
        <v>5.5628824506303264E-2</v>
      </c>
      <c r="Q78" s="47">
        <f t="shared" si="19"/>
        <v>7.840900194493311E-2</v>
      </c>
      <c r="R78" s="47">
        <f t="shared" si="19"/>
        <v>0.12276867432572162</v>
      </c>
      <c r="S78" s="47">
        <f t="shared" si="19"/>
        <v>8.8789852295536625E-2</v>
      </c>
      <c r="T78" s="47">
        <f t="shared" si="19"/>
        <v>8.8480092958656234E-2</v>
      </c>
      <c r="U78" s="47">
        <f t="shared" si="19"/>
        <v>0.13965083067146647</v>
      </c>
      <c r="V78" s="47">
        <f t="shared" si="19"/>
        <v>0.17622406076224062</v>
      </c>
      <c r="W78" s="47">
        <f t="shared" si="19"/>
        <v>0.11474081109452772</v>
      </c>
      <c r="X78" s="47">
        <f t="shared" si="19"/>
        <v>8.2133459814118417E-2</v>
      </c>
      <c r="Y78" s="47">
        <f t="shared" si="19"/>
        <v>0.13403045986344606</v>
      </c>
      <c r="Z78" s="47">
        <f t="shared" si="19"/>
        <v>7.5765695865362317E-2</v>
      </c>
      <c r="AA78" s="47">
        <f t="shared" si="19"/>
        <v>5.9563349108479165E-2</v>
      </c>
    </row>
    <row r="79" spans="2:27" ht="15.75" customHeight="1" x14ac:dyDescent="0.25">
      <c r="B79" s="8" t="s">
        <v>305</v>
      </c>
      <c r="C79" s="56">
        <v>0</v>
      </c>
      <c r="D79" s="56">
        <v>0</v>
      </c>
      <c r="E79" s="56">
        <v>0</v>
      </c>
      <c r="F79" s="56">
        <v>0</v>
      </c>
      <c r="G79" s="56">
        <v>0</v>
      </c>
      <c r="H79" s="56">
        <v>0</v>
      </c>
      <c r="I79" s="56">
        <v>0</v>
      </c>
      <c r="J79" s="56">
        <v>0</v>
      </c>
      <c r="K79" s="56">
        <v>0</v>
      </c>
      <c r="L79" s="56">
        <v>0</v>
      </c>
      <c r="M79" s="56">
        <v>3903</v>
      </c>
      <c r="N79" s="56">
        <v>20898</v>
      </c>
      <c r="O79" s="56">
        <v>24801</v>
      </c>
      <c r="P79" s="56">
        <v>-3514</v>
      </c>
      <c r="Q79" s="56">
        <v>-1219</v>
      </c>
      <c r="R79" s="56">
        <v>-13100</v>
      </c>
      <c r="S79" s="56">
        <v>-2862</v>
      </c>
      <c r="T79" s="56">
        <v>-20695</v>
      </c>
      <c r="U79" s="56">
        <v>33079</v>
      </c>
      <c r="V79" s="56">
        <v>-17714</v>
      </c>
      <c r="W79" s="56">
        <v>-15214</v>
      </c>
      <c r="X79" s="56">
        <v>-650</v>
      </c>
      <c r="Y79" s="56">
        <v>-499</v>
      </c>
      <c r="Z79" s="56">
        <v>16670</v>
      </c>
      <c r="AA79" s="56">
        <v>-10881</v>
      </c>
    </row>
    <row r="80" spans="2:27" ht="15.75" customHeight="1" x14ac:dyDescent="0.25">
      <c r="B80" s="9" t="s">
        <v>306</v>
      </c>
      <c r="C80" s="58">
        <v>0</v>
      </c>
      <c r="D80" s="58">
        <v>0</v>
      </c>
      <c r="E80" s="58">
        <v>-4932.4206899999999</v>
      </c>
      <c r="F80" s="58">
        <v>16150.94593</v>
      </c>
      <c r="G80" s="58">
        <v>9344.3179643882104</v>
      </c>
      <c r="H80" s="58">
        <v>-3780</v>
      </c>
      <c r="I80" s="58">
        <v>-7377</v>
      </c>
      <c r="J80" s="58">
        <v>15401.036690000101</v>
      </c>
      <c r="K80" s="58">
        <v>-2674.0147500000198</v>
      </c>
      <c r="L80" s="58">
        <v>-1923.4676899999899</v>
      </c>
      <c r="M80" s="58">
        <v>6310</v>
      </c>
      <c r="N80" s="58">
        <v>23570</v>
      </c>
      <c r="O80" s="58">
        <v>25283</v>
      </c>
      <c r="P80" s="58">
        <f t="shared" ref="P80:AA80" si="20">P77+P79</f>
        <v>10872.828299999994</v>
      </c>
      <c r="Q80" s="58">
        <f t="shared" si="20"/>
        <v>21754.228189999994</v>
      </c>
      <c r="R80" s="58">
        <f t="shared" si="20"/>
        <v>27799.03807000001</v>
      </c>
      <c r="S80" s="58">
        <f t="shared" si="20"/>
        <v>4000.6230000000069</v>
      </c>
      <c r="T80" s="58">
        <f t="shared" si="20"/>
        <v>64426.717560000019</v>
      </c>
      <c r="U80" s="58">
        <f t="shared" si="20"/>
        <v>49605</v>
      </c>
      <c r="V80" s="58">
        <f t="shared" si="20"/>
        <v>21265</v>
      </c>
      <c r="W80" s="58">
        <f t="shared" si="20"/>
        <v>16921</v>
      </c>
      <c r="X80" s="58">
        <f t="shared" si="20"/>
        <v>6623</v>
      </c>
      <c r="Y80" s="58">
        <f t="shared" si="20"/>
        <v>94414</v>
      </c>
      <c r="Z80" s="58">
        <f t="shared" si="20"/>
        <v>26142</v>
      </c>
      <c r="AA80" s="58">
        <f t="shared" si="20"/>
        <v>10729</v>
      </c>
    </row>
    <row r="81" spans="2:27" ht="15.75" customHeight="1" x14ac:dyDescent="0.25">
      <c r="B81" s="43"/>
      <c r="C81" s="84"/>
      <c r="D81" s="84"/>
      <c r="E81" s="84"/>
      <c r="F81" s="84"/>
      <c r="G81" s="84"/>
      <c r="H81" s="84"/>
      <c r="I81" s="84"/>
      <c r="J81" s="84"/>
      <c r="K81" s="84"/>
      <c r="L81" s="84"/>
      <c r="M81" s="84"/>
      <c r="N81" s="84"/>
      <c r="O81" s="84"/>
      <c r="P81" s="84"/>
      <c r="Q81" s="84"/>
      <c r="R81" s="84"/>
      <c r="S81" s="84"/>
      <c r="T81" s="84"/>
      <c r="U81" s="84"/>
      <c r="V81" s="84"/>
      <c r="W81" s="84"/>
      <c r="X81" s="84"/>
      <c r="Y81" s="84"/>
      <c r="Z81" s="84"/>
      <c r="AA81" s="84"/>
    </row>
    <row r="82" spans="2:27" ht="15.75" customHeight="1" x14ac:dyDescent="0.25">
      <c r="B82" s="11" t="s">
        <v>307</v>
      </c>
      <c r="C82" s="75"/>
      <c r="D82" s="75"/>
      <c r="E82" s="75"/>
      <c r="F82" s="75"/>
      <c r="G82" s="75"/>
      <c r="H82" s="75"/>
      <c r="I82" s="75"/>
      <c r="J82" s="75"/>
      <c r="K82" s="75"/>
      <c r="L82" s="75"/>
      <c r="M82" s="75"/>
      <c r="N82" s="75"/>
      <c r="O82" s="75"/>
      <c r="P82" s="75"/>
      <c r="Q82" s="75"/>
      <c r="R82" s="75"/>
      <c r="S82" s="75"/>
      <c r="T82" s="75"/>
      <c r="U82" s="75"/>
      <c r="V82" s="75"/>
      <c r="W82" s="75"/>
      <c r="X82" s="75"/>
      <c r="Y82" s="75"/>
      <c r="Z82" s="75"/>
      <c r="AA82" s="75"/>
    </row>
    <row r="83" spans="2:27" ht="15.75" customHeight="1" x14ac:dyDescent="0.25">
      <c r="B83" s="12" t="s">
        <v>281</v>
      </c>
      <c r="C83" s="67">
        <v>268980.46346</v>
      </c>
      <c r="D83" s="67">
        <v>544816</v>
      </c>
      <c r="E83" s="67">
        <v>1164262.7565299999</v>
      </c>
      <c r="F83" s="67">
        <v>490943.19624999998</v>
      </c>
      <c r="G83" s="67">
        <v>553098.26688999997</v>
      </c>
      <c r="H83" s="67">
        <v>776613.05564999999</v>
      </c>
      <c r="I83" s="67">
        <v>934148.21719</v>
      </c>
      <c r="J83" s="67">
        <v>2754806.2171900002</v>
      </c>
      <c r="K83" s="67">
        <v>1170627.74208</v>
      </c>
      <c r="L83" s="67">
        <v>1373964.6591890401</v>
      </c>
      <c r="M83" s="67">
        <v>1824955</v>
      </c>
      <c r="N83" s="67">
        <v>1555795</v>
      </c>
      <c r="O83" s="67">
        <v>5925344</v>
      </c>
      <c r="P83" s="67">
        <f t="shared" ref="P83:AA83" si="21">P54</f>
        <v>1464378.1717000001</v>
      </c>
      <c r="Q83" s="67">
        <f t="shared" si="21"/>
        <v>1412401.61845</v>
      </c>
      <c r="R83" s="67">
        <f t="shared" si="21"/>
        <v>1359637.9489200001</v>
      </c>
      <c r="S83" s="67">
        <f t="shared" si="21"/>
        <v>1600992.7278799999</v>
      </c>
      <c r="T83" s="67">
        <f t="shared" si="21"/>
        <v>5837410.4669500003</v>
      </c>
      <c r="U83" s="67">
        <f t="shared" si="21"/>
        <v>1493129</v>
      </c>
      <c r="V83" s="67">
        <f t="shared" si="21"/>
        <v>1489907</v>
      </c>
      <c r="W83" s="67">
        <f t="shared" si="21"/>
        <v>1670134</v>
      </c>
      <c r="X83" s="67">
        <f t="shared" si="21"/>
        <v>1616019</v>
      </c>
      <c r="Y83" s="67">
        <f t="shared" si="21"/>
        <v>6269189</v>
      </c>
      <c r="Z83" s="67">
        <f t="shared" si="21"/>
        <v>1649662</v>
      </c>
      <c r="AA83" s="67">
        <f t="shared" si="21"/>
        <v>1961001</v>
      </c>
    </row>
    <row r="84" spans="2:27" ht="15.75" customHeight="1" x14ac:dyDescent="0.25">
      <c r="B84" s="8" t="s">
        <v>298</v>
      </c>
      <c r="C84" s="56">
        <v>0</v>
      </c>
      <c r="D84" s="56">
        <v>0</v>
      </c>
      <c r="E84" s="56">
        <v>6654.8993099999998</v>
      </c>
      <c r="F84" s="56">
        <v>70835.945930000002</v>
      </c>
      <c r="G84" s="56">
        <v>49013.090760000101</v>
      </c>
      <c r="H84" s="56">
        <v>0</v>
      </c>
      <c r="I84" s="56">
        <v>0</v>
      </c>
      <c r="J84" s="56">
        <v>119849.03668999999</v>
      </c>
      <c r="K84" s="56">
        <v>38257.985249999998</v>
      </c>
      <c r="L84" s="56">
        <v>49124.532310000002</v>
      </c>
      <c r="M84" s="56">
        <v>78850</v>
      </c>
      <c r="N84" s="56">
        <v>119400</v>
      </c>
      <c r="O84" s="56">
        <v>285632</v>
      </c>
      <c r="P84" s="56">
        <f t="shared" ref="P84:AA84" si="22">P72</f>
        <v>258621.82829999999</v>
      </c>
      <c r="Q84" s="56">
        <f t="shared" si="22"/>
        <v>292992.22818999999</v>
      </c>
      <c r="R84" s="56">
        <f t="shared" si="22"/>
        <v>333139.03807000001</v>
      </c>
      <c r="S84" s="56">
        <f t="shared" si="22"/>
        <v>77290.623000000007</v>
      </c>
      <c r="T84" s="56">
        <f t="shared" si="22"/>
        <v>962043.71756000002</v>
      </c>
      <c r="U84" s="56">
        <f t="shared" si="22"/>
        <v>118338</v>
      </c>
      <c r="V84" s="56">
        <f t="shared" si="22"/>
        <v>221190</v>
      </c>
      <c r="W84" s="56">
        <f t="shared" si="22"/>
        <v>280066</v>
      </c>
      <c r="X84" s="56">
        <f t="shared" si="22"/>
        <v>88551</v>
      </c>
      <c r="Y84" s="56">
        <f t="shared" si="22"/>
        <v>708145</v>
      </c>
      <c r="Z84" s="56">
        <f t="shared" si="22"/>
        <v>125017</v>
      </c>
      <c r="AA84" s="56">
        <f t="shared" si="22"/>
        <v>362807</v>
      </c>
    </row>
    <row r="85" spans="2:27" ht="15.75" customHeight="1" x14ac:dyDescent="0.25">
      <c r="B85" s="8" t="s">
        <v>308</v>
      </c>
      <c r="C85" s="88">
        <v>21.827227000000001</v>
      </c>
      <c r="D85" s="56">
        <v>20469</v>
      </c>
      <c r="E85" s="56">
        <v>60903</v>
      </c>
      <c r="F85" s="56">
        <v>48391</v>
      </c>
      <c r="G85" s="56">
        <v>59644</v>
      </c>
      <c r="H85" s="56">
        <v>62701</v>
      </c>
      <c r="I85" s="56">
        <v>62316</v>
      </c>
      <c r="J85" s="56">
        <v>233051</v>
      </c>
      <c r="K85" s="56">
        <v>85723</v>
      </c>
      <c r="L85" s="56">
        <v>97223</v>
      </c>
      <c r="M85" s="56">
        <v>111793</v>
      </c>
      <c r="N85" s="56">
        <v>129588</v>
      </c>
      <c r="O85" s="56">
        <v>424326</v>
      </c>
      <c r="P85" s="56">
        <v>163597</v>
      </c>
      <c r="Q85" s="56">
        <v>201346</v>
      </c>
      <c r="R85" s="56">
        <v>198388</v>
      </c>
      <c r="S85" s="56">
        <v>187722</v>
      </c>
      <c r="T85" s="56">
        <v>751052</v>
      </c>
      <c r="U85" s="56">
        <v>210083</v>
      </c>
      <c r="V85" s="56">
        <v>292062</v>
      </c>
      <c r="W85" s="56">
        <v>326834</v>
      </c>
      <c r="X85" s="56">
        <v>265737</v>
      </c>
      <c r="Y85" s="56">
        <v>1094716</v>
      </c>
      <c r="Z85" s="56">
        <v>263163</v>
      </c>
      <c r="AA85" s="56">
        <v>354526</v>
      </c>
    </row>
    <row r="86" spans="2:27" ht="15.75" customHeight="1" x14ac:dyDescent="0.25">
      <c r="B86" s="9" t="s">
        <v>309</v>
      </c>
      <c r="C86" s="58">
        <f>SUM(C83:C85)</f>
        <v>269002.29068699997</v>
      </c>
      <c r="D86" s="58">
        <v>565285</v>
      </c>
      <c r="E86" s="58">
        <v>1231820.6558399999</v>
      </c>
      <c r="F86" s="58">
        <v>610170.14217999997</v>
      </c>
      <c r="G86" s="58">
        <v>661755.35765000002</v>
      </c>
      <c r="H86" s="58">
        <v>839314.05564999999</v>
      </c>
      <c r="I86" s="58">
        <v>996464.21719</v>
      </c>
      <c r="J86" s="58">
        <v>3107706.2538800002</v>
      </c>
      <c r="K86" s="58">
        <v>1294608.7273299999</v>
      </c>
      <c r="L86" s="58">
        <v>1520312.19149904</v>
      </c>
      <c r="M86" s="58">
        <v>2015598</v>
      </c>
      <c r="N86" s="58">
        <v>1804783</v>
      </c>
      <c r="O86" s="58">
        <v>6635302</v>
      </c>
      <c r="P86" s="58">
        <f t="shared" ref="P86:AA86" si="23">P83+P84+P85</f>
        <v>1886597</v>
      </c>
      <c r="Q86" s="58">
        <f t="shared" si="23"/>
        <v>1906739.8466399999</v>
      </c>
      <c r="R86" s="58">
        <f t="shared" si="23"/>
        <v>1891164.9869900001</v>
      </c>
      <c r="S86" s="58">
        <f t="shared" si="23"/>
        <v>1866005.3508799998</v>
      </c>
      <c r="T86" s="58">
        <f t="shared" si="23"/>
        <v>7550506.1845100001</v>
      </c>
      <c r="U86" s="58">
        <f t="shared" si="23"/>
        <v>1821550</v>
      </c>
      <c r="V86" s="58">
        <f t="shared" si="23"/>
        <v>2003159</v>
      </c>
      <c r="W86" s="58">
        <f t="shared" si="23"/>
        <v>2277034</v>
      </c>
      <c r="X86" s="58">
        <f t="shared" si="23"/>
        <v>1970307</v>
      </c>
      <c r="Y86" s="58">
        <f t="shared" si="23"/>
        <v>8072050</v>
      </c>
      <c r="Z86" s="58">
        <f t="shared" si="23"/>
        <v>2037842</v>
      </c>
      <c r="AA86" s="58">
        <f t="shared" si="23"/>
        <v>2678334</v>
      </c>
    </row>
    <row r="87" spans="2:27" ht="15.75" customHeight="1" x14ac:dyDescent="0.25">
      <c r="B87" s="8" t="s">
        <v>310</v>
      </c>
      <c r="C87" s="56">
        <v>-167389</v>
      </c>
      <c r="D87" s="56">
        <v>-311657.59600000002</v>
      </c>
      <c r="E87" s="56">
        <v>-662305.68000000005</v>
      </c>
      <c r="F87" s="56">
        <v>-344812</v>
      </c>
      <c r="G87" s="56">
        <v>-325032.15094080498</v>
      </c>
      <c r="H87" s="56">
        <v>-444418</v>
      </c>
      <c r="I87" s="56">
        <v>-504746</v>
      </c>
      <c r="J87" s="56">
        <v>-1620068</v>
      </c>
      <c r="K87" s="56">
        <v>-645044</v>
      </c>
      <c r="L87" s="56">
        <v>-755610</v>
      </c>
      <c r="M87" s="56">
        <v>-986331</v>
      </c>
      <c r="N87" s="56">
        <v>-965504.27616353298</v>
      </c>
      <c r="O87" s="56">
        <v>-3352491</v>
      </c>
      <c r="P87" s="56">
        <f t="shared" ref="P87:AA87" si="24">P65</f>
        <v>-836326</v>
      </c>
      <c r="Q87" s="56">
        <f t="shared" si="24"/>
        <v>-964295</v>
      </c>
      <c r="R87" s="56">
        <f t="shared" si="24"/>
        <v>-1015495</v>
      </c>
      <c r="S87" s="56">
        <f t="shared" si="24"/>
        <v>-1307763</v>
      </c>
      <c r="T87" s="56">
        <f t="shared" si="24"/>
        <v>-4123879</v>
      </c>
      <c r="U87" s="56">
        <f t="shared" si="24"/>
        <v>-1184892</v>
      </c>
      <c r="V87" s="56">
        <f t="shared" si="24"/>
        <v>-1331953</v>
      </c>
      <c r="W87" s="56">
        <f t="shared" si="24"/>
        <v>-1571303</v>
      </c>
      <c r="X87" s="56">
        <f t="shared" si="24"/>
        <v>-1556539</v>
      </c>
      <c r="Y87" s="56">
        <f t="shared" si="24"/>
        <v>-5644687</v>
      </c>
      <c r="Z87" s="56">
        <f t="shared" si="24"/>
        <v>-1288066</v>
      </c>
      <c r="AA87" s="56">
        <f t="shared" si="24"/>
        <v>-1226685</v>
      </c>
    </row>
    <row r="88" spans="2:27" ht="15.75" customHeight="1" x14ac:dyDescent="0.25">
      <c r="B88" s="8" t="s">
        <v>299</v>
      </c>
      <c r="C88" s="56">
        <v>0</v>
      </c>
      <c r="D88" s="56">
        <v>0</v>
      </c>
      <c r="E88" s="56">
        <v>-11587.32</v>
      </c>
      <c r="F88" s="56">
        <v>-54685</v>
      </c>
      <c r="G88" s="56">
        <v>-39668.772795611898</v>
      </c>
      <c r="H88" s="56">
        <v>-3780</v>
      </c>
      <c r="I88" s="56">
        <v>-7377</v>
      </c>
      <c r="J88" s="56">
        <v>-104448</v>
      </c>
      <c r="K88" s="56">
        <v>-40932</v>
      </c>
      <c r="L88" s="56">
        <v>-51048</v>
      </c>
      <c r="M88" s="56">
        <v>-76443</v>
      </c>
      <c r="N88" s="56">
        <v>-116728</v>
      </c>
      <c r="O88" s="56">
        <v>-285150</v>
      </c>
      <c r="P88" s="56">
        <f t="shared" ref="P88:AA88" si="25">P73</f>
        <v>-244235</v>
      </c>
      <c r="Q88" s="56">
        <f t="shared" si="25"/>
        <v>-270019</v>
      </c>
      <c r="R88" s="56">
        <f t="shared" si="25"/>
        <v>-292240</v>
      </c>
      <c r="S88" s="56">
        <f t="shared" si="25"/>
        <v>-70428</v>
      </c>
      <c r="T88" s="56">
        <f t="shared" si="25"/>
        <v>-876922</v>
      </c>
      <c r="U88" s="56">
        <f t="shared" si="25"/>
        <v>-101812</v>
      </c>
      <c r="V88" s="56">
        <f t="shared" si="25"/>
        <v>-182211</v>
      </c>
      <c r="W88" s="56">
        <f t="shared" si="25"/>
        <v>-247931</v>
      </c>
      <c r="X88" s="56">
        <f t="shared" si="25"/>
        <v>-81278</v>
      </c>
      <c r="Y88" s="56">
        <f t="shared" si="25"/>
        <v>-613232</v>
      </c>
      <c r="Z88" s="56">
        <f t="shared" si="25"/>
        <v>-115545</v>
      </c>
      <c r="AA88" s="56">
        <f t="shared" si="25"/>
        <v>-341197</v>
      </c>
    </row>
    <row r="89" spans="2:27" ht="15.75" customHeight="1" x14ac:dyDescent="0.25">
      <c r="B89" s="8" t="s">
        <v>311</v>
      </c>
      <c r="C89" s="56">
        <v>0</v>
      </c>
      <c r="D89" s="56">
        <v>0</v>
      </c>
      <c r="E89" s="56">
        <v>0</v>
      </c>
      <c r="F89" s="56">
        <v>0</v>
      </c>
      <c r="G89" s="56">
        <v>0</v>
      </c>
      <c r="H89" s="56">
        <v>0</v>
      </c>
      <c r="I89" s="56">
        <v>0</v>
      </c>
      <c r="J89" s="56">
        <v>0</v>
      </c>
      <c r="K89" s="56">
        <v>0</v>
      </c>
      <c r="L89" s="56">
        <v>0</v>
      </c>
      <c r="M89" s="56">
        <v>3903</v>
      </c>
      <c r="N89" s="56">
        <v>20898</v>
      </c>
      <c r="O89" s="56">
        <v>24801</v>
      </c>
      <c r="P89" s="56">
        <f t="shared" ref="P89:AA89" si="26">P79</f>
        <v>-3514</v>
      </c>
      <c r="Q89" s="56">
        <f t="shared" si="26"/>
        <v>-1219</v>
      </c>
      <c r="R89" s="56">
        <f t="shared" si="26"/>
        <v>-13100</v>
      </c>
      <c r="S89" s="56">
        <f t="shared" si="26"/>
        <v>-2862</v>
      </c>
      <c r="T89" s="56">
        <f t="shared" si="26"/>
        <v>-20695</v>
      </c>
      <c r="U89" s="56">
        <f t="shared" si="26"/>
        <v>33079</v>
      </c>
      <c r="V89" s="56">
        <f t="shared" si="26"/>
        <v>-17714</v>
      </c>
      <c r="W89" s="56">
        <f t="shared" si="26"/>
        <v>-15214</v>
      </c>
      <c r="X89" s="56">
        <f t="shared" si="26"/>
        <v>-650</v>
      </c>
      <c r="Y89" s="56">
        <f t="shared" si="26"/>
        <v>-499</v>
      </c>
      <c r="Z89" s="56">
        <f t="shared" si="26"/>
        <v>16670</v>
      </c>
      <c r="AA89" s="56">
        <f t="shared" si="26"/>
        <v>-10881</v>
      </c>
    </row>
    <row r="90" spans="2:27" ht="15.75" customHeight="1" x14ac:dyDescent="0.25">
      <c r="B90" s="9" t="s">
        <v>312</v>
      </c>
      <c r="C90" s="58">
        <f>SUM(C87:C88)</f>
        <v>-167389</v>
      </c>
      <c r="D90" s="58">
        <v>-311657.59600000002</v>
      </c>
      <c r="E90" s="58">
        <v>-673893</v>
      </c>
      <c r="F90" s="58">
        <v>-399497</v>
      </c>
      <c r="G90" s="58">
        <v>-364700.92373641703</v>
      </c>
      <c r="H90" s="58">
        <v>-448198</v>
      </c>
      <c r="I90" s="58">
        <v>-512123</v>
      </c>
      <c r="J90" s="58">
        <v>-1724516</v>
      </c>
      <c r="K90" s="58">
        <v>-685976</v>
      </c>
      <c r="L90" s="58">
        <v>-806658</v>
      </c>
      <c r="M90" s="58">
        <v>-1058871</v>
      </c>
      <c r="N90" s="58">
        <v>-1061334.2761635301</v>
      </c>
      <c r="O90" s="58">
        <v>-3612840</v>
      </c>
      <c r="P90" s="58">
        <f t="shared" ref="P90:AA90" si="27">P87+P88+P89</f>
        <v>-1084075</v>
      </c>
      <c r="Q90" s="58">
        <f t="shared" si="27"/>
        <v>-1235533</v>
      </c>
      <c r="R90" s="58">
        <f t="shared" si="27"/>
        <v>-1320835</v>
      </c>
      <c r="S90" s="58">
        <f t="shared" si="27"/>
        <v>-1381053</v>
      </c>
      <c r="T90" s="58">
        <f t="shared" si="27"/>
        <v>-5021496</v>
      </c>
      <c r="U90" s="58">
        <f t="shared" si="27"/>
        <v>-1253625</v>
      </c>
      <c r="V90" s="58">
        <f t="shared" si="27"/>
        <v>-1531878</v>
      </c>
      <c r="W90" s="58">
        <f t="shared" si="27"/>
        <v>-1834448</v>
      </c>
      <c r="X90" s="58">
        <f t="shared" si="27"/>
        <v>-1638467</v>
      </c>
      <c r="Y90" s="58">
        <f t="shared" si="27"/>
        <v>-6258418</v>
      </c>
      <c r="Z90" s="58">
        <f t="shared" si="27"/>
        <v>-1386941</v>
      </c>
      <c r="AA90" s="58">
        <f t="shared" si="27"/>
        <v>-1578763</v>
      </c>
    </row>
    <row r="91" spans="2:27" ht="15.75" customHeight="1" x14ac:dyDescent="0.25">
      <c r="B91" s="9" t="s">
        <v>313</v>
      </c>
      <c r="C91" s="58">
        <f>C86+C90</f>
        <v>101613.29068699997</v>
      </c>
      <c r="D91" s="58">
        <v>253627.40400000001</v>
      </c>
      <c r="E91" s="58">
        <v>557927.65584000002</v>
      </c>
      <c r="F91" s="58">
        <v>210673.14218</v>
      </c>
      <c r="G91" s="58">
        <v>297054.43391358299</v>
      </c>
      <c r="H91" s="58">
        <v>391116.05564999999</v>
      </c>
      <c r="I91" s="58">
        <v>484341.21719</v>
      </c>
      <c r="J91" s="58">
        <v>1383190.25388</v>
      </c>
      <c r="K91" s="58">
        <v>608632.72733000002</v>
      </c>
      <c r="L91" s="58">
        <v>713654.19149904</v>
      </c>
      <c r="M91" s="58">
        <v>956727</v>
      </c>
      <c r="N91" s="58">
        <v>743448.72383646702</v>
      </c>
      <c r="O91" s="58">
        <v>3022462</v>
      </c>
      <c r="P91" s="58">
        <f t="shared" ref="P91:AA91" si="28">P86+P90</f>
        <v>802522</v>
      </c>
      <c r="Q91" s="58">
        <f t="shared" si="28"/>
        <v>671206.84663999989</v>
      </c>
      <c r="R91" s="58">
        <f t="shared" si="28"/>
        <v>570329.98699000012</v>
      </c>
      <c r="S91" s="58">
        <f t="shared" si="28"/>
        <v>484952.35087999981</v>
      </c>
      <c r="T91" s="58">
        <f t="shared" si="28"/>
        <v>2529010.1845100001</v>
      </c>
      <c r="U91" s="58">
        <f t="shared" si="28"/>
        <v>567925</v>
      </c>
      <c r="V91" s="58">
        <f t="shared" si="28"/>
        <v>471281</v>
      </c>
      <c r="W91" s="58">
        <f t="shared" si="28"/>
        <v>442586</v>
      </c>
      <c r="X91" s="58">
        <f t="shared" si="28"/>
        <v>331840</v>
      </c>
      <c r="Y91" s="58">
        <f t="shared" si="28"/>
        <v>1813632</v>
      </c>
      <c r="Z91" s="58">
        <f t="shared" si="28"/>
        <v>650901</v>
      </c>
      <c r="AA91" s="58">
        <f t="shared" si="28"/>
        <v>1099571</v>
      </c>
    </row>
    <row r="92" spans="2:27" ht="15.75" customHeight="1" x14ac:dyDescent="0.25">
      <c r="B92" s="46" t="s">
        <v>314</v>
      </c>
      <c r="C92" s="47">
        <f>C91/C86</f>
        <v>0.3777413583634982</v>
      </c>
      <c r="D92" s="47">
        <v>0.44867173903429303</v>
      </c>
      <c r="E92" s="47">
        <v>0.45292929063568899</v>
      </c>
      <c r="F92" s="47">
        <v>0.34526950372778398</v>
      </c>
      <c r="G92" s="47">
        <v>0.44888859678971299</v>
      </c>
      <c r="H92" s="47">
        <v>0.46599488358038199</v>
      </c>
      <c r="I92" s="47">
        <v>0.48605981914315799</v>
      </c>
      <c r="J92" s="47">
        <v>0.44508397540889699</v>
      </c>
      <c r="K92" s="47">
        <v>0.47012870721584199</v>
      </c>
      <c r="L92" s="47">
        <v>0.46941292419379399</v>
      </c>
      <c r="M92" s="47">
        <v>0.47466161407185398</v>
      </c>
      <c r="N92" s="47">
        <v>0.41193247267758298</v>
      </c>
      <c r="O92" s="47">
        <v>0.455512348948096</v>
      </c>
      <c r="P92" s="47">
        <f t="shared" ref="P92:AA92" si="29">P91/P86</f>
        <v>0.42538072518932235</v>
      </c>
      <c r="Q92" s="47">
        <f t="shared" si="29"/>
        <v>0.352018052081295</v>
      </c>
      <c r="R92" s="47">
        <f t="shared" si="29"/>
        <v>0.30157600786473099</v>
      </c>
      <c r="S92" s="47">
        <f t="shared" si="29"/>
        <v>0.25988797441084421</v>
      </c>
      <c r="T92" s="47">
        <f t="shared" si="29"/>
        <v>0.33494578015157583</v>
      </c>
      <c r="U92" s="47">
        <f t="shared" si="29"/>
        <v>0.31178117537262223</v>
      </c>
      <c r="V92" s="47">
        <f t="shared" si="29"/>
        <v>0.23526889278384791</v>
      </c>
      <c r="W92" s="47">
        <f t="shared" si="29"/>
        <v>0.19436951753904422</v>
      </c>
      <c r="X92" s="47">
        <f t="shared" si="29"/>
        <v>0.16842045427438465</v>
      </c>
      <c r="Y92" s="47">
        <f t="shared" si="29"/>
        <v>0.22468047150352141</v>
      </c>
      <c r="Z92" s="47">
        <f t="shared" si="29"/>
        <v>0.31940700015015883</v>
      </c>
      <c r="AA92" s="47">
        <f t="shared" si="29"/>
        <v>0.4105428971890735</v>
      </c>
    </row>
    <row r="93" spans="2:27" ht="15.75" customHeight="1" x14ac:dyDescent="0.25">
      <c r="B93" s="43"/>
      <c r="C93" s="84"/>
      <c r="D93" s="84"/>
      <c r="E93" s="84"/>
      <c r="F93" s="84"/>
      <c r="G93" s="84"/>
      <c r="H93" s="84"/>
      <c r="I93" s="84"/>
      <c r="J93" s="84"/>
      <c r="K93" s="84"/>
      <c r="L93" s="84"/>
      <c r="M93" s="84"/>
      <c r="N93" s="84"/>
      <c r="O93" s="84"/>
      <c r="P93" s="84"/>
      <c r="Q93" s="84"/>
      <c r="R93" s="84"/>
      <c r="S93" s="84"/>
      <c r="T93" s="84"/>
      <c r="U93" s="84"/>
      <c r="V93" s="84"/>
      <c r="W93" s="84"/>
      <c r="X93" s="84"/>
      <c r="Y93" s="84"/>
      <c r="Z93" s="84"/>
      <c r="AA93" s="84"/>
    </row>
    <row r="94" spans="2:27" ht="15.75" customHeight="1" x14ac:dyDescent="0.25">
      <c r="B94" s="11" t="s">
        <v>315</v>
      </c>
      <c r="C94" s="75"/>
      <c r="D94" s="75"/>
      <c r="E94" s="75"/>
      <c r="F94" s="75"/>
      <c r="G94" s="75"/>
      <c r="H94" s="75"/>
      <c r="I94" s="75"/>
      <c r="J94" s="75"/>
      <c r="K94" s="75"/>
      <c r="L94" s="75"/>
      <c r="M94" s="75"/>
      <c r="N94" s="75"/>
      <c r="O94" s="75"/>
      <c r="P94" s="75"/>
      <c r="Q94" s="75"/>
      <c r="R94" s="75"/>
      <c r="S94" s="75"/>
      <c r="T94" s="75"/>
      <c r="U94" s="75"/>
      <c r="V94" s="75"/>
      <c r="W94" s="75"/>
      <c r="X94" s="75"/>
      <c r="Y94" s="75"/>
      <c r="Z94" s="75"/>
      <c r="AA94" s="75"/>
    </row>
    <row r="95" spans="2:27" ht="15.75" customHeight="1" x14ac:dyDescent="0.25">
      <c r="B95" s="44" t="s">
        <v>316</v>
      </c>
      <c r="C95" s="85">
        <f>C96+C97</f>
        <v>137858.86827349989</v>
      </c>
      <c r="D95" s="85">
        <f>D96+D97</f>
        <v>257899</v>
      </c>
      <c r="E95" s="85">
        <v>516557.84005700098</v>
      </c>
      <c r="F95" s="85">
        <f>F96+F97</f>
        <v>263237.83400000003</v>
      </c>
      <c r="G95" s="85">
        <f>G96+G97</f>
        <v>246105.22200000001</v>
      </c>
      <c r="H95" s="85">
        <v>291566.04599999997</v>
      </c>
      <c r="I95" s="85">
        <f t="shared" ref="I95:AA95" si="30">I96+I97</f>
        <v>307537.57</v>
      </c>
      <c r="J95" s="85">
        <f t="shared" si="30"/>
        <v>1108446.672</v>
      </c>
      <c r="K95" s="85">
        <f t="shared" si="30"/>
        <v>317549.14499999903</v>
      </c>
      <c r="L95" s="85">
        <f t="shared" si="30"/>
        <v>324991.05299999798</v>
      </c>
      <c r="M95" s="85">
        <f t="shared" si="30"/>
        <v>405927.4</v>
      </c>
      <c r="N95" s="85">
        <f t="shared" si="30"/>
        <v>367334.864</v>
      </c>
      <c r="O95" s="85">
        <f t="shared" si="30"/>
        <v>1415802.461999997</v>
      </c>
      <c r="P95" s="85">
        <f t="shared" si="30"/>
        <v>306791.70776000002</v>
      </c>
      <c r="Q95" s="85">
        <f t="shared" si="30"/>
        <v>352837.59539999999</v>
      </c>
      <c r="R95" s="85">
        <f t="shared" si="30"/>
        <v>362709.25899999996</v>
      </c>
      <c r="S95" s="85">
        <f t="shared" si="30"/>
        <v>433877.66333100002</v>
      </c>
      <c r="T95" s="85">
        <f t="shared" si="30"/>
        <v>1456216.2254909999</v>
      </c>
      <c r="U95" s="85">
        <f t="shared" si="30"/>
        <v>394045.239</v>
      </c>
      <c r="V95" s="85">
        <f t="shared" si="30"/>
        <v>475200.12583500001</v>
      </c>
      <c r="W95" s="85">
        <f t="shared" si="30"/>
        <v>597956.71499999997</v>
      </c>
      <c r="X95" s="85">
        <f t="shared" si="30"/>
        <v>602356.63928</v>
      </c>
      <c r="Y95" s="85">
        <f t="shared" si="30"/>
        <v>2069558.719115</v>
      </c>
      <c r="Z95" s="85">
        <f t="shared" si="30"/>
        <v>527653.00156</v>
      </c>
      <c r="AA95" s="85">
        <f t="shared" si="30"/>
        <v>581362.93834799994</v>
      </c>
    </row>
    <row r="96" spans="2:27" ht="15.75" customHeight="1" x14ac:dyDescent="0.25">
      <c r="B96" s="22" t="s">
        <v>317</v>
      </c>
      <c r="C96" s="57">
        <f>46.9952789248*1000</f>
        <v>46995.278924799997</v>
      </c>
      <c r="D96" s="57">
        <v>183007</v>
      </c>
      <c r="E96" s="57">
        <v>315635.88781700103</v>
      </c>
      <c r="F96" s="57">
        <v>93339.274999999994</v>
      </c>
      <c r="G96" s="57">
        <v>101602.67600000001</v>
      </c>
      <c r="H96" s="57">
        <v>100281.735</v>
      </c>
      <c r="I96" s="57">
        <v>105761.14</v>
      </c>
      <c r="J96" s="57">
        <v>400984.826</v>
      </c>
      <c r="K96" s="57">
        <v>127665.080999999</v>
      </c>
      <c r="L96" s="57">
        <v>164301.82899999799</v>
      </c>
      <c r="M96" s="57">
        <v>200345.68799999999</v>
      </c>
      <c r="N96" s="57">
        <v>148761.51199999999</v>
      </c>
      <c r="O96" s="57">
        <f>SUM(K96:N96)</f>
        <v>641074.10999999696</v>
      </c>
      <c r="P96" s="57">
        <v>149637.40895899999</v>
      </c>
      <c r="Q96" s="57">
        <v>211801.93239999999</v>
      </c>
      <c r="R96" s="57">
        <v>187779.78599999999</v>
      </c>
      <c r="S96" s="57">
        <v>258150.58133099999</v>
      </c>
      <c r="T96" s="57">
        <v>807369.70869</v>
      </c>
      <c r="U96" s="57">
        <v>234898.489</v>
      </c>
      <c r="V96" s="57">
        <v>282051.349835</v>
      </c>
      <c r="W96" s="57">
        <v>278648.33399999997</v>
      </c>
      <c r="X96" s="57">
        <v>244988.24799999999</v>
      </c>
      <c r="Y96" s="57">
        <v>1040586.420835</v>
      </c>
      <c r="Z96" s="57">
        <v>251080.50946</v>
      </c>
      <c r="AA96" s="57">
        <v>310570.94543800002</v>
      </c>
    </row>
    <row r="97" spans="2:27" ht="15.75" customHeight="1" x14ac:dyDescent="0.25">
      <c r="B97" s="22" t="s">
        <v>318</v>
      </c>
      <c r="C97" s="57">
        <f>90.8635893486999*1000</f>
        <v>90863.589348699898</v>
      </c>
      <c r="D97" s="57">
        <v>74892</v>
      </c>
      <c r="E97" s="57">
        <v>200921.95224000001</v>
      </c>
      <c r="F97" s="57">
        <v>169898.55900000001</v>
      </c>
      <c r="G97" s="57">
        <v>144502.546</v>
      </c>
      <c r="H97" s="57">
        <v>191284.31099999999</v>
      </c>
      <c r="I97" s="57">
        <v>201776.43</v>
      </c>
      <c r="J97" s="57">
        <v>707461.84600000002</v>
      </c>
      <c r="K97" s="57">
        <v>189884.06400000001</v>
      </c>
      <c r="L97" s="57">
        <v>160689.22399999999</v>
      </c>
      <c r="M97" s="57">
        <v>205581.712</v>
      </c>
      <c r="N97" s="57">
        <v>218573.35200000001</v>
      </c>
      <c r="O97" s="57">
        <f>SUM(K97:N97)</f>
        <v>774728.35199999996</v>
      </c>
      <c r="P97" s="57">
        <v>157154.298801</v>
      </c>
      <c r="Q97" s="57">
        <v>141035.663</v>
      </c>
      <c r="R97" s="57">
        <v>174929.473</v>
      </c>
      <c r="S97" s="57">
        <v>175727.08199999999</v>
      </c>
      <c r="T97" s="57">
        <v>648846.51680099999</v>
      </c>
      <c r="U97" s="57">
        <v>159146.75</v>
      </c>
      <c r="V97" s="57">
        <v>193148.77600000001</v>
      </c>
      <c r="W97" s="57">
        <v>319308.38099999999</v>
      </c>
      <c r="X97" s="57">
        <v>357368.39127999998</v>
      </c>
      <c r="Y97" s="57">
        <v>1028972.29828</v>
      </c>
      <c r="Z97" s="57">
        <v>276572.49209999997</v>
      </c>
      <c r="AA97" s="57">
        <v>270791.99290999997</v>
      </c>
    </row>
    <row r="98" spans="2:27" ht="15.75" customHeight="1" x14ac:dyDescent="0.25">
      <c r="B98" s="20" t="s">
        <v>319</v>
      </c>
      <c r="C98" s="83">
        <f>C96/C95</f>
        <v>0.34089412972378019</v>
      </c>
      <c r="D98" s="83">
        <f>D96/D95</f>
        <v>0.70960724934955155</v>
      </c>
      <c r="E98" s="83">
        <v>0.61103687397750295</v>
      </c>
      <c r="F98" s="83">
        <f t="shared" ref="F98:AA98" si="31">F96/F95</f>
        <v>0.35458153405106646</v>
      </c>
      <c r="G98" s="83">
        <f t="shared" si="31"/>
        <v>0.41284242233592267</v>
      </c>
      <c r="H98" s="83">
        <f t="shared" si="31"/>
        <v>0.34394174622102608</v>
      </c>
      <c r="I98" s="83">
        <f t="shared" si="31"/>
        <v>0.34389664976542539</v>
      </c>
      <c r="J98" s="83">
        <f t="shared" si="31"/>
        <v>0.36175382734154665</v>
      </c>
      <c r="K98" s="83">
        <f t="shared" si="31"/>
        <v>0.40203251373893445</v>
      </c>
      <c r="L98" s="83">
        <f t="shared" si="31"/>
        <v>0.50555800685380414</v>
      </c>
      <c r="M98" s="83">
        <f t="shared" si="31"/>
        <v>0.49355054130369119</v>
      </c>
      <c r="N98" s="83">
        <f t="shared" si="31"/>
        <v>0.40497520540277382</v>
      </c>
      <c r="O98" s="83">
        <f t="shared" si="31"/>
        <v>0.4527991207858193</v>
      </c>
      <c r="P98" s="47">
        <f t="shared" si="31"/>
        <v>0.48774919652019993</v>
      </c>
      <c r="Q98" s="47">
        <f t="shared" si="31"/>
        <v>0.6002816456106026</v>
      </c>
      <c r="R98" s="47">
        <f t="shared" si="31"/>
        <v>0.51771434376314063</v>
      </c>
      <c r="S98" s="47">
        <f t="shared" si="31"/>
        <v>0.59498472299566163</v>
      </c>
      <c r="T98" s="47">
        <f t="shared" si="31"/>
        <v>0.5544298261185594</v>
      </c>
      <c r="U98" s="47">
        <f t="shared" si="31"/>
        <v>0.59612061192801269</v>
      </c>
      <c r="V98" s="47">
        <f t="shared" si="31"/>
        <v>0.59354224567889624</v>
      </c>
      <c r="W98" s="47">
        <f t="shared" si="31"/>
        <v>0.46600084422498705</v>
      </c>
      <c r="X98" s="47">
        <f t="shared" si="31"/>
        <v>0.40671627408778244</v>
      </c>
      <c r="Y98" s="47">
        <f t="shared" si="31"/>
        <v>0.50280594178066296</v>
      </c>
      <c r="Z98" s="47">
        <f t="shared" si="31"/>
        <v>0.47584398973886888</v>
      </c>
      <c r="AA98" s="47">
        <f t="shared" si="31"/>
        <v>0.5342118063468545</v>
      </c>
    </row>
    <row r="99" spans="2:27" ht="15.75" customHeight="1" x14ac:dyDescent="0.25">
      <c r="B99" s="9" t="s">
        <v>320</v>
      </c>
      <c r="C99" s="29"/>
      <c r="D99" s="29"/>
      <c r="E99" s="29"/>
      <c r="F99" s="29"/>
      <c r="G99" s="29"/>
      <c r="H99" s="29"/>
      <c r="I99" s="29"/>
      <c r="J99" s="29"/>
      <c r="K99" s="29"/>
      <c r="L99" s="29"/>
      <c r="M99" s="29"/>
      <c r="N99" s="29"/>
      <c r="O99" s="29"/>
      <c r="P99" s="29"/>
      <c r="Q99" s="29"/>
      <c r="R99" s="29"/>
      <c r="S99" s="29"/>
      <c r="T99" s="29"/>
      <c r="U99" s="29"/>
      <c r="V99" s="29"/>
      <c r="W99" s="29"/>
      <c r="X99" s="29"/>
      <c r="Y99" s="29"/>
      <c r="Z99" s="29"/>
      <c r="AA99" s="29"/>
    </row>
    <row r="100" spans="2:27" ht="15.75" customHeight="1" x14ac:dyDescent="0.25">
      <c r="B100" s="22" t="s">
        <v>250</v>
      </c>
      <c r="C100" s="57">
        <f>30.700311*1000</f>
        <v>30700.310999999998</v>
      </c>
      <c r="D100" s="57">
        <v>61823</v>
      </c>
      <c r="E100" s="57">
        <v>123382.343081731</v>
      </c>
      <c r="F100" s="57">
        <v>61829.86</v>
      </c>
      <c r="G100" s="57">
        <v>78217.930999999997</v>
      </c>
      <c r="H100" s="57">
        <v>73376.251999999993</v>
      </c>
      <c r="I100" s="57">
        <v>64198.5</v>
      </c>
      <c r="J100" s="57">
        <v>277622.54300000001</v>
      </c>
      <c r="K100" s="57">
        <v>99348.160999999993</v>
      </c>
      <c r="L100" s="57">
        <v>95001.8</v>
      </c>
      <c r="M100" s="57">
        <v>83208.904999999999</v>
      </c>
      <c r="N100" s="57">
        <v>100064.967</v>
      </c>
      <c r="O100" s="57">
        <v>377623.83299999998</v>
      </c>
      <c r="P100" s="57">
        <v>82561.59</v>
      </c>
      <c r="Q100" s="57">
        <v>97499.14</v>
      </c>
      <c r="R100" s="57">
        <v>87105.033999000007</v>
      </c>
      <c r="S100" s="57">
        <v>94821.532000000007</v>
      </c>
      <c r="T100" s="57">
        <v>361987.29599900002</v>
      </c>
      <c r="U100" s="57">
        <v>100662.526</v>
      </c>
      <c r="V100" s="57">
        <v>131962.25</v>
      </c>
      <c r="W100" s="57">
        <v>132870.71340000001</v>
      </c>
      <c r="X100" s="57">
        <v>130903.874</v>
      </c>
      <c r="Y100" s="57">
        <v>496399.36339999997</v>
      </c>
      <c r="Z100" s="57">
        <v>135380.64000000001</v>
      </c>
      <c r="AA100" s="57">
        <v>128522.36599999999</v>
      </c>
    </row>
    <row r="101" spans="2:27" ht="15.75" customHeight="1" x14ac:dyDescent="0.25">
      <c r="B101" s="22" t="s">
        <v>251</v>
      </c>
      <c r="C101" s="57">
        <f>37.539421*1000</f>
        <v>37539.420999999995</v>
      </c>
      <c r="D101" s="57">
        <v>68083</v>
      </c>
      <c r="E101" s="57">
        <v>140954.179007186</v>
      </c>
      <c r="F101" s="57">
        <v>66681.97</v>
      </c>
      <c r="G101" s="57">
        <v>73364.320000000007</v>
      </c>
      <c r="H101" s="57">
        <v>71655.740000000005</v>
      </c>
      <c r="I101" s="57">
        <v>74175.440999999904</v>
      </c>
      <c r="J101" s="57">
        <v>285877.47100000002</v>
      </c>
      <c r="K101" s="57">
        <v>76614.52</v>
      </c>
      <c r="L101" s="57">
        <v>79718.13</v>
      </c>
      <c r="M101" s="57">
        <v>69671.33</v>
      </c>
      <c r="N101" s="57">
        <v>68292.793000000005</v>
      </c>
      <c r="O101" s="57">
        <v>294296.77299999999</v>
      </c>
      <c r="P101" s="57">
        <v>76294.77</v>
      </c>
      <c r="Q101" s="57">
        <v>85926.87</v>
      </c>
      <c r="R101" s="57">
        <v>75977.33</v>
      </c>
      <c r="S101" s="57">
        <v>79323.92</v>
      </c>
      <c r="T101" s="57">
        <v>317522.89</v>
      </c>
      <c r="U101" s="57">
        <v>89187.142000000007</v>
      </c>
      <c r="V101" s="57">
        <v>99616.120999999999</v>
      </c>
      <c r="W101" s="57">
        <v>100058.31301</v>
      </c>
      <c r="X101" s="57">
        <v>106396.07</v>
      </c>
      <c r="Y101" s="57">
        <v>395257.64601000003</v>
      </c>
      <c r="Z101" s="57">
        <v>122141.84</v>
      </c>
      <c r="AA101" s="57">
        <v>131475.78</v>
      </c>
    </row>
    <row r="102" spans="2:27" ht="15.75" customHeight="1" x14ac:dyDescent="0.25">
      <c r="B102" s="22" t="s">
        <v>252</v>
      </c>
      <c r="C102" s="57">
        <f>50.59576*1000</f>
        <v>50595.76</v>
      </c>
      <c r="D102" s="57">
        <v>107708</v>
      </c>
      <c r="E102" s="57">
        <v>203154.970104668</v>
      </c>
      <c r="F102" s="57">
        <v>95754.769999999902</v>
      </c>
      <c r="G102" s="57">
        <v>82231.320000000007</v>
      </c>
      <c r="H102" s="57">
        <v>87459.61</v>
      </c>
      <c r="I102" s="57">
        <v>90434.03</v>
      </c>
      <c r="J102" s="57">
        <v>355879.73</v>
      </c>
      <c r="K102" s="57">
        <v>130633.70699999999</v>
      </c>
      <c r="L102" s="57">
        <v>141663.34</v>
      </c>
      <c r="M102" s="57">
        <v>133311.96299999999</v>
      </c>
      <c r="N102" s="57">
        <v>120852.63</v>
      </c>
      <c r="O102" s="57">
        <v>526461.64</v>
      </c>
      <c r="P102" s="57">
        <v>128918.5</v>
      </c>
      <c r="Q102" s="57">
        <v>162230.29999999999</v>
      </c>
      <c r="R102" s="57">
        <v>138139.06</v>
      </c>
      <c r="S102" s="57">
        <v>115628.2</v>
      </c>
      <c r="T102" s="57">
        <v>544916.06000000006</v>
      </c>
      <c r="U102" s="57">
        <v>180492.62</v>
      </c>
      <c r="V102" s="57">
        <v>201037.67</v>
      </c>
      <c r="W102" s="57">
        <v>174777.5018</v>
      </c>
      <c r="X102" s="57">
        <v>170377.02</v>
      </c>
      <c r="Y102" s="57">
        <v>726684.81180000002</v>
      </c>
      <c r="Z102" s="57">
        <v>221570.16800000001</v>
      </c>
      <c r="AA102" s="57">
        <v>234946.38</v>
      </c>
    </row>
    <row r="103" spans="2:27" ht="15.75" customHeight="1" x14ac:dyDescent="0.25">
      <c r="B103" s="50" t="s">
        <v>321</v>
      </c>
      <c r="C103" s="57">
        <f>C102+C101+C100</f>
        <v>118835.492</v>
      </c>
      <c r="D103" s="57">
        <v>237614</v>
      </c>
      <c r="E103" s="57">
        <v>467491.49219358503</v>
      </c>
      <c r="F103" s="57">
        <v>224266.6</v>
      </c>
      <c r="G103" s="57">
        <v>233813.571</v>
      </c>
      <c r="H103" s="57">
        <v>232491.60200000001</v>
      </c>
      <c r="I103" s="57">
        <v>228807.97099999999</v>
      </c>
      <c r="J103" s="57">
        <v>919379.74399999995</v>
      </c>
      <c r="K103" s="57">
        <v>306596.38799999998</v>
      </c>
      <c r="L103" s="57">
        <v>316383.27</v>
      </c>
      <c r="M103" s="57">
        <v>286192.19799999997</v>
      </c>
      <c r="N103" s="57">
        <v>289210.39</v>
      </c>
      <c r="O103" s="57">
        <v>1198382.246</v>
      </c>
      <c r="P103" s="57">
        <v>287774.86</v>
      </c>
      <c r="Q103" s="57">
        <v>345656.31</v>
      </c>
      <c r="R103" s="57">
        <v>301221.42399899999</v>
      </c>
      <c r="S103" s="57">
        <v>289773.652</v>
      </c>
      <c r="T103" s="57">
        <v>1224426.245999</v>
      </c>
      <c r="U103" s="57">
        <v>370342.288</v>
      </c>
      <c r="V103" s="57">
        <v>432616.04100000003</v>
      </c>
      <c r="W103" s="57">
        <v>407706.52821000002</v>
      </c>
      <c r="X103" s="57">
        <v>407676.96399999998</v>
      </c>
      <c r="Y103" s="57">
        <v>1618341.82121</v>
      </c>
      <c r="Z103" s="57">
        <v>479092.64799999999</v>
      </c>
      <c r="AA103" s="57">
        <v>494944.52600000001</v>
      </c>
    </row>
    <row r="104" spans="2:27" ht="15.75" customHeight="1" x14ac:dyDescent="0.25">
      <c r="B104" s="50" t="s">
        <v>322</v>
      </c>
      <c r="C104" s="57">
        <f>2.6636*1000</f>
        <v>2663.6000000000004</v>
      </c>
      <c r="D104" s="57">
        <v>7304</v>
      </c>
      <c r="E104" s="57">
        <v>15039.06</v>
      </c>
      <c r="F104" s="57">
        <v>7616.8909999999996</v>
      </c>
      <c r="G104" s="57">
        <v>8467.2559999999994</v>
      </c>
      <c r="H104" s="57">
        <v>8902.67</v>
      </c>
      <c r="I104" s="57">
        <v>8502.8500000000095</v>
      </c>
      <c r="J104" s="57">
        <v>33489.667000000001</v>
      </c>
      <c r="K104" s="57">
        <v>10410.81</v>
      </c>
      <c r="L104" s="57">
        <v>11616.005999999999</v>
      </c>
      <c r="M104" s="57">
        <v>11696.62</v>
      </c>
      <c r="N104" s="57">
        <v>10886.191999999999</v>
      </c>
      <c r="O104" s="57">
        <v>44609.627999999997</v>
      </c>
      <c r="P104" s="57">
        <v>9514.98</v>
      </c>
      <c r="Q104" s="57">
        <v>13332.22</v>
      </c>
      <c r="R104" s="57">
        <v>13475.96</v>
      </c>
      <c r="S104" s="57">
        <v>13619.004999999999</v>
      </c>
      <c r="T104" s="57">
        <v>49942.165000000001</v>
      </c>
      <c r="U104" s="57">
        <v>15454.38</v>
      </c>
      <c r="V104" s="57">
        <v>18047.48</v>
      </c>
      <c r="W104" s="57">
        <v>22280.49</v>
      </c>
      <c r="X104" s="57">
        <v>23309.7</v>
      </c>
      <c r="Y104" s="57">
        <v>79092.05</v>
      </c>
      <c r="Z104" s="57">
        <v>21549.074000000001</v>
      </c>
      <c r="AA104" s="57">
        <v>24801.91</v>
      </c>
    </row>
    <row r="105" spans="2:27" ht="15.75" customHeight="1" x14ac:dyDescent="0.25">
      <c r="B105" s="9" t="s">
        <v>323</v>
      </c>
      <c r="C105" s="58">
        <v>28826</v>
      </c>
      <c r="D105" s="58">
        <v>40863.42</v>
      </c>
      <c r="E105" s="58">
        <v>72200</v>
      </c>
      <c r="F105" s="58">
        <v>28018.008000000002</v>
      </c>
      <c r="G105" s="58">
        <v>29472</v>
      </c>
      <c r="H105" s="58">
        <v>45687</v>
      </c>
      <c r="I105" s="58">
        <v>47629.08</v>
      </c>
      <c r="J105" s="58">
        <v>150806.08799999999</v>
      </c>
      <c r="K105" s="58">
        <v>40200</v>
      </c>
      <c r="L105" s="58">
        <v>39818.400000000001</v>
      </c>
      <c r="M105" s="58">
        <v>46296</v>
      </c>
      <c r="N105" s="58">
        <v>56117.760000000002</v>
      </c>
      <c r="O105" s="58">
        <v>182432.16</v>
      </c>
      <c r="P105" s="58">
        <v>12754.7</v>
      </c>
      <c r="Q105" s="58">
        <v>14486.712</v>
      </c>
      <c r="R105" s="58">
        <v>21162</v>
      </c>
      <c r="S105" s="58">
        <v>20928</v>
      </c>
      <c r="T105" s="58">
        <v>69331.411999999997</v>
      </c>
      <c r="U105" s="58">
        <v>22608</v>
      </c>
      <c r="V105" s="58">
        <v>21784</v>
      </c>
      <c r="W105" s="58">
        <v>36927.760000000002</v>
      </c>
      <c r="X105" s="58">
        <v>28366.694</v>
      </c>
      <c r="Y105" s="58">
        <v>109686.454</v>
      </c>
      <c r="Z105" s="58">
        <v>37344</v>
      </c>
      <c r="AA105" s="58">
        <v>34218</v>
      </c>
    </row>
    <row r="106" spans="2:27" ht="15.75" customHeight="1" x14ac:dyDescent="0.25">
      <c r="B106" s="9" t="s">
        <v>324</v>
      </c>
      <c r="C106" s="58">
        <v>0</v>
      </c>
      <c r="D106" s="58">
        <v>0</v>
      </c>
      <c r="E106" s="58">
        <v>0</v>
      </c>
      <c r="F106" s="58">
        <v>0</v>
      </c>
      <c r="G106" s="58">
        <v>0</v>
      </c>
      <c r="H106" s="58">
        <v>0</v>
      </c>
      <c r="I106" s="58">
        <v>0</v>
      </c>
      <c r="J106" s="58">
        <v>0</v>
      </c>
      <c r="K106" s="58">
        <v>0</v>
      </c>
      <c r="L106" s="58">
        <v>0</v>
      </c>
      <c r="M106" s="58">
        <v>0</v>
      </c>
      <c r="N106" s="58">
        <v>0</v>
      </c>
      <c r="O106" s="58">
        <v>0</v>
      </c>
      <c r="P106" s="58">
        <v>36584.012000000002</v>
      </c>
      <c r="Q106" s="58">
        <v>38481.286999999997</v>
      </c>
      <c r="R106" s="58">
        <v>36221.995000000003</v>
      </c>
      <c r="S106" s="58">
        <v>61152</v>
      </c>
      <c r="T106" s="58">
        <v>172439.29399999999</v>
      </c>
      <c r="U106" s="58">
        <v>25439.996999999999</v>
      </c>
      <c r="V106" s="58">
        <v>50064</v>
      </c>
      <c r="W106" s="58">
        <v>47781.599999999999</v>
      </c>
      <c r="X106" s="58">
        <v>54317.03</v>
      </c>
      <c r="Y106" s="58">
        <v>177602.62700000001</v>
      </c>
      <c r="Z106" s="58">
        <v>54018.97</v>
      </c>
      <c r="AA106" s="58">
        <v>84918</v>
      </c>
    </row>
    <row r="107" spans="2:27" ht="15.75" customHeight="1" x14ac:dyDescent="0.25">
      <c r="B107" s="9" t="s">
        <v>325</v>
      </c>
      <c r="C107" s="58">
        <v>0</v>
      </c>
      <c r="D107" s="58">
        <v>0</v>
      </c>
      <c r="E107" s="58">
        <v>10137.620000000001</v>
      </c>
      <c r="F107" s="58">
        <v>127490.637</v>
      </c>
      <c r="G107" s="58">
        <v>95097.163509999795</v>
      </c>
      <c r="H107" s="58">
        <v>0</v>
      </c>
      <c r="I107" s="58">
        <v>0</v>
      </c>
      <c r="J107" s="58">
        <v>222587.80051</v>
      </c>
      <c r="K107" s="58">
        <v>28633.120999999999</v>
      </c>
      <c r="L107" s="58">
        <v>36664.741999999998</v>
      </c>
      <c r="M107" s="58">
        <v>62526.642999999996</v>
      </c>
      <c r="N107" s="58">
        <v>94810.418000000005</v>
      </c>
      <c r="O107" s="58">
        <v>222634.924</v>
      </c>
      <c r="P107" s="58">
        <v>197502.851</v>
      </c>
      <c r="Q107" s="58">
        <v>252464.86</v>
      </c>
      <c r="R107" s="58">
        <v>275877.21500000003</v>
      </c>
      <c r="S107" s="58">
        <v>60661.97</v>
      </c>
      <c r="T107" s="58">
        <v>786506.89599999995</v>
      </c>
      <c r="U107" s="58">
        <v>160124.59899999999</v>
      </c>
      <c r="V107" s="58">
        <v>327799.41077999998</v>
      </c>
      <c r="W107" s="58">
        <v>331888.72700100002</v>
      </c>
      <c r="X107" s="58">
        <v>39721.008999999998</v>
      </c>
      <c r="Y107" s="58">
        <v>859533.74578100001</v>
      </c>
      <c r="Z107" s="58">
        <v>109630.001</v>
      </c>
      <c r="AA107" s="58">
        <v>333965</v>
      </c>
    </row>
    <row r="108" spans="2:27" ht="15.75" customHeight="1" x14ac:dyDescent="0.25">
      <c r="B108" s="43"/>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row>
    <row r="109" spans="2:27" ht="15.75" customHeight="1" x14ac:dyDescent="0.25">
      <c r="B109" s="11" t="s">
        <v>326</v>
      </c>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row>
    <row r="110" spans="2:27" ht="15.5" customHeight="1" x14ac:dyDescent="0.25">
      <c r="B110" s="44" t="s">
        <v>327</v>
      </c>
      <c r="C110" s="89">
        <v>1.5660346153846101</v>
      </c>
      <c r="D110" s="89">
        <v>1.6276019230769201</v>
      </c>
      <c r="E110" s="89">
        <v>1.8291442307692301</v>
      </c>
      <c r="F110" s="89">
        <v>1.4613384615384599</v>
      </c>
      <c r="G110" s="89">
        <v>1.6942230769230799</v>
      </c>
      <c r="H110" s="89">
        <v>2.0107285714285701</v>
      </c>
      <c r="I110" s="89">
        <v>2.3825166666666702</v>
      </c>
      <c r="J110" s="89">
        <v>1.8800519230769199</v>
      </c>
      <c r="K110" s="89">
        <v>2.73490769230769</v>
      </c>
      <c r="L110" s="89">
        <v>3.0512999999999999</v>
      </c>
      <c r="M110" s="89">
        <v>3.50779285714286</v>
      </c>
      <c r="N110" s="89">
        <v>3.1140083333333299</v>
      </c>
      <c r="O110" s="89">
        <v>3.109575</v>
      </c>
      <c r="P110" s="89">
        <v>3.3743307692307698</v>
      </c>
      <c r="Q110" s="89">
        <v>2.6952071428571398</v>
      </c>
      <c r="R110" s="89">
        <v>2.7335230769230798</v>
      </c>
      <c r="S110" s="89">
        <v>2.7019384615384601</v>
      </c>
      <c r="T110" s="89">
        <v>2.8728339622641501</v>
      </c>
      <c r="U110" s="89">
        <v>2.6952230769230798</v>
      </c>
      <c r="V110" s="89">
        <v>2.1904230769230799</v>
      </c>
      <c r="W110" s="89">
        <v>2.1045384615384601</v>
      </c>
      <c r="X110" s="89">
        <v>2.04573076923077</v>
      </c>
      <c r="Y110" s="89">
        <v>2.25897884615385</v>
      </c>
      <c r="Z110" s="89">
        <v>2.33650769230769</v>
      </c>
      <c r="AA110" s="89">
        <v>2.5464783333333298</v>
      </c>
    </row>
    <row r="111" spans="2:27" ht="15.75" customHeight="1" x14ac:dyDescent="0.25">
      <c r="B111" s="9" t="s">
        <v>328</v>
      </c>
      <c r="C111" s="90">
        <f>C112-C110</f>
        <v>0.13095901737808169</v>
      </c>
      <c r="D111" s="90">
        <f>D112-D110</f>
        <v>0.14262222893607723</v>
      </c>
      <c r="E111" s="90">
        <v>5.6886576337471302E-2</v>
      </c>
      <c r="F111" s="90">
        <f t="shared" ref="F111:AA111" si="32">F112-F110</f>
        <v>-2.0664094038536085E-2</v>
      </c>
      <c r="G111" s="90">
        <f t="shared" si="32"/>
        <v>-4.4851329744143742E-2</v>
      </c>
      <c r="H111" s="90">
        <f t="shared" si="32"/>
        <v>3.5138662268456855E-2</v>
      </c>
      <c r="I111" s="90">
        <f t="shared" si="32"/>
        <v>2.8036583851632102E-2</v>
      </c>
      <c r="J111" s="90">
        <f t="shared" si="32"/>
        <v>3.5237331361835711E-2</v>
      </c>
      <c r="K111" s="90">
        <f t="shared" si="32"/>
        <v>4.8012727774066732E-2</v>
      </c>
      <c r="L111" s="90">
        <f t="shared" si="32"/>
        <v>0.1804535830748133</v>
      </c>
      <c r="M111" s="90">
        <f t="shared" si="32"/>
        <v>0.22357634828648498</v>
      </c>
      <c r="N111" s="90">
        <f t="shared" si="32"/>
        <v>0.18098791837012929</v>
      </c>
      <c r="O111" s="90">
        <f t="shared" si="32"/>
        <v>0.18116797089335757</v>
      </c>
      <c r="P111" s="90">
        <f t="shared" si="32"/>
        <v>0.2815014179853188</v>
      </c>
      <c r="Q111" s="90">
        <f t="shared" si="32"/>
        <v>0.15092097130129822</v>
      </c>
      <c r="R111" s="90">
        <f t="shared" si="32"/>
        <v>-2.6415914851796174E-3</v>
      </c>
      <c r="S111" s="90">
        <f t="shared" si="32"/>
        <v>0.14100116003635899</v>
      </c>
      <c r="T111" s="90">
        <f t="shared" si="32"/>
        <v>0.11422518723362041</v>
      </c>
      <c r="U111" s="90">
        <f t="shared" si="32"/>
        <v>0.13958087308734024</v>
      </c>
      <c r="V111" s="90">
        <f t="shared" si="32"/>
        <v>0.1218174724018577</v>
      </c>
      <c r="W111" s="90">
        <f t="shared" si="32"/>
        <v>4.0819166897906101E-2</v>
      </c>
      <c r="X111" s="90">
        <f t="shared" si="32"/>
        <v>2.1727143225494405E-2</v>
      </c>
      <c r="Y111" s="90">
        <f t="shared" si="32"/>
        <v>3.3295326201434605E-2</v>
      </c>
      <c r="Z111" s="90">
        <f t="shared" si="32"/>
        <v>8.2756476049067107E-2</v>
      </c>
      <c r="AA111" s="90">
        <f t="shared" si="32"/>
        <v>0.12092940408893815</v>
      </c>
    </row>
    <row r="112" spans="2:27" ht="15.75" customHeight="1" x14ac:dyDescent="0.25">
      <c r="B112" s="9" t="s">
        <v>329</v>
      </c>
      <c r="C112" s="90">
        <f t="shared" ref="C112:D114" si="33">C23/C95</f>
        <v>1.6969936327626918</v>
      </c>
      <c r="D112" s="90">
        <f t="shared" si="33"/>
        <v>1.7702241520129973</v>
      </c>
      <c r="E112" s="90">
        <v>1.8860308071067</v>
      </c>
      <c r="F112" s="90">
        <f t="shared" ref="F112:AA112" si="34">F23/F95</f>
        <v>1.4406743674999238</v>
      </c>
      <c r="G112" s="90">
        <f t="shared" si="34"/>
        <v>1.6493717471789362</v>
      </c>
      <c r="H112" s="90">
        <f t="shared" si="34"/>
        <v>2.0458672336970269</v>
      </c>
      <c r="I112" s="90">
        <f t="shared" si="34"/>
        <v>2.4105532505183023</v>
      </c>
      <c r="J112" s="90">
        <f t="shared" si="34"/>
        <v>1.9152892544387556</v>
      </c>
      <c r="K112" s="90">
        <f t="shared" si="34"/>
        <v>2.7829204200817568</v>
      </c>
      <c r="L112" s="90">
        <f t="shared" si="34"/>
        <v>3.2317535830748132</v>
      </c>
      <c r="M112" s="90">
        <f t="shared" si="34"/>
        <v>3.731369205429345</v>
      </c>
      <c r="N112" s="90">
        <f t="shared" si="34"/>
        <v>3.2949962517034592</v>
      </c>
      <c r="O112" s="90">
        <f t="shared" si="34"/>
        <v>3.2907429708933575</v>
      </c>
      <c r="P112" s="90">
        <f t="shared" si="34"/>
        <v>3.6558321872160886</v>
      </c>
      <c r="Q112" s="90">
        <f t="shared" si="34"/>
        <v>2.846128114158438</v>
      </c>
      <c r="R112" s="90">
        <f t="shared" si="34"/>
        <v>2.7308814854379002</v>
      </c>
      <c r="S112" s="90">
        <f t="shared" si="34"/>
        <v>2.8429396215748191</v>
      </c>
      <c r="T112" s="90">
        <f t="shared" si="34"/>
        <v>2.9870591494977705</v>
      </c>
      <c r="U112" s="90">
        <f t="shared" si="34"/>
        <v>2.8348039500104201</v>
      </c>
      <c r="V112" s="90">
        <f t="shared" si="34"/>
        <v>2.3122405493249376</v>
      </c>
      <c r="W112" s="90">
        <f t="shared" si="34"/>
        <v>2.1453576284363662</v>
      </c>
      <c r="X112" s="90">
        <f t="shared" si="34"/>
        <v>2.0674579124562644</v>
      </c>
      <c r="Y112" s="90">
        <f t="shared" si="34"/>
        <v>2.2922741723552846</v>
      </c>
      <c r="Z112" s="90">
        <f t="shared" si="34"/>
        <v>2.4192641683567571</v>
      </c>
      <c r="AA112" s="90">
        <f t="shared" si="34"/>
        <v>2.667407737422268</v>
      </c>
    </row>
    <row r="113" spans="2:27" ht="15.75" customHeight="1" x14ac:dyDescent="0.25">
      <c r="B113" s="50" t="s">
        <v>330</v>
      </c>
      <c r="C113" s="91">
        <f t="shared" si="33"/>
        <v>1.8235310601545645</v>
      </c>
      <c r="D113" s="91">
        <f t="shared" si="33"/>
        <v>1.792215140459108</v>
      </c>
      <c r="E113" s="91">
        <v>1.9363577577539299</v>
      </c>
      <c r="F113" s="91">
        <f t="shared" ref="F113:AA113" si="35">F24/F96</f>
        <v>1.5206353381253499</v>
      </c>
      <c r="G113" s="91">
        <f t="shared" si="35"/>
        <v>1.775356782925678</v>
      </c>
      <c r="H113" s="91">
        <f t="shared" si="35"/>
        <v>2.1177183044349999</v>
      </c>
      <c r="I113" s="91">
        <f t="shared" si="35"/>
        <v>2.4719083417595535</v>
      </c>
      <c r="J113" s="91">
        <f t="shared" si="35"/>
        <v>1.9852970695704082</v>
      </c>
      <c r="K113" s="91">
        <f t="shared" si="35"/>
        <v>2.9897290395327678</v>
      </c>
      <c r="L113" s="91">
        <f t="shared" si="35"/>
        <v>3.439000061283596</v>
      </c>
      <c r="M113" s="91">
        <f t="shared" si="35"/>
        <v>3.8793597594174325</v>
      </c>
      <c r="N113" s="91">
        <f t="shared" si="35"/>
        <v>3.4621858374227874</v>
      </c>
      <c r="O113" s="91">
        <f t="shared" si="35"/>
        <v>3.4925291242848826</v>
      </c>
      <c r="P113" s="91">
        <f t="shared" si="35"/>
        <v>3.7737488501603482</v>
      </c>
      <c r="Q113" s="91">
        <f t="shared" si="35"/>
        <v>3.0428711990353872</v>
      </c>
      <c r="R113" s="91">
        <f t="shared" si="35"/>
        <v>2.8256289524155704</v>
      </c>
      <c r="S113" s="91">
        <f t="shared" si="35"/>
        <v>2.9613956166915543</v>
      </c>
      <c r="T113" s="91">
        <f t="shared" si="35"/>
        <v>3.101753723289046</v>
      </c>
      <c r="U113" s="91">
        <f t="shared" si="35"/>
        <v>2.958294891373269</v>
      </c>
      <c r="V113" s="91">
        <f t="shared" si="35"/>
        <v>2.4077991486205859</v>
      </c>
      <c r="W113" s="91">
        <f t="shared" si="35"/>
        <v>2.2546842142612631</v>
      </c>
      <c r="X113" s="91">
        <f t="shared" si="35"/>
        <v>2.1960686048907947</v>
      </c>
      <c r="Y113" s="91">
        <f t="shared" si="35"/>
        <v>2.4412167496492834</v>
      </c>
      <c r="Z113" s="91">
        <f t="shared" si="35"/>
        <v>2.5637593351408681</v>
      </c>
      <c r="AA113" s="91">
        <f t="shared" si="35"/>
        <v>2.7609472572867531</v>
      </c>
    </row>
    <row r="114" spans="2:27" ht="15.75" customHeight="1" x14ac:dyDescent="0.25">
      <c r="B114" s="50" t="s">
        <v>331</v>
      </c>
      <c r="C114" s="91">
        <f t="shared" si="33"/>
        <v>1.6315475972568012</v>
      </c>
      <c r="D114" s="91">
        <f t="shared" si="33"/>
        <v>1.7164867057896704</v>
      </c>
      <c r="E114" s="91">
        <v>1.8069702984287499</v>
      </c>
      <c r="F114" s="91">
        <f t="shared" ref="F114:AA114" si="36">F25/F97</f>
        <v>1.3967452190103624</v>
      </c>
      <c r="G114" s="91">
        <f t="shared" si="36"/>
        <v>1.5607891088645593</v>
      </c>
      <c r="H114" s="91">
        <f t="shared" si="36"/>
        <v>2.0081989586694333</v>
      </c>
      <c r="I114" s="91">
        <f t="shared" si="36"/>
        <v>2.378393972080882</v>
      </c>
      <c r="J114" s="91">
        <f t="shared" si="36"/>
        <v>1.8756092749063953</v>
      </c>
      <c r="K114" s="91">
        <f t="shared" si="36"/>
        <v>2.6438764234580527</v>
      </c>
      <c r="L114" s="91">
        <f t="shared" si="36"/>
        <v>3.0198478026130742</v>
      </c>
      <c r="M114" s="91">
        <f t="shared" si="36"/>
        <v>3.5871478684835547</v>
      </c>
      <c r="N114" s="91">
        <f t="shared" si="36"/>
        <v>3.1812066459043917</v>
      </c>
      <c r="O114" s="91">
        <f t="shared" si="36"/>
        <v>3.1237684715584026</v>
      </c>
      <c r="P114" s="91">
        <f t="shared" si="36"/>
        <v>3.5435556281229545</v>
      </c>
      <c r="Q114" s="91">
        <f t="shared" si="36"/>
        <v>2.5506669189054687</v>
      </c>
      <c r="R114" s="91">
        <f t="shared" si="36"/>
        <v>2.6291738728327387</v>
      </c>
      <c r="S114" s="91">
        <f t="shared" si="36"/>
        <v>2.6689227105017315</v>
      </c>
      <c r="T114" s="91">
        <f t="shared" si="36"/>
        <v>2.8443429258109498</v>
      </c>
      <c r="U114" s="91">
        <f t="shared" si="36"/>
        <v>2.6525329609307131</v>
      </c>
      <c r="V114" s="91">
        <f t="shared" si="36"/>
        <v>2.1726982106270243</v>
      </c>
      <c r="W114" s="91">
        <f t="shared" si="36"/>
        <v>2.0499524564624565</v>
      </c>
      <c r="X114" s="91">
        <f t="shared" si="36"/>
        <v>1.9792908865456951</v>
      </c>
      <c r="Y114" s="91">
        <f t="shared" si="36"/>
        <v>2.1416504639470264</v>
      </c>
      <c r="Z114" s="91">
        <f t="shared" si="36"/>
        <v>2.2880872757627371</v>
      </c>
      <c r="AA114" s="91">
        <f t="shared" si="36"/>
        <v>2.5601273972322054</v>
      </c>
    </row>
    <row r="115" spans="2:27" ht="15.75" customHeight="1" x14ac:dyDescent="0.25">
      <c r="B115" s="9" t="s">
        <v>320</v>
      </c>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row>
    <row r="116" spans="2:27" ht="15.75" customHeight="1" x14ac:dyDescent="0.25">
      <c r="B116" s="50" t="s">
        <v>332</v>
      </c>
      <c r="C116" s="92">
        <f t="shared" ref="C116:D118" si="37">C27/C100*1000</f>
        <v>498.36100161982074</v>
      </c>
      <c r="D116" s="92">
        <f t="shared" si="37"/>
        <v>604.43169677951573</v>
      </c>
      <c r="E116" s="92">
        <v>669.19657859784604</v>
      </c>
      <c r="F116" s="92">
        <f t="shared" ref="F116:AA116" si="38">F27/F100*1000</f>
        <v>841.63218224980619</v>
      </c>
      <c r="G116" s="92">
        <f t="shared" si="38"/>
        <v>992.43228512398264</v>
      </c>
      <c r="H116" s="92">
        <f t="shared" si="38"/>
        <v>1174.7571002945206</v>
      </c>
      <c r="I116" s="92">
        <f t="shared" si="38"/>
        <v>1460.841996308325</v>
      </c>
      <c r="J116" s="92">
        <f t="shared" si="38"/>
        <v>1115.3561114091517</v>
      </c>
      <c r="K116" s="92">
        <f t="shared" si="38"/>
        <v>1634.5445991697825</v>
      </c>
      <c r="L116" s="92">
        <f t="shared" si="38"/>
        <v>1671.4420147828778</v>
      </c>
      <c r="M116" s="92">
        <f t="shared" si="38"/>
        <v>1641.4108562058352</v>
      </c>
      <c r="N116" s="92">
        <f t="shared" si="38"/>
        <v>1632.759245301105</v>
      </c>
      <c r="O116" s="92">
        <f t="shared" si="38"/>
        <v>1644.8670494798987</v>
      </c>
      <c r="P116" s="92">
        <f t="shared" si="38"/>
        <v>1727.0621847277894</v>
      </c>
      <c r="Q116" s="92">
        <f t="shared" si="38"/>
        <v>1679.1225030292576</v>
      </c>
      <c r="R116" s="92">
        <f t="shared" si="38"/>
        <v>1739.1761766804334</v>
      </c>
      <c r="S116" s="92">
        <f t="shared" si="38"/>
        <v>1744.9412228437732</v>
      </c>
      <c r="T116" s="92">
        <f t="shared" si="38"/>
        <v>1721.7482682091741</v>
      </c>
      <c r="U116" s="92">
        <f t="shared" si="38"/>
        <v>1555.3255637554735</v>
      </c>
      <c r="V116" s="92">
        <f t="shared" si="38"/>
        <v>1297.5225869519502</v>
      </c>
      <c r="W116" s="92">
        <f t="shared" si="38"/>
        <v>1268.9026474362256</v>
      </c>
      <c r="X116" s="92">
        <f t="shared" si="38"/>
        <v>1279.8475314794732</v>
      </c>
      <c r="Y116" s="92">
        <f t="shared" si="38"/>
        <v>1337.4795556798654</v>
      </c>
      <c r="Z116" s="92">
        <f t="shared" si="38"/>
        <v>1164.3688491943897</v>
      </c>
      <c r="AA116" s="92">
        <f t="shared" si="38"/>
        <v>1277.0773298711292</v>
      </c>
    </row>
    <row r="117" spans="2:27" ht="15.75" customHeight="1" x14ac:dyDescent="0.25">
      <c r="B117" s="50" t="s">
        <v>333</v>
      </c>
      <c r="C117" s="92">
        <f t="shared" si="37"/>
        <v>202.01191249060557</v>
      </c>
      <c r="D117" s="92">
        <f t="shared" si="37"/>
        <v>292.65910697237194</v>
      </c>
      <c r="E117" s="92">
        <v>334.26384688795201</v>
      </c>
      <c r="F117" s="92">
        <f t="shared" ref="F117:AA117" si="39">F28/F101*1000</f>
        <v>404.00726013343638</v>
      </c>
      <c r="G117" s="92">
        <f t="shared" si="39"/>
        <v>428.31447221210522</v>
      </c>
      <c r="H117" s="92">
        <f t="shared" si="39"/>
        <v>453.45953234172163</v>
      </c>
      <c r="I117" s="92">
        <f t="shared" si="39"/>
        <v>513.34848133899266</v>
      </c>
      <c r="J117" s="92">
        <f t="shared" si="39"/>
        <v>451.01140551225876</v>
      </c>
      <c r="K117" s="92">
        <f t="shared" si="39"/>
        <v>553.17190527330854</v>
      </c>
      <c r="L117" s="92">
        <f t="shared" si="39"/>
        <v>739.95714651108847</v>
      </c>
      <c r="M117" s="92">
        <f t="shared" si="39"/>
        <v>944.5779203583453</v>
      </c>
      <c r="N117" s="92">
        <f t="shared" si="39"/>
        <v>1160.0492016778403</v>
      </c>
      <c r="O117" s="92">
        <f t="shared" si="39"/>
        <v>837.25348901464167</v>
      </c>
      <c r="P117" s="92">
        <f t="shared" si="39"/>
        <v>1126.0404874410133</v>
      </c>
      <c r="Q117" s="92">
        <f t="shared" si="39"/>
        <v>1113.2373377501124</v>
      </c>
      <c r="R117" s="92">
        <f t="shared" si="39"/>
        <v>1127.6389944210989</v>
      </c>
      <c r="S117" s="92">
        <f t="shared" si="39"/>
        <v>1096.6553342295742</v>
      </c>
      <c r="T117" s="92">
        <f t="shared" si="39"/>
        <v>1115.617207943654</v>
      </c>
      <c r="U117" s="92">
        <f t="shared" si="39"/>
        <v>1042.9418177790694</v>
      </c>
      <c r="V117" s="92">
        <f t="shared" si="39"/>
        <v>901.84198198201273</v>
      </c>
      <c r="W117" s="92">
        <f t="shared" si="39"/>
        <v>755.27957374663322</v>
      </c>
      <c r="X117" s="92">
        <f t="shared" si="39"/>
        <v>683.71886292416627</v>
      </c>
      <c r="Y117" s="92">
        <f t="shared" si="39"/>
        <v>837.86361463990841</v>
      </c>
      <c r="Z117" s="92">
        <f t="shared" si="39"/>
        <v>633.45205868848871</v>
      </c>
      <c r="AA117" s="92">
        <f t="shared" si="39"/>
        <v>647.29032221752175</v>
      </c>
    </row>
    <row r="118" spans="2:27" ht="15.75" customHeight="1" x14ac:dyDescent="0.25">
      <c r="B118" s="50" t="s">
        <v>334</v>
      </c>
      <c r="C118" s="92">
        <f t="shared" si="37"/>
        <v>59.612219877713066</v>
      </c>
      <c r="D118" s="92">
        <f t="shared" si="37"/>
        <v>81.116682790507667</v>
      </c>
      <c r="E118" s="92">
        <v>85.312100998294795</v>
      </c>
      <c r="F118" s="92">
        <f t="shared" ref="F118:AA118" si="40">F29/F102*1000</f>
        <v>106.97117229773525</v>
      </c>
      <c r="G118" s="92">
        <f t="shared" si="40"/>
        <v>103.36694096604552</v>
      </c>
      <c r="H118" s="92">
        <f t="shared" si="40"/>
        <v>114.17795677341805</v>
      </c>
      <c r="I118" s="92">
        <f t="shared" si="40"/>
        <v>160.54622159379605</v>
      </c>
      <c r="J118" s="92">
        <f t="shared" si="40"/>
        <v>121.52420144861861</v>
      </c>
      <c r="K118" s="92">
        <f t="shared" si="40"/>
        <v>165.97553952901299</v>
      </c>
      <c r="L118" s="92">
        <f t="shared" si="40"/>
        <v>173.72878544300877</v>
      </c>
      <c r="M118" s="92">
        <f t="shared" si="40"/>
        <v>172.43013667123034</v>
      </c>
      <c r="N118" s="92">
        <f t="shared" si="40"/>
        <v>202.59385335677013</v>
      </c>
      <c r="O118" s="92">
        <f t="shared" si="40"/>
        <v>178.10034554464406</v>
      </c>
      <c r="P118" s="92">
        <f t="shared" si="40"/>
        <v>356.15524536819777</v>
      </c>
      <c r="Q118" s="92">
        <f t="shared" si="40"/>
        <v>363.45245000471556</v>
      </c>
      <c r="R118" s="92">
        <f t="shared" si="40"/>
        <v>360.882722091782</v>
      </c>
      <c r="S118" s="92">
        <f t="shared" si="40"/>
        <v>340.53111611181356</v>
      </c>
      <c r="T118" s="92">
        <f t="shared" si="40"/>
        <v>356.21082630598181</v>
      </c>
      <c r="U118" s="92">
        <f t="shared" si="40"/>
        <v>329.947008359677</v>
      </c>
      <c r="V118" s="92">
        <f t="shared" si="40"/>
        <v>288.97071877126314</v>
      </c>
      <c r="W118" s="92">
        <f t="shared" si="40"/>
        <v>278.29096708143931</v>
      </c>
      <c r="X118" s="92">
        <f t="shared" si="40"/>
        <v>256.21999962201477</v>
      </c>
      <c r="Y118" s="92">
        <f t="shared" si="40"/>
        <v>288.9010429156736</v>
      </c>
      <c r="Z118" s="92">
        <f t="shared" si="40"/>
        <v>239.92850878733819</v>
      </c>
      <c r="AA118" s="92">
        <f t="shared" si="40"/>
        <v>234.97276272143455</v>
      </c>
    </row>
    <row r="119" spans="2:27" ht="15.75" customHeight="1" x14ac:dyDescent="0.25">
      <c r="B119" s="50" t="s">
        <v>335</v>
      </c>
      <c r="C119" s="92">
        <f>C30/C104*1000</f>
        <v>1294.6644541222406</v>
      </c>
      <c r="D119" s="92">
        <f>D30/D104*1000</f>
        <v>1687.0478450164292</v>
      </c>
      <c r="E119" s="92">
        <v>1599.7872538466099</v>
      </c>
      <c r="F119" s="92">
        <f t="shared" ref="F119:AA119" si="41">F30/F104*1000</f>
        <v>2131.4470694145421</v>
      </c>
      <c r="G119" s="92">
        <f t="shared" si="41"/>
        <v>2636.1550896772223</v>
      </c>
      <c r="H119" s="92">
        <f t="shared" si="41"/>
        <v>4417.766206093228</v>
      </c>
      <c r="I119" s="92">
        <f t="shared" si="41"/>
        <v>4473.0579911441409</v>
      </c>
      <c r="J119" s="92">
        <f t="shared" si="41"/>
        <v>3461.3661581048264</v>
      </c>
      <c r="K119" s="92">
        <f t="shared" si="41"/>
        <v>5022.0876185426496</v>
      </c>
      <c r="L119" s="92">
        <f t="shared" si="41"/>
        <v>5397.0357797680208</v>
      </c>
      <c r="M119" s="92">
        <f t="shared" si="41"/>
        <v>6009.5138595594281</v>
      </c>
      <c r="N119" s="92">
        <f t="shared" si="41"/>
        <v>6154.401833074412</v>
      </c>
      <c r="O119" s="92">
        <f t="shared" si="41"/>
        <v>5654.9675778511319</v>
      </c>
      <c r="P119" s="92">
        <f t="shared" si="41"/>
        <v>6774.3705189080802</v>
      </c>
      <c r="Q119" s="92">
        <f t="shared" si="41"/>
        <v>6472.7404738295645</v>
      </c>
      <c r="R119" s="92">
        <f t="shared" si="41"/>
        <v>5565.7630328377345</v>
      </c>
      <c r="S119" s="92">
        <f t="shared" si="41"/>
        <v>5160.8028633516178</v>
      </c>
      <c r="T119" s="92">
        <f t="shared" si="41"/>
        <v>5927.7165897793984</v>
      </c>
      <c r="U119" s="92">
        <f t="shared" si="41"/>
        <v>3947.0363741541232</v>
      </c>
      <c r="V119" s="92">
        <f t="shared" si="41"/>
        <v>3692.9809591145136</v>
      </c>
      <c r="W119" s="92">
        <f t="shared" si="41"/>
        <v>3901.0362878015694</v>
      </c>
      <c r="X119" s="92">
        <f t="shared" si="41"/>
        <v>3475.2914022917498</v>
      </c>
      <c r="Y119" s="92">
        <f t="shared" si="41"/>
        <v>3737.0759766626356</v>
      </c>
      <c r="Z119" s="92">
        <f t="shared" si="41"/>
        <v>3625.306590900379</v>
      </c>
      <c r="AA119" s="92">
        <f t="shared" si="41"/>
        <v>4010.3766201877197</v>
      </c>
    </row>
    <row r="120" spans="2:27" ht="15.75" customHeight="1" x14ac:dyDescent="0.25">
      <c r="B120" s="9" t="s">
        <v>336</v>
      </c>
      <c r="C120" s="93">
        <f>(C32)/(C105)*1000</f>
        <v>0</v>
      </c>
      <c r="D120" s="93">
        <f>(D32)/(D105)*1000</f>
        <v>242.88430875340342</v>
      </c>
      <c r="E120" s="93">
        <v>219.59833795013901</v>
      </c>
      <c r="F120" s="93">
        <f t="shared" ref="F120:AA120" si="42">(F32)/(F105)*1000</f>
        <v>191.84090460678001</v>
      </c>
      <c r="G120" s="93">
        <f t="shared" si="42"/>
        <v>209.11373507057544</v>
      </c>
      <c r="H120" s="93">
        <f t="shared" si="42"/>
        <v>239.83824632827722</v>
      </c>
      <c r="I120" s="93">
        <f t="shared" si="42"/>
        <v>156.17928101907492</v>
      </c>
      <c r="J120" s="93">
        <f t="shared" si="42"/>
        <v>198.50657488045178</v>
      </c>
      <c r="K120" s="93">
        <f t="shared" si="42"/>
        <v>186.31840796019898</v>
      </c>
      <c r="L120" s="93">
        <f t="shared" si="42"/>
        <v>448.68703915777633</v>
      </c>
      <c r="M120" s="93">
        <f t="shared" si="42"/>
        <v>293.95628132020045</v>
      </c>
      <c r="N120" s="93">
        <f t="shared" si="42"/>
        <v>191.73965603758953</v>
      </c>
      <c r="O120" s="93">
        <f t="shared" si="42"/>
        <v>272.56707370016335</v>
      </c>
      <c r="P120" s="93">
        <f t="shared" si="42"/>
        <v>232.79039883337123</v>
      </c>
      <c r="Q120" s="93">
        <f t="shared" si="42"/>
        <v>165.64272486399949</v>
      </c>
      <c r="R120" s="93">
        <f t="shared" si="42"/>
        <v>286.17091579245817</v>
      </c>
      <c r="S120" s="93">
        <f t="shared" si="42"/>
        <v>218.40251720183488</v>
      </c>
      <c r="T120" s="93">
        <f t="shared" si="42"/>
        <v>230.71024357617296</v>
      </c>
      <c r="U120" s="93">
        <f t="shared" si="42"/>
        <v>202.58315640481246</v>
      </c>
      <c r="V120" s="93">
        <f t="shared" si="42"/>
        <v>177.24017627616601</v>
      </c>
      <c r="W120" s="93">
        <f t="shared" si="42"/>
        <v>161.01707766731585</v>
      </c>
      <c r="X120" s="93">
        <f t="shared" si="42"/>
        <v>150.84591810381571</v>
      </c>
      <c r="Y120" s="93">
        <f t="shared" si="42"/>
        <v>170.17598180355071</v>
      </c>
      <c r="Z120" s="93">
        <f t="shared" si="42"/>
        <v>147.14545844044557</v>
      </c>
      <c r="AA120" s="93">
        <f t="shared" si="42"/>
        <v>158.68840960897774</v>
      </c>
    </row>
    <row r="121" spans="2:27" ht="15.75" customHeight="1" x14ac:dyDescent="0.25">
      <c r="B121" s="9" t="s">
        <v>337</v>
      </c>
      <c r="C121" s="93">
        <v>0</v>
      </c>
      <c r="D121" s="93">
        <v>0</v>
      </c>
      <c r="E121" s="93">
        <v>0</v>
      </c>
      <c r="F121" s="93">
        <v>35.000489910907604</v>
      </c>
      <c r="G121" s="93">
        <v>30.0592313100179</v>
      </c>
      <c r="H121" s="93">
        <v>0</v>
      </c>
      <c r="I121" s="93">
        <v>0</v>
      </c>
      <c r="J121" s="93">
        <v>32.529860610462798</v>
      </c>
      <c r="K121" s="93">
        <v>79.635605181493005</v>
      </c>
      <c r="L121" s="93">
        <v>81.134539562910803</v>
      </c>
      <c r="M121" s="93">
        <v>75.969840198659796</v>
      </c>
      <c r="N121" s="93">
        <v>75.327106949078498</v>
      </c>
      <c r="O121" s="93">
        <v>78.016772973035501</v>
      </c>
      <c r="P121" s="93">
        <v>76.89377271315</v>
      </c>
      <c r="Q121" s="93">
        <v>67.535893457576606</v>
      </c>
      <c r="R121" s="93">
        <v>71.453142565727504</v>
      </c>
      <c r="S121" s="93">
        <v>67.826277482944704</v>
      </c>
      <c r="T121" s="93">
        <v>70.927271554849696</v>
      </c>
      <c r="U121" s="93">
        <v>49.487776593051201</v>
      </c>
      <c r="V121" s="93">
        <v>39.8067983078559</v>
      </c>
      <c r="W121" s="93">
        <v>40.290439826046303</v>
      </c>
      <c r="X121" s="93">
        <v>44.510849100614301</v>
      </c>
      <c r="Y121" s="93">
        <v>43.5239659568919</v>
      </c>
      <c r="Z121" s="93">
        <v>41.2458973168781</v>
      </c>
      <c r="AA121" s="93">
        <v>37.974516219017197</v>
      </c>
    </row>
    <row r="122" spans="2:27" ht="15.75" customHeight="1" x14ac:dyDescent="0.25">
      <c r="B122" s="9" t="s">
        <v>338</v>
      </c>
      <c r="C122" s="93">
        <v>17.7</v>
      </c>
      <c r="D122" s="93">
        <v>18.25</v>
      </c>
      <c r="E122" s="93">
        <v>22.53</v>
      </c>
      <c r="F122" s="93">
        <v>24.01</v>
      </c>
      <c r="G122" s="93">
        <v>24.21</v>
      </c>
      <c r="H122" s="93">
        <v>28.79</v>
      </c>
      <c r="I122" s="93">
        <v>31.553207990189701</v>
      </c>
      <c r="J122" s="93">
        <v>27.244265210836801</v>
      </c>
      <c r="K122" s="93">
        <v>40.652411100802503</v>
      </c>
      <c r="L122" s="93">
        <v>47.357998443166203</v>
      </c>
      <c r="M122" s="93">
        <v>51.379665470624097</v>
      </c>
      <c r="N122" s="93">
        <v>56.049556746606903</v>
      </c>
      <c r="O122" s="93">
        <v>48.978428711167801</v>
      </c>
      <c r="P122" s="93">
        <v>55.948488964735297</v>
      </c>
      <c r="Q122" s="93">
        <v>56.3365073806307</v>
      </c>
      <c r="R122" s="93">
        <v>60.947399060421802</v>
      </c>
      <c r="S122" s="93">
        <v>63.960629589386897</v>
      </c>
      <c r="T122" s="93">
        <v>59.434313284311997</v>
      </c>
      <c r="U122" s="93">
        <v>62.643552713342302</v>
      </c>
      <c r="V122" s="93">
        <v>56.962600931948202</v>
      </c>
      <c r="W122" s="93">
        <v>53.737982128660903</v>
      </c>
      <c r="X122" s="93">
        <v>53.139771223122899</v>
      </c>
      <c r="Y122" s="93">
        <v>56.342376924378598</v>
      </c>
      <c r="Z122" s="93">
        <v>46.0089185794643</v>
      </c>
      <c r="AA122" s="93">
        <v>41.322225581511098</v>
      </c>
    </row>
    <row r="123" spans="2:27" ht="15.75" customHeight="1" x14ac:dyDescent="0.25">
      <c r="B123" s="9" t="s">
        <v>339</v>
      </c>
      <c r="C123" s="93">
        <v>40.4</v>
      </c>
      <c r="D123" s="93">
        <v>43.29</v>
      </c>
      <c r="E123" s="93">
        <v>48.83</v>
      </c>
      <c r="F123" s="93">
        <v>56.34</v>
      </c>
      <c r="G123" s="93">
        <v>56.66</v>
      </c>
      <c r="H123" s="93">
        <v>60.92</v>
      </c>
      <c r="I123" s="93">
        <v>65.153858324096603</v>
      </c>
      <c r="J123" s="93">
        <v>59.905702754116497</v>
      </c>
      <c r="K123" s="93">
        <v>69.547798746469198</v>
      </c>
      <c r="L123" s="93">
        <v>68.935779856460897</v>
      </c>
      <c r="M123" s="93">
        <v>70.038893988766603</v>
      </c>
      <c r="N123" s="93">
        <v>79.744424698155996</v>
      </c>
      <c r="O123" s="93">
        <v>72.204645178647993</v>
      </c>
      <c r="P123" s="93">
        <v>89.853546289331703</v>
      </c>
      <c r="Q123" s="93">
        <v>87.411268977595796</v>
      </c>
      <c r="R123" s="93">
        <v>92.694311679001302</v>
      </c>
      <c r="S123" s="93">
        <v>101.850672594751</v>
      </c>
      <c r="T123" s="93">
        <v>93.137571477237003</v>
      </c>
      <c r="U123" s="93">
        <v>96.279998884019506</v>
      </c>
      <c r="V123" s="93">
        <v>98.141016900215902</v>
      </c>
      <c r="W123" s="93">
        <v>105.439105627644</v>
      </c>
      <c r="X123" s="93">
        <v>111.690497431347</v>
      </c>
      <c r="Y123" s="93">
        <v>103.243098829993</v>
      </c>
      <c r="Z123" s="93">
        <v>105.770654585689</v>
      </c>
      <c r="AA123" s="93">
        <v>109.035292151417</v>
      </c>
    </row>
    <row r="124" spans="2:27" ht="15.75" customHeight="1" x14ac:dyDescent="0.25">
      <c r="B124" s="9" t="s">
        <v>340</v>
      </c>
      <c r="C124" s="93">
        <v>0</v>
      </c>
      <c r="D124" s="93">
        <v>0</v>
      </c>
      <c r="E124" s="93">
        <v>26.1914952030161</v>
      </c>
      <c r="F124" s="93">
        <v>25.874247767700801</v>
      </c>
      <c r="G124" s="93">
        <v>24.2994449288386</v>
      </c>
      <c r="H124" s="93">
        <v>0</v>
      </c>
      <c r="I124" s="93">
        <v>0</v>
      </c>
      <c r="J124" s="93">
        <v>25.2014380437566</v>
      </c>
      <c r="K124" s="93">
        <v>74.595553617784105</v>
      </c>
      <c r="L124" s="93">
        <v>71.583523233301406</v>
      </c>
      <c r="M124" s="93">
        <v>69.8018213807606</v>
      </c>
      <c r="N124" s="93">
        <v>70.902955869259102</v>
      </c>
      <c r="O124" s="93">
        <v>71.180689392759405</v>
      </c>
      <c r="P124" s="93">
        <v>73.491447670292004</v>
      </c>
      <c r="Q124" s="93">
        <v>63.0042222042307</v>
      </c>
      <c r="R124" s="93">
        <v>62.418455368994501</v>
      </c>
      <c r="S124" s="93">
        <v>62.699027736817698</v>
      </c>
      <c r="T124" s="93">
        <v>65.495831968748703</v>
      </c>
      <c r="U124" s="93">
        <v>37.393369136243699</v>
      </c>
      <c r="V124" s="93">
        <v>32.009604705610997</v>
      </c>
      <c r="W124" s="93">
        <v>34.741187869768403</v>
      </c>
      <c r="X124" s="93">
        <v>37.761373247089502</v>
      </c>
      <c r="Y124" s="93">
        <v>34.333097924370399</v>
      </c>
      <c r="Z124" s="93">
        <v>34.869719835175403</v>
      </c>
      <c r="AA124" s="93">
        <v>33.804860743512201</v>
      </c>
    </row>
    <row r="125" spans="2:27" ht="15.75" customHeight="1" x14ac:dyDescent="0.45">
      <c r="B125" s="36"/>
      <c r="C125" s="74"/>
      <c r="D125" s="84"/>
      <c r="E125" s="84"/>
      <c r="F125" s="84"/>
      <c r="G125" s="84"/>
      <c r="H125" s="94"/>
      <c r="I125" s="95"/>
      <c r="J125" s="95"/>
      <c r="K125" s="95"/>
      <c r="L125" s="95"/>
      <c r="M125" s="95"/>
      <c r="N125" s="95"/>
      <c r="O125" s="95"/>
      <c r="P125" s="95"/>
      <c r="Q125" s="95"/>
      <c r="R125" s="95"/>
      <c r="S125" s="95"/>
      <c r="T125" s="95"/>
      <c r="U125" s="95"/>
      <c r="V125" s="95"/>
      <c r="W125" s="95"/>
      <c r="X125" s="95"/>
      <c r="Y125" s="95"/>
      <c r="Z125" s="95"/>
      <c r="AA125" s="95"/>
    </row>
    <row r="126" spans="2:27" ht="15.75" customHeight="1" x14ac:dyDescent="0.25">
      <c r="B126" s="11" t="s">
        <v>341</v>
      </c>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row>
    <row r="127" spans="2:27" ht="15.75" customHeight="1" x14ac:dyDescent="0.25">
      <c r="B127" s="44" t="s">
        <v>101</v>
      </c>
      <c r="C127" s="85">
        <f>'Statement of income'!C29</f>
        <v>78219</v>
      </c>
      <c r="D127" s="85">
        <f>'Statement of income'!D29</f>
        <v>212614.28200000001</v>
      </c>
      <c r="E127" s="85">
        <v>480522</v>
      </c>
      <c r="F127" s="85">
        <f>'Statement of income'!F29</f>
        <v>170730.840049233</v>
      </c>
      <c r="G127" s="85">
        <f>'Statement of income'!G29</f>
        <v>244134.226075741</v>
      </c>
      <c r="H127" s="85">
        <f>'Statement of income'!H29</f>
        <v>325091.183478355</v>
      </c>
      <c r="I127" s="85">
        <f>'Statement of income'!I29</f>
        <v>420123</v>
      </c>
      <c r="J127" s="85">
        <f>'Statement of income'!J29</f>
        <v>1160080</v>
      </c>
      <c r="K127" s="85">
        <f>'Statement of income'!K29</f>
        <v>526202</v>
      </c>
      <c r="L127" s="85">
        <f>'Statement of income'!L29</f>
        <v>616978</v>
      </c>
      <c r="M127" s="85">
        <f>'Statement of income'!M29</f>
        <v>852664</v>
      </c>
      <c r="N127" s="85">
        <f>'Statement of income'!N29</f>
        <v>625923</v>
      </c>
      <c r="O127" s="85">
        <f>'Statement of income'!O29</f>
        <v>2621767</v>
      </c>
      <c r="P127" s="85">
        <f>'Statement of income'!P29</f>
        <v>675996.87303999998</v>
      </c>
      <c r="Q127" s="85">
        <f>'Statement of income'!Q29</f>
        <v>707433.84664</v>
      </c>
      <c r="R127" s="85">
        <f>'Statement of income'!R29</f>
        <v>519503.09030712402</v>
      </c>
      <c r="S127" s="85">
        <f>'Statement of income'!S29</f>
        <v>489164.37452287599</v>
      </c>
      <c r="T127" s="85">
        <f>'Statement of income'!T29</f>
        <v>2392097.1845100001</v>
      </c>
      <c r="U127" s="85">
        <f>'Statement of income'!U29</f>
        <v>377102</v>
      </c>
      <c r="V127" s="85">
        <f>'Statement of income'!V29</f>
        <v>218761</v>
      </c>
      <c r="W127" s="85">
        <f>'Statement of income'!W29</f>
        <v>174637</v>
      </c>
      <c r="X127" s="85">
        <f>'Statement of income'!X29</f>
        <v>75692</v>
      </c>
      <c r="Y127" s="85">
        <f>'Statement of income'!Y29</f>
        <v>846192</v>
      </c>
      <c r="Z127" s="85">
        <f>'Statement of income'!Z29</f>
        <v>398900</v>
      </c>
      <c r="AA127" s="85">
        <f>'Statement of income'!AA29</f>
        <v>752428</v>
      </c>
    </row>
    <row r="128" spans="2:27" ht="15.75" customHeight="1" x14ac:dyDescent="0.25">
      <c r="B128" s="8" t="s">
        <v>342</v>
      </c>
      <c r="C128" s="88">
        <f>C127/C95</f>
        <v>0.56738460847379346</v>
      </c>
      <c r="D128" s="88">
        <f>D127/D95</f>
        <v>0.8244090981353166</v>
      </c>
      <c r="E128" s="88">
        <v>0.93023851878228303</v>
      </c>
      <c r="F128" s="88">
        <f t="shared" ref="F128:AA128" si="43">F127/F95</f>
        <v>0.64858017350664332</v>
      </c>
      <c r="G128" s="88">
        <f t="shared" si="43"/>
        <v>0.99199124704367703</v>
      </c>
      <c r="H128" s="88">
        <f t="shared" si="43"/>
        <v>1.1149829959224917</v>
      </c>
      <c r="I128" s="88">
        <f t="shared" si="43"/>
        <v>1.3660867516121689</v>
      </c>
      <c r="J128" s="88">
        <f t="shared" si="43"/>
        <v>1.0465816978879432</v>
      </c>
      <c r="K128" s="88">
        <f t="shared" si="43"/>
        <v>1.6570726398901234</v>
      </c>
      <c r="L128" s="88">
        <f t="shared" si="43"/>
        <v>1.8984461089148932</v>
      </c>
      <c r="M128" s="88">
        <f t="shared" si="43"/>
        <v>2.1005332480635697</v>
      </c>
      <c r="N128" s="88">
        <f t="shared" si="43"/>
        <v>1.7039575094619932</v>
      </c>
      <c r="O128" s="88">
        <f t="shared" si="43"/>
        <v>1.8517886996017991</v>
      </c>
      <c r="P128" s="88">
        <f t="shared" si="43"/>
        <v>2.2034391932419024</v>
      </c>
      <c r="Q128" s="88">
        <f t="shared" si="43"/>
        <v>2.0049843210103684</v>
      </c>
      <c r="R128" s="88">
        <f t="shared" si="43"/>
        <v>1.4322851634375402</v>
      </c>
      <c r="S128" s="88">
        <f t="shared" si="43"/>
        <v>1.1274246541465731</v>
      </c>
      <c r="T128" s="88">
        <f t="shared" si="43"/>
        <v>1.6426799417809292</v>
      </c>
      <c r="U128" s="88">
        <f t="shared" si="43"/>
        <v>0.95700179237541805</v>
      </c>
      <c r="V128" s="88">
        <f t="shared" si="43"/>
        <v>0.46035551782652234</v>
      </c>
      <c r="W128" s="88">
        <f t="shared" si="43"/>
        <v>0.29205625694829768</v>
      </c>
      <c r="X128" s="88">
        <f t="shared" si="43"/>
        <v>0.12565977539564441</v>
      </c>
      <c r="Y128" s="88">
        <f t="shared" si="43"/>
        <v>0.40887556955226423</v>
      </c>
      <c r="Z128" s="88">
        <f t="shared" si="43"/>
        <v>0.75598925585689225</v>
      </c>
      <c r="AA128" s="88">
        <f t="shared" si="43"/>
        <v>1.2942483092198795</v>
      </c>
    </row>
    <row r="129" spans="2:27" ht="15.75" customHeight="1" x14ac:dyDescent="0.25">
      <c r="B129" s="8" t="s">
        <v>343</v>
      </c>
      <c r="C129" s="57">
        <f>Capex!C10</f>
        <v>4069.7959999999998</v>
      </c>
      <c r="D129" s="57">
        <f>Capex!D10</f>
        <v>29779</v>
      </c>
      <c r="E129" s="57">
        <v>9541.3940000000002</v>
      </c>
      <c r="F129" s="57">
        <f>Capex!F10</f>
        <v>91</v>
      </c>
      <c r="G129" s="57">
        <f>Capex!G10</f>
        <v>245</v>
      </c>
      <c r="H129" s="57">
        <f>Capex!H10</f>
        <v>0</v>
      </c>
      <c r="I129" s="57">
        <f>Capex!I10</f>
        <v>0</v>
      </c>
      <c r="J129" s="57">
        <f>SUM(F129:I129)</f>
        <v>336</v>
      </c>
      <c r="K129" s="57">
        <f>Capex!K10</f>
        <v>4328</v>
      </c>
      <c r="L129" s="57">
        <f>Capex!L10</f>
        <v>2700</v>
      </c>
      <c r="M129" s="57">
        <f>Capex!M10</f>
        <v>4251</v>
      </c>
      <c r="N129" s="57">
        <f>Capex!N10</f>
        <v>38085</v>
      </c>
      <c r="O129" s="57">
        <f>Capex!O10</f>
        <v>49364</v>
      </c>
      <c r="P129" s="57">
        <f>Capex!P10</f>
        <v>9112</v>
      </c>
      <c r="Q129" s="57">
        <f>Capex!Q10</f>
        <v>7313</v>
      </c>
      <c r="R129" s="57">
        <f>Capex!R10</f>
        <v>-5248</v>
      </c>
      <c r="S129" s="57">
        <f>Capex!S10</f>
        <v>6137</v>
      </c>
      <c r="T129" s="57">
        <f>Capex!T10</f>
        <v>17314</v>
      </c>
      <c r="U129" s="57">
        <f>Capex!U10</f>
        <v>6564</v>
      </c>
      <c r="V129" s="57">
        <f>Capex!V10</f>
        <v>6612</v>
      </c>
      <c r="W129" s="57">
        <f>Capex!W10</f>
        <v>776</v>
      </c>
      <c r="X129" s="57">
        <f>Capex!X10</f>
        <v>6135</v>
      </c>
      <c r="Y129" s="57">
        <f>Capex!Y10</f>
        <v>20087</v>
      </c>
      <c r="Z129" s="57">
        <f>Capex!Z10</f>
        <v>3166</v>
      </c>
      <c r="AA129" s="57">
        <f>Capex!AA10</f>
        <v>1430</v>
      </c>
    </row>
    <row r="130" spans="2:27" ht="15.75" customHeight="1" x14ac:dyDescent="0.25">
      <c r="B130" s="9" t="s">
        <v>344</v>
      </c>
      <c r="C130" s="87">
        <f>C127-C129</f>
        <v>74149.203999999998</v>
      </c>
      <c r="D130" s="87">
        <f>D127-D129</f>
        <v>182835.28200000001</v>
      </c>
      <c r="E130" s="87">
        <v>470980.60600000003</v>
      </c>
      <c r="F130" s="87">
        <f t="shared" ref="F130:AA130" si="44">F127-F129</f>
        <v>170639.840049233</v>
      </c>
      <c r="G130" s="87">
        <f t="shared" si="44"/>
        <v>243889.226075741</v>
      </c>
      <c r="H130" s="87">
        <f t="shared" si="44"/>
        <v>325091.183478355</v>
      </c>
      <c r="I130" s="87">
        <f t="shared" si="44"/>
        <v>420123</v>
      </c>
      <c r="J130" s="87">
        <f t="shared" si="44"/>
        <v>1159744</v>
      </c>
      <c r="K130" s="87">
        <f t="shared" si="44"/>
        <v>521874</v>
      </c>
      <c r="L130" s="87">
        <f t="shared" si="44"/>
        <v>614278</v>
      </c>
      <c r="M130" s="87">
        <f t="shared" si="44"/>
        <v>848413</v>
      </c>
      <c r="N130" s="87">
        <f t="shared" si="44"/>
        <v>587838</v>
      </c>
      <c r="O130" s="87">
        <f t="shared" si="44"/>
        <v>2572403</v>
      </c>
      <c r="P130" s="87">
        <f t="shared" si="44"/>
        <v>666884.87303999998</v>
      </c>
      <c r="Q130" s="87">
        <f t="shared" si="44"/>
        <v>700120.84664</v>
      </c>
      <c r="R130" s="87">
        <f t="shared" si="44"/>
        <v>524751.09030712396</v>
      </c>
      <c r="S130" s="87">
        <f t="shared" si="44"/>
        <v>483027.37452287599</v>
      </c>
      <c r="T130" s="87">
        <f t="shared" si="44"/>
        <v>2374783.1845100001</v>
      </c>
      <c r="U130" s="87">
        <f t="shared" si="44"/>
        <v>370538</v>
      </c>
      <c r="V130" s="87">
        <f t="shared" si="44"/>
        <v>212149</v>
      </c>
      <c r="W130" s="87">
        <f t="shared" si="44"/>
        <v>173861</v>
      </c>
      <c r="X130" s="87">
        <f t="shared" si="44"/>
        <v>69557</v>
      </c>
      <c r="Y130" s="87">
        <f t="shared" si="44"/>
        <v>826105</v>
      </c>
      <c r="Z130" s="87">
        <f t="shared" si="44"/>
        <v>395734</v>
      </c>
      <c r="AA130" s="87">
        <f t="shared" si="44"/>
        <v>750998</v>
      </c>
    </row>
    <row r="131" spans="2:27" ht="15" customHeight="1" x14ac:dyDescent="0.25">
      <c r="B131" s="8" t="s">
        <v>345</v>
      </c>
      <c r="C131" s="88">
        <f>C130/C95</f>
        <v>0.53786314169426153</v>
      </c>
      <c r="D131" s="88">
        <f>D130/D95</f>
        <v>0.70894141505007779</v>
      </c>
      <c r="E131" s="88">
        <v>0.91176741398025896</v>
      </c>
      <c r="F131" s="88">
        <f t="shared" ref="F131:AA131" si="45">F130/F95</f>
        <v>0.64823447851813343</v>
      </c>
      <c r="G131" s="88">
        <f t="shared" si="45"/>
        <v>0.99099573789515527</v>
      </c>
      <c r="H131" s="88">
        <f t="shared" si="45"/>
        <v>1.1149829959224917</v>
      </c>
      <c r="I131" s="88">
        <f t="shared" si="45"/>
        <v>1.3660867516121689</v>
      </c>
      <c r="J131" s="88">
        <f t="shared" si="45"/>
        <v>1.0462785709910996</v>
      </c>
      <c r="K131" s="88">
        <f t="shared" si="45"/>
        <v>1.6434432534844381</v>
      </c>
      <c r="L131" s="88">
        <f t="shared" si="45"/>
        <v>1.890138187896526</v>
      </c>
      <c r="M131" s="88">
        <f t="shared" si="45"/>
        <v>2.0900609320780021</v>
      </c>
      <c r="N131" s="88">
        <f t="shared" si="45"/>
        <v>1.6002782681689587</v>
      </c>
      <c r="O131" s="88">
        <f t="shared" si="45"/>
        <v>1.8169222536639476</v>
      </c>
      <c r="P131" s="88">
        <f t="shared" si="45"/>
        <v>2.1737382601021835</v>
      </c>
      <c r="Q131" s="88">
        <f t="shared" si="45"/>
        <v>1.9842580716102456</v>
      </c>
      <c r="R131" s="88">
        <f t="shared" si="45"/>
        <v>1.4467540524161917</v>
      </c>
      <c r="S131" s="88">
        <f t="shared" si="45"/>
        <v>1.1132801140638122</v>
      </c>
      <c r="T131" s="88">
        <f t="shared" si="45"/>
        <v>1.6307902239650449</v>
      </c>
      <c r="U131" s="88">
        <f t="shared" si="45"/>
        <v>0.9403438065648092</v>
      </c>
      <c r="V131" s="88">
        <f t="shared" si="45"/>
        <v>0.44644138009690432</v>
      </c>
      <c r="W131" s="88">
        <f t="shared" si="45"/>
        <v>0.29075850415025445</v>
      </c>
      <c r="X131" s="88">
        <f t="shared" si="45"/>
        <v>0.11547477933196161</v>
      </c>
      <c r="Y131" s="88">
        <f t="shared" si="45"/>
        <v>0.39916963571503067</v>
      </c>
      <c r="Z131" s="88">
        <f t="shared" si="45"/>
        <v>0.74998910046946954</v>
      </c>
      <c r="AA131" s="88">
        <f t="shared" si="45"/>
        <v>1.2917885720992721</v>
      </c>
    </row>
    <row r="132" spans="2:27" ht="15.75" customHeight="1" x14ac:dyDescent="0.45">
      <c r="B132" s="4"/>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row>
    <row r="133" spans="2:27" ht="15.75" customHeight="1" x14ac:dyDescent="0.25">
      <c r="B133" s="9" t="s">
        <v>346</v>
      </c>
      <c r="C133" s="90">
        <f>C112</f>
        <v>1.6969936327626918</v>
      </c>
      <c r="D133" s="90">
        <f>D112</f>
        <v>1.7702241520129973</v>
      </c>
      <c r="E133" s="90">
        <v>1.8860308071067</v>
      </c>
      <c r="F133" s="90">
        <f t="shared" ref="F133:AA133" si="46">F112</f>
        <v>1.4406743674999238</v>
      </c>
      <c r="G133" s="90">
        <f t="shared" si="46"/>
        <v>1.6493717471789362</v>
      </c>
      <c r="H133" s="90">
        <f t="shared" si="46"/>
        <v>2.0458672336970269</v>
      </c>
      <c r="I133" s="90">
        <f t="shared" si="46"/>
        <v>2.4105532505183023</v>
      </c>
      <c r="J133" s="90">
        <f t="shared" si="46"/>
        <v>1.9152892544387556</v>
      </c>
      <c r="K133" s="90">
        <f t="shared" si="46"/>
        <v>2.7829204200817568</v>
      </c>
      <c r="L133" s="90">
        <f t="shared" si="46"/>
        <v>3.2317535830748132</v>
      </c>
      <c r="M133" s="90">
        <f t="shared" si="46"/>
        <v>3.731369205429345</v>
      </c>
      <c r="N133" s="90">
        <f t="shared" si="46"/>
        <v>3.2949962517034592</v>
      </c>
      <c r="O133" s="90">
        <f t="shared" si="46"/>
        <v>3.2907429708933575</v>
      </c>
      <c r="P133" s="90">
        <f t="shared" si="46"/>
        <v>3.6558321872160886</v>
      </c>
      <c r="Q133" s="90">
        <f t="shared" si="46"/>
        <v>2.846128114158438</v>
      </c>
      <c r="R133" s="90">
        <f t="shared" si="46"/>
        <v>2.7308814854379002</v>
      </c>
      <c r="S133" s="90">
        <f t="shared" si="46"/>
        <v>2.8429396215748191</v>
      </c>
      <c r="T133" s="90">
        <f t="shared" si="46"/>
        <v>2.9870591494977705</v>
      </c>
      <c r="U133" s="90">
        <f t="shared" si="46"/>
        <v>2.8348039500104201</v>
      </c>
      <c r="V133" s="90">
        <f t="shared" si="46"/>
        <v>2.3122405493249376</v>
      </c>
      <c r="W133" s="90">
        <f t="shared" si="46"/>
        <v>2.1453576284363662</v>
      </c>
      <c r="X133" s="90">
        <f t="shared" si="46"/>
        <v>2.0674579124562644</v>
      </c>
      <c r="Y133" s="90">
        <f t="shared" si="46"/>
        <v>2.2922741723552846</v>
      </c>
      <c r="Z133" s="90">
        <f t="shared" si="46"/>
        <v>2.4192641683567571</v>
      </c>
      <c r="AA133" s="90">
        <f t="shared" si="46"/>
        <v>2.667407737422268</v>
      </c>
    </row>
    <row r="134" spans="2:27" ht="15.75" customHeight="1" x14ac:dyDescent="0.25">
      <c r="B134" s="50" t="s">
        <v>347</v>
      </c>
      <c r="C134" s="97">
        <f>C122</f>
        <v>17.7</v>
      </c>
      <c r="D134" s="97">
        <f>D122</f>
        <v>18.25</v>
      </c>
      <c r="E134" s="97">
        <v>22.53</v>
      </c>
      <c r="F134" s="97">
        <f t="shared" ref="F134:AA134" si="47">F122</f>
        <v>24.01</v>
      </c>
      <c r="G134" s="97">
        <f t="shared" si="47"/>
        <v>24.21</v>
      </c>
      <c r="H134" s="97">
        <f t="shared" si="47"/>
        <v>28.79</v>
      </c>
      <c r="I134" s="97">
        <f t="shared" si="47"/>
        <v>31.553207990189701</v>
      </c>
      <c r="J134" s="97">
        <f t="shared" si="47"/>
        <v>27.244265210836801</v>
      </c>
      <c r="K134" s="97">
        <f t="shared" si="47"/>
        <v>40.652411100802503</v>
      </c>
      <c r="L134" s="97">
        <f t="shared" si="47"/>
        <v>47.357998443166203</v>
      </c>
      <c r="M134" s="97">
        <f t="shared" si="47"/>
        <v>51.379665470624097</v>
      </c>
      <c r="N134" s="97">
        <f t="shared" si="47"/>
        <v>56.049556746606903</v>
      </c>
      <c r="O134" s="97">
        <f t="shared" si="47"/>
        <v>48.978428711167801</v>
      </c>
      <c r="P134" s="97">
        <f t="shared" si="47"/>
        <v>55.948488964735297</v>
      </c>
      <c r="Q134" s="97">
        <f t="shared" si="47"/>
        <v>56.3365073806307</v>
      </c>
      <c r="R134" s="97">
        <f t="shared" si="47"/>
        <v>60.947399060421802</v>
      </c>
      <c r="S134" s="97">
        <f t="shared" si="47"/>
        <v>63.960629589386897</v>
      </c>
      <c r="T134" s="97">
        <f t="shared" si="47"/>
        <v>59.434313284311997</v>
      </c>
      <c r="U134" s="97">
        <f t="shared" si="47"/>
        <v>62.643552713342302</v>
      </c>
      <c r="V134" s="97">
        <f t="shared" si="47"/>
        <v>56.962600931948202</v>
      </c>
      <c r="W134" s="97">
        <f t="shared" si="47"/>
        <v>53.737982128660903</v>
      </c>
      <c r="X134" s="97">
        <f t="shared" si="47"/>
        <v>53.139771223122899</v>
      </c>
      <c r="Y134" s="97">
        <f t="shared" si="47"/>
        <v>56.342376924378598</v>
      </c>
      <c r="Z134" s="97">
        <f t="shared" si="47"/>
        <v>46.0089185794643</v>
      </c>
      <c r="AA134" s="97">
        <f t="shared" si="47"/>
        <v>41.322225581511098</v>
      </c>
    </row>
    <row r="135" spans="2:27" ht="15.75" customHeight="1" x14ac:dyDescent="0.25">
      <c r="B135" s="50" t="s">
        <v>348</v>
      </c>
      <c r="C135" s="52">
        <f>C51</f>
        <v>0.29880917345442698</v>
      </c>
      <c r="D135" s="52">
        <f>D51</f>
        <v>0.39670058210410303</v>
      </c>
      <c r="E135" s="52">
        <v>0.360916198722883</v>
      </c>
      <c r="F135" s="52">
        <f t="shared" ref="F135:AA135" si="48">F51</f>
        <v>0.44318740570458376</v>
      </c>
      <c r="G135" s="52">
        <f t="shared" si="48"/>
        <v>0.59283555397184728</v>
      </c>
      <c r="H135" s="52">
        <f t="shared" si="48"/>
        <v>0.52515504021305259</v>
      </c>
      <c r="I135" s="52">
        <f t="shared" si="48"/>
        <v>0.50580028861077841</v>
      </c>
      <c r="J135" s="52">
        <f t="shared" si="48"/>
        <v>0.5149394746836049</v>
      </c>
      <c r="K135" s="52">
        <f t="shared" si="48"/>
        <v>0.56272760578465164</v>
      </c>
      <c r="L135" s="52">
        <f t="shared" si="48"/>
        <v>0.51304588110771798</v>
      </c>
      <c r="M135" s="52">
        <f t="shared" si="48"/>
        <v>0.38356810692927179</v>
      </c>
      <c r="N135" s="52">
        <f t="shared" si="48"/>
        <v>0.46039051001601738</v>
      </c>
      <c r="O135" s="52">
        <f t="shared" si="48"/>
        <v>0.46977172985730803</v>
      </c>
      <c r="P135" s="52">
        <f t="shared" si="48"/>
        <v>0.52175027391121231</v>
      </c>
      <c r="Q135" s="52">
        <f t="shared" si="48"/>
        <v>0.53924307394392734</v>
      </c>
      <c r="R135" s="52">
        <f t="shared" si="48"/>
        <v>0.46802506855812454</v>
      </c>
      <c r="S135" s="52">
        <f t="shared" si="48"/>
        <v>0.33788088237615083</v>
      </c>
      <c r="T135" s="52">
        <f t="shared" si="48"/>
        <v>0.46647856297930756</v>
      </c>
      <c r="U135" s="52">
        <f t="shared" si="48"/>
        <v>0.43042341215298641</v>
      </c>
      <c r="V135" s="52">
        <f t="shared" si="48"/>
        <v>0.3800502977812506</v>
      </c>
      <c r="W135" s="52">
        <f t="shared" si="48"/>
        <v>0.31898635716660267</v>
      </c>
      <c r="X135" s="52">
        <f t="shared" si="48"/>
        <v>0.31862741719846183</v>
      </c>
      <c r="Y135" s="52">
        <f t="shared" si="48"/>
        <v>0.35796540024095141</v>
      </c>
      <c r="Z135" s="52">
        <f t="shared" si="48"/>
        <v>0.40196197029467484</v>
      </c>
      <c r="AA135" s="52">
        <f t="shared" si="48"/>
        <v>0.46880849673938751</v>
      </c>
    </row>
    <row r="136" spans="2:27" ht="15.75" customHeight="1" x14ac:dyDescent="0.25">
      <c r="B136" s="50" t="s">
        <v>349</v>
      </c>
      <c r="C136" s="97">
        <f>C12</f>
        <v>346.51289749729773</v>
      </c>
      <c r="D136" s="97">
        <f>D12</f>
        <v>412.71817597187191</v>
      </c>
      <c r="E136" s="97">
        <v>416.970742493599</v>
      </c>
      <c r="F136" s="97">
        <f t="shared" ref="F136:AA136" si="49">F12</f>
        <v>424.31193538476521</v>
      </c>
      <c r="G136" s="97">
        <f t="shared" si="49"/>
        <v>427.29246873389093</v>
      </c>
      <c r="H136" s="97">
        <f t="shared" si="49"/>
        <v>424.72558476408665</v>
      </c>
      <c r="I136" s="97">
        <f t="shared" si="49"/>
        <v>417.72880881164673</v>
      </c>
      <c r="J136" s="97">
        <f t="shared" si="49"/>
        <v>423.46308299180231</v>
      </c>
      <c r="K136" s="97">
        <f t="shared" si="49"/>
        <v>422.224931168701</v>
      </c>
      <c r="L136" s="97">
        <f t="shared" si="49"/>
        <v>430.43128100133168</v>
      </c>
      <c r="M136" s="97">
        <f t="shared" si="49"/>
        <v>425.73011216116225</v>
      </c>
      <c r="N136" s="97">
        <f t="shared" si="49"/>
        <v>426.17853740771051</v>
      </c>
      <c r="O136" s="97">
        <f t="shared" si="49"/>
        <v>426.20785564891816</v>
      </c>
      <c r="P136" s="97">
        <f t="shared" si="49"/>
        <v>431.7930776732058</v>
      </c>
      <c r="Q136" s="97">
        <f t="shared" si="49"/>
        <v>437.95599206692754</v>
      </c>
      <c r="R136" s="97">
        <f t="shared" si="49"/>
        <v>432.80625812267039</v>
      </c>
      <c r="S136" s="97">
        <f t="shared" si="49"/>
        <v>429.75628846131258</v>
      </c>
      <c r="T136" s="97">
        <f t="shared" si="49"/>
        <v>433.12822022784059</v>
      </c>
      <c r="U136" s="97">
        <f t="shared" si="49"/>
        <v>424.01267938408671</v>
      </c>
      <c r="V136" s="97">
        <f t="shared" si="49"/>
        <v>435.38841544129747</v>
      </c>
      <c r="W136" s="97">
        <f t="shared" si="49"/>
        <v>433.09709361631798</v>
      </c>
      <c r="X136" s="97">
        <f t="shared" si="49"/>
        <v>436.89027655227392</v>
      </c>
      <c r="Y136" s="97">
        <f t="shared" si="49"/>
        <v>432.68585279610966</v>
      </c>
      <c r="Z136" s="97">
        <f t="shared" si="49"/>
        <v>433.96607495371228</v>
      </c>
      <c r="AA136" s="97">
        <f t="shared" si="49"/>
        <v>432.54123045630308</v>
      </c>
    </row>
    <row r="137" spans="2:27" ht="15.75" customHeight="1" x14ac:dyDescent="0.25">
      <c r="B137" s="50" t="s">
        <v>350</v>
      </c>
      <c r="C137" s="88">
        <f>(C134*16.67)*(1-C135)/C136</f>
        <v>0.5970706013657795</v>
      </c>
      <c r="D137" s="88">
        <f>(D134*16.67)*(1-D135)/D136</f>
        <v>0.44471090527021734</v>
      </c>
      <c r="E137" s="88">
        <v>0.57563742035622001</v>
      </c>
      <c r="F137" s="88">
        <f t="shared" ref="F137:AA137" si="50">(F134*16.67)*(1-F135)/F136</f>
        <v>0.52523246413770586</v>
      </c>
      <c r="G137" s="88">
        <f t="shared" si="50"/>
        <v>0.38456964296623625</v>
      </c>
      <c r="H137" s="88">
        <f t="shared" si="50"/>
        <v>0.53656294165951923</v>
      </c>
      <c r="I137" s="88">
        <f t="shared" si="50"/>
        <v>0.62228191553996115</v>
      </c>
      <c r="J137" s="88">
        <f t="shared" si="50"/>
        <v>0.52022482987820728</v>
      </c>
      <c r="K137" s="88">
        <f t="shared" si="50"/>
        <v>0.70182703797584445</v>
      </c>
      <c r="L137" s="88">
        <f t="shared" si="50"/>
        <v>0.89312687285861947</v>
      </c>
      <c r="M137" s="88">
        <f t="shared" si="50"/>
        <v>1.2401596676462721</v>
      </c>
      <c r="N137" s="88">
        <f t="shared" si="50"/>
        <v>1.1830300781301739</v>
      </c>
      <c r="O137" s="88">
        <f t="shared" si="50"/>
        <v>1.0157384139790886</v>
      </c>
      <c r="P137" s="88">
        <f t="shared" si="50"/>
        <v>1.0330064088639521</v>
      </c>
      <c r="Q137" s="88">
        <f t="shared" si="50"/>
        <v>0.98802269036581591</v>
      </c>
      <c r="R137" s="88">
        <f t="shared" si="50"/>
        <v>1.2487871237921777</v>
      </c>
      <c r="S137" s="88">
        <f t="shared" si="50"/>
        <v>1.6427149788070774</v>
      </c>
      <c r="T137" s="88">
        <f t="shared" si="50"/>
        <v>1.2204169822640087</v>
      </c>
      <c r="U137" s="88">
        <f t="shared" si="50"/>
        <v>1.4027661121329356</v>
      </c>
      <c r="V137" s="88">
        <f t="shared" si="50"/>
        <v>1.3520881210961726</v>
      </c>
      <c r="W137" s="88">
        <f t="shared" si="50"/>
        <v>1.4085993944264843</v>
      </c>
      <c r="X137" s="88">
        <f t="shared" si="50"/>
        <v>1.3815530164006946</v>
      </c>
      <c r="Y137" s="88">
        <f t="shared" si="50"/>
        <v>1.3936589304299762</v>
      </c>
      <c r="Z137" s="88">
        <f t="shared" si="50"/>
        <v>1.056940761850804</v>
      </c>
      <c r="AA137" s="88">
        <f t="shared" si="50"/>
        <v>0.84594652801774461</v>
      </c>
    </row>
    <row r="138" spans="2:27" ht="15.75" customHeight="1" x14ac:dyDescent="0.25">
      <c r="B138" s="9" t="s">
        <v>351</v>
      </c>
      <c r="C138" s="90">
        <f>C133-C137</f>
        <v>1.0999230313969122</v>
      </c>
      <c r="D138" s="90">
        <f>D133-D137</f>
        <v>1.3255132467427799</v>
      </c>
      <c r="E138" s="90">
        <v>1.31039338675048</v>
      </c>
      <c r="F138" s="90">
        <f t="shared" ref="F138:AA138" si="51">F133-F137</f>
        <v>0.91544190336221798</v>
      </c>
      <c r="G138" s="90">
        <f t="shared" si="51"/>
        <v>1.2648021042127</v>
      </c>
      <c r="H138" s="90">
        <f t="shared" si="51"/>
        <v>1.5093042920375077</v>
      </c>
      <c r="I138" s="90">
        <f t="shared" si="51"/>
        <v>1.788271334978341</v>
      </c>
      <c r="J138" s="90">
        <f t="shared" si="51"/>
        <v>1.3950644245605484</v>
      </c>
      <c r="K138" s="90">
        <f t="shared" si="51"/>
        <v>2.0810933821059123</v>
      </c>
      <c r="L138" s="90">
        <f t="shared" si="51"/>
        <v>2.3386267102161939</v>
      </c>
      <c r="M138" s="90">
        <f t="shared" si="51"/>
        <v>2.4912095377830727</v>
      </c>
      <c r="N138" s="90">
        <f t="shared" si="51"/>
        <v>2.1119661735732853</v>
      </c>
      <c r="O138" s="90">
        <f t="shared" si="51"/>
        <v>2.2750045569142689</v>
      </c>
      <c r="P138" s="90">
        <f t="shared" si="51"/>
        <v>2.6228257783521363</v>
      </c>
      <c r="Q138" s="90">
        <f t="shared" si="51"/>
        <v>1.858105423792622</v>
      </c>
      <c r="R138" s="90">
        <f t="shared" si="51"/>
        <v>1.4820943616457225</v>
      </c>
      <c r="S138" s="90">
        <f t="shared" si="51"/>
        <v>1.2002246427677417</v>
      </c>
      <c r="T138" s="90">
        <f t="shared" si="51"/>
        <v>1.7666421672337618</v>
      </c>
      <c r="U138" s="90">
        <f t="shared" si="51"/>
        <v>1.4320378378774845</v>
      </c>
      <c r="V138" s="90">
        <f t="shared" si="51"/>
        <v>0.96015242822876501</v>
      </c>
      <c r="W138" s="90">
        <f t="shared" si="51"/>
        <v>0.73675823400988194</v>
      </c>
      <c r="X138" s="90">
        <f t="shared" si="51"/>
        <v>0.68590489605556981</v>
      </c>
      <c r="Y138" s="90">
        <f t="shared" si="51"/>
        <v>0.89861524192530839</v>
      </c>
      <c r="Z138" s="90">
        <f t="shared" si="51"/>
        <v>1.3623234065059531</v>
      </c>
      <c r="AA138" s="90">
        <f t="shared" si="51"/>
        <v>1.8214612094045233</v>
      </c>
    </row>
    <row r="139" spans="2:27" ht="15.75" customHeight="1" x14ac:dyDescent="0.25">
      <c r="B139" s="9" t="s">
        <v>352</v>
      </c>
      <c r="C139" s="90">
        <f>C128-C138</f>
        <v>-0.5325384229231187</v>
      </c>
      <c r="D139" s="90">
        <f>D128-D138</f>
        <v>-0.50110414860746333</v>
      </c>
      <c r="E139" s="90">
        <v>-0.38015486796819797</v>
      </c>
      <c r="F139" s="90">
        <f t="shared" ref="F139:AA139" si="52">F128-F138</f>
        <v>-0.26686172985557466</v>
      </c>
      <c r="G139" s="90">
        <f t="shared" si="52"/>
        <v>-0.27281085716902298</v>
      </c>
      <c r="H139" s="90">
        <f t="shared" si="52"/>
        <v>-0.39432129611501598</v>
      </c>
      <c r="I139" s="90">
        <f t="shared" si="52"/>
        <v>-0.42218458336617215</v>
      </c>
      <c r="J139" s="90">
        <f t="shared" si="52"/>
        <v>-0.34848272667260516</v>
      </c>
      <c r="K139" s="90">
        <f t="shared" si="52"/>
        <v>-0.42402074221578889</v>
      </c>
      <c r="L139" s="90">
        <f t="shared" si="52"/>
        <v>-0.44018060130130077</v>
      </c>
      <c r="M139" s="90">
        <f t="shared" si="52"/>
        <v>-0.39067628971950308</v>
      </c>
      <c r="N139" s="90">
        <f t="shared" si="52"/>
        <v>-0.40800866411129211</v>
      </c>
      <c r="O139" s="90">
        <f t="shared" si="52"/>
        <v>-0.4232158573124698</v>
      </c>
      <c r="P139" s="90">
        <f t="shared" si="52"/>
        <v>-0.41938658511023386</v>
      </c>
      <c r="Q139" s="90">
        <f t="shared" si="52"/>
        <v>0.14687889721774638</v>
      </c>
      <c r="R139" s="90">
        <f t="shared" si="52"/>
        <v>-4.9809198208182304E-2</v>
      </c>
      <c r="S139" s="90">
        <f t="shared" si="52"/>
        <v>-7.2799988621168543E-2</v>
      </c>
      <c r="T139" s="90">
        <f t="shared" si="52"/>
        <v>-0.12396222545283253</v>
      </c>
      <c r="U139" s="90">
        <f t="shared" si="52"/>
        <v>-0.47503604550206646</v>
      </c>
      <c r="V139" s="90">
        <f t="shared" si="52"/>
        <v>-0.49979691040224267</v>
      </c>
      <c r="W139" s="90">
        <f t="shared" si="52"/>
        <v>-0.44470197706158426</v>
      </c>
      <c r="X139" s="90">
        <f t="shared" si="52"/>
        <v>-0.56024512065992538</v>
      </c>
      <c r="Y139" s="90">
        <f t="shared" si="52"/>
        <v>-0.48973967237304417</v>
      </c>
      <c r="Z139" s="90">
        <f t="shared" si="52"/>
        <v>-0.60633415064906082</v>
      </c>
      <c r="AA139" s="90">
        <f t="shared" si="52"/>
        <v>-0.52721290018464373</v>
      </c>
    </row>
    <row r="140" spans="2:27" ht="15.75" customHeight="1" x14ac:dyDescent="0.45">
      <c r="B140" s="51"/>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row>
    <row r="141" spans="2:27" ht="15.75" customHeight="1" x14ac:dyDescent="0.25">
      <c r="B141" s="11" t="s">
        <v>353</v>
      </c>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row>
    <row r="142" spans="2:27" ht="15.75" customHeight="1" x14ac:dyDescent="0.25">
      <c r="B142" s="44" t="s">
        <v>354</v>
      </c>
      <c r="C142" s="89">
        <f>SUM(C143:C144)</f>
        <v>1.9081838818919628</v>
      </c>
      <c r="D142" s="89">
        <f>SUM(D143:D144)</f>
        <v>2.110983645481106</v>
      </c>
      <c r="E142" s="89">
        <v>2.2358225252219599</v>
      </c>
      <c r="F142" s="89">
        <f t="shared" ref="F142:AA142" si="53">SUM(F143:F144)</f>
        <v>1.8693504504305998</v>
      </c>
      <c r="G142" s="89">
        <f t="shared" si="53"/>
        <v>2.1718611695909473</v>
      </c>
      <c r="H142" s="89">
        <f t="shared" si="53"/>
        <v>2.6738145471965176</v>
      </c>
      <c r="I142" s="89">
        <f t="shared" si="53"/>
        <v>3.0953937183867879</v>
      </c>
      <c r="J142" s="89">
        <f t="shared" si="53"/>
        <v>2.4841650700911089</v>
      </c>
      <c r="K142" s="89">
        <f t="shared" si="53"/>
        <v>3.6359815455398685</v>
      </c>
      <c r="L142" s="89">
        <f t="shared" si="53"/>
        <v>4.1147759992623323</v>
      </c>
      <c r="M142" s="89">
        <f t="shared" si="53"/>
        <v>4.578867848513795</v>
      </c>
      <c r="N142" s="89">
        <f t="shared" si="53"/>
        <v>4.2639193697347872</v>
      </c>
      <c r="O142" s="89">
        <f t="shared" si="53"/>
        <v>4.1790530635398921</v>
      </c>
      <c r="P142" s="89">
        <f t="shared" si="53"/>
        <v>4.727108623674539</v>
      </c>
      <c r="Q142" s="89">
        <f t="shared" si="53"/>
        <v>3.9161084060048328</v>
      </c>
      <c r="R142" s="89">
        <f t="shared" si="53"/>
        <v>3.6994811188141683</v>
      </c>
      <c r="S142" s="89">
        <f t="shared" si="53"/>
        <v>3.8290434054760274</v>
      </c>
      <c r="T142" s="89">
        <f t="shared" si="53"/>
        <v>4.00712860019497</v>
      </c>
      <c r="U142" s="89">
        <f t="shared" si="53"/>
        <v>3.6657304066736267</v>
      </c>
      <c r="V142" s="89">
        <f t="shared" si="53"/>
        <v>3.0585778142367133</v>
      </c>
      <c r="W142" s="89">
        <f t="shared" si="53"/>
        <v>2.8472822916796074</v>
      </c>
      <c r="X142" s="89">
        <f t="shared" si="53"/>
        <v>2.7175467114377629</v>
      </c>
      <c r="Y142" s="89">
        <f t="shared" si="53"/>
        <v>3.019027735328391</v>
      </c>
      <c r="Z142" s="89">
        <f t="shared" si="53"/>
        <v>3.0704429497678043</v>
      </c>
      <c r="AA142" s="89">
        <f t="shared" si="53"/>
        <v>3.3555347657095957</v>
      </c>
    </row>
    <row r="143" spans="2:27" ht="15.75" customHeight="1" x14ac:dyDescent="0.25">
      <c r="B143" s="50" t="s">
        <v>355</v>
      </c>
      <c r="C143" s="88">
        <f>C23/C95</f>
        <v>1.6969936327626918</v>
      </c>
      <c r="D143" s="88">
        <f>D23/D95</f>
        <v>1.7702241520129973</v>
      </c>
      <c r="E143" s="88">
        <v>1.8860308071067</v>
      </c>
      <c r="F143" s="88">
        <f t="shared" ref="F143:AA143" si="54">F23/F95</f>
        <v>1.4406743674999238</v>
      </c>
      <c r="G143" s="88">
        <f t="shared" si="54"/>
        <v>1.6493717471789362</v>
      </c>
      <c r="H143" s="88">
        <f t="shared" si="54"/>
        <v>2.0458672336970269</v>
      </c>
      <c r="I143" s="88">
        <f t="shared" si="54"/>
        <v>2.4105532505183023</v>
      </c>
      <c r="J143" s="88">
        <f t="shared" si="54"/>
        <v>1.9152892544387556</v>
      </c>
      <c r="K143" s="88">
        <f t="shared" si="54"/>
        <v>2.7829204200817568</v>
      </c>
      <c r="L143" s="88">
        <f t="shared" si="54"/>
        <v>3.2317535830748132</v>
      </c>
      <c r="M143" s="88">
        <f t="shared" si="54"/>
        <v>3.731369205429345</v>
      </c>
      <c r="N143" s="88">
        <f t="shared" si="54"/>
        <v>3.2949962517034592</v>
      </c>
      <c r="O143" s="88">
        <f t="shared" si="54"/>
        <v>3.2907429708933575</v>
      </c>
      <c r="P143" s="88">
        <f t="shared" si="54"/>
        <v>3.6558321872160886</v>
      </c>
      <c r="Q143" s="88">
        <f t="shared" si="54"/>
        <v>2.846128114158438</v>
      </c>
      <c r="R143" s="88">
        <f t="shared" si="54"/>
        <v>2.7308814854379002</v>
      </c>
      <c r="S143" s="88">
        <f t="shared" si="54"/>
        <v>2.8429396215748191</v>
      </c>
      <c r="T143" s="88">
        <f t="shared" si="54"/>
        <v>2.9870591494977705</v>
      </c>
      <c r="U143" s="88">
        <f t="shared" si="54"/>
        <v>2.8348039500104201</v>
      </c>
      <c r="V143" s="88">
        <f t="shared" si="54"/>
        <v>2.3122405493249376</v>
      </c>
      <c r="W143" s="88">
        <f t="shared" si="54"/>
        <v>2.1453576284363662</v>
      </c>
      <c r="X143" s="88">
        <f t="shared" si="54"/>
        <v>2.0674579124562644</v>
      </c>
      <c r="Y143" s="88">
        <f t="shared" si="54"/>
        <v>2.2922741723552846</v>
      </c>
      <c r="Z143" s="88">
        <f t="shared" si="54"/>
        <v>2.4192641683567571</v>
      </c>
      <c r="AA143" s="88">
        <f t="shared" si="54"/>
        <v>2.667407737422268</v>
      </c>
    </row>
    <row r="144" spans="2:27" ht="15.75" customHeight="1" x14ac:dyDescent="0.25">
      <c r="B144" s="50" t="s">
        <v>356</v>
      </c>
      <c r="C144" s="88">
        <f>(C26+C32+C33)/C11</f>
        <v>0.2111902491292709</v>
      </c>
      <c r="D144" s="88">
        <f>(D26+D32+D33)/D11</f>
        <v>0.34075949346810841</v>
      </c>
      <c r="E144" s="88">
        <v>0.349791718115263</v>
      </c>
      <c r="F144" s="88">
        <f t="shared" ref="F144:AA144" si="55">(F26+F32+F33)/F11</f>
        <v>0.42867608293067588</v>
      </c>
      <c r="G144" s="88">
        <f t="shared" si="55"/>
        <v>0.52248942241201102</v>
      </c>
      <c r="H144" s="88">
        <f t="shared" si="55"/>
        <v>0.6279473134994904</v>
      </c>
      <c r="I144" s="88">
        <f t="shared" si="55"/>
        <v>0.68484046786848563</v>
      </c>
      <c r="J144" s="88">
        <f t="shared" si="55"/>
        <v>0.56887581565235323</v>
      </c>
      <c r="K144" s="88">
        <f t="shared" si="55"/>
        <v>0.85306112545811197</v>
      </c>
      <c r="L144" s="88">
        <f t="shared" si="55"/>
        <v>0.88302241618751909</v>
      </c>
      <c r="M144" s="88">
        <f t="shared" si="55"/>
        <v>0.84749864308445044</v>
      </c>
      <c r="N144" s="88">
        <f t="shared" si="55"/>
        <v>0.96892311803132802</v>
      </c>
      <c r="O144" s="88">
        <f t="shared" si="55"/>
        <v>0.88831009264653471</v>
      </c>
      <c r="P144" s="88">
        <f t="shared" si="55"/>
        <v>1.0712764364584504</v>
      </c>
      <c r="Q144" s="88">
        <f t="shared" si="55"/>
        <v>1.0699802918463945</v>
      </c>
      <c r="R144" s="88">
        <f t="shared" si="55"/>
        <v>0.9685996333762682</v>
      </c>
      <c r="S144" s="88">
        <f t="shared" si="55"/>
        <v>0.98610378390120823</v>
      </c>
      <c r="T144" s="88">
        <f t="shared" si="55"/>
        <v>1.0200694506971995</v>
      </c>
      <c r="U144" s="88">
        <f t="shared" si="55"/>
        <v>0.83092645666320664</v>
      </c>
      <c r="V144" s="88">
        <f t="shared" si="55"/>
        <v>0.74633726491177577</v>
      </c>
      <c r="W144" s="88">
        <f t="shared" si="55"/>
        <v>0.70192466324324121</v>
      </c>
      <c r="X144" s="88">
        <f t="shared" si="55"/>
        <v>0.65008879898149863</v>
      </c>
      <c r="Y144" s="88">
        <f t="shared" si="55"/>
        <v>0.72675356297310634</v>
      </c>
      <c r="Z144" s="88">
        <f t="shared" si="55"/>
        <v>0.65117878141104735</v>
      </c>
      <c r="AA144" s="88">
        <f t="shared" si="55"/>
        <v>0.68812702828732786</v>
      </c>
    </row>
    <row r="145" spans="2:27" ht="15.75" customHeight="1" x14ac:dyDescent="0.25">
      <c r="B145" s="9" t="s">
        <v>357</v>
      </c>
      <c r="C145" s="90">
        <f>C142-C144</f>
        <v>1.6969936327626918</v>
      </c>
      <c r="D145" s="90">
        <f>D142-D144</f>
        <v>1.7702241520129975</v>
      </c>
      <c r="E145" s="90">
        <v>1.8860308071067</v>
      </c>
      <c r="F145" s="90">
        <f t="shared" ref="F145:AA145" si="56">F142-F144</f>
        <v>1.4406743674999238</v>
      </c>
      <c r="G145" s="90">
        <f t="shared" si="56"/>
        <v>1.6493717471789364</v>
      </c>
      <c r="H145" s="90">
        <f t="shared" si="56"/>
        <v>2.0458672336970274</v>
      </c>
      <c r="I145" s="90">
        <f t="shared" si="56"/>
        <v>2.4105532505183023</v>
      </c>
      <c r="J145" s="90">
        <f t="shared" si="56"/>
        <v>1.9152892544387556</v>
      </c>
      <c r="K145" s="90">
        <f t="shared" si="56"/>
        <v>2.7829204200817568</v>
      </c>
      <c r="L145" s="90">
        <f t="shared" si="56"/>
        <v>3.2317535830748132</v>
      </c>
      <c r="M145" s="90">
        <f t="shared" si="56"/>
        <v>3.7313692054293446</v>
      </c>
      <c r="N145" s="90">
        <f t="shared" si="56"/>
        <v>3.2949962517034592</v>
      </c>
      <c r="O145" s="90">
        <f t="shared" si="56"/>
        <v>3.2907429708933575</v>
      </c>
      <c r="P145" s="90">
        <f t="shared" si="56"/>
        <v>3.6558321872160886</v>
      </c>
      <c r="Q145" s="90">
        <f t="shared" si="56"/>
        <v>2.8461281141584385</v>
      </c>
      <c r="R145" s="90">
        <f t="shared" si="56"/>
        <v>2.7308814854379002</v>
      </c>
      <c r="S145" s="90">
        <f t="shared" si="56"/>
        <v>2.8429396215748191</v>
      </c>
      <c r="T145" s="90">
        <f t="shared" si="56"/>
        <v>2.9870591494977705</v>
      </c>
      <c r="U145" s="90">
        <f t="shared" si="56"/>
        <v>2.8348039500104201</v>
      </c>
      <c r="V145" s="90">
        <f t="shared" si="56"/>
        <v>2.3122405493249376</v>
      </c>
      <c r="W145" s="90">
        <f t="shared" si="56"/>
        <v>2.1453576284363662</v>
      </c>
      <c r="X145" s="90">
        <f t="shared" si="56"/>
        <v>2.0674579124562644</v>
      </c>
      <c r="Y145" s="90">
        <f t="shared" si="56"/>
        <v>2.2922741723552846</v>
      </c>
      <c r="Z145" s="90">
        <f t="shared" si="56"/>
        <v>2.4192641683567571</v>
      </c>
      <c r="AA145" s="90">
        <f t="shared" si="56"/>
        <v>2.667407737422268</v>
      </c>
    </row>
    <row r="146" spans="2:27" ht="15.75" customHeight="1" x14ac:dyDescent="0.25">
      <c r="B146" s="8" t="s">
        <v>358</v>
      </c>
      <c r="C146" s="88">
        <f>C147+C148+C149</f>
        <v>-1.3817514368903752</v>
      </c>
      <c r="D146" s="88">
        <f>D147+D148+D149</f>
        <v>-1.287458675314691</v>
      </c>
      <c r="E146" s="88">
        <v>-1.3224312942379901</v>
      </c>
      <c r="F146" s="88">
        <f t="shared" ref="F146:AA146" si="57">F147+F148+F149</f>
        <v>-1.2801865103731667</v>
      </c>
      <c r="G146" s="88">
        <f t="shared" si="57"/>
        <v>-1.2953228472957192</v>
      </c>
      <c r="H146" s="88">
        <f t="shared" si="57"/>
        <v>-1.5498011992210734</v>
      </c>
      <c r="I146" s="88">
        <f t="shared" si="57"/>
        <v>-1.6724059782929608</v>
      </c>
      <c r="J146" s="88">
        <f t="shared" si="57"/>
        <v>-1.4623679128030431</v>
      </c>
      <c r="K146" s="88">
        <f t="shared" si="57"/>
        <v>-2.032814124682488</v>
      </c>
      <c r="L146" s="88">
        <f t="shared" si="57"/>
        <v>-2.335784832703494</v>
      </c>
      <c r="M146" s="88">
        <f t="shared" si="57"/>
        <v>-2.4176559465168816</v>
      </c>
      <c r="N146" s="88">
        <f t="shared" si="57"/>
        <v>-2.5532472970190745</v>
      </c>
      <c r="O146" s="88">
        <f t="shared" si="57"/>
        <v>-2.3480416682682028</v>
      </c>
      <c r="P146" s="88">
        <f t="shared" si="57"/>
        <v>-2.6247892604885243</v>
      </c>
      <c r="Q146" s="88">
        <f t="shared" si="57"/>
        <v>-2.1203275939735549</v>
      </c>
      <c r="R146" s="88">
        <f t="shared" si="57"/>
        <v>-2.4581082451973111</v>
      </c>
      <c r="S146" s="88">
        <f t="shared" si="57"/>
        <v>-2.5341865227811775</v>
      </c>
      <c r="T146" s="88">
        <f t="shared" si="57"/>
        <v>-2.4363467167358293</v>
      </c>
      <c r="U146" s="88">
        <f t="shared" si="57"/>
        <v>-2.86988428294277</v>
      </c>
      <c r="V146" s="88">
        <f t="shared" si="57"/>
        <v>-2.7686653437857802</v>
      </c>
      <c r="W146" s="88">
        <f t="shared" si="57"/>
        <v>-2.6492907360045281</v>
      </c>
      <c r="X146" s="88">
        <f t="shared" si="57"/>
        <v>-2.668306342020772</v>
      </c>
      <c r="Y146" s="88">
        <f t="shared" si="57"/>
        <v>-2.7240314454065748</v>
      </c>
      <c r="Z146" s="88">
        <f t="shared" si="57"/>
        <v>-2.478235560452422</v>
      </c>
      <c r="AA146" s="88">
        <f t="shared" si="57"/>
        <v>-2.3668192710810052</v>
      </c>
    </row>
    <row r="147" spans="2:27" ht="15.75" customHeight="1" x14ac:dyDescent="0.25">
      <c r="B147" s="50" t="s">
        <v>359</v>
      </c>
      <c r="C147" s="88">
        <f>(C90-C74)/C95</f>
        <v>-1.2142055284242934</v>
      </c>
      <c r="D147" s="88">
        <f>(D90-D74)/D95</f>
        <v>-1.2084482529982667</v>
      </c>
      <c r="E147" s="88">
        <v>-1.29601687959305</v>
      </c>
      <c r="F147" s="88">
        <f t="shared" ref="F147:AA147" si="58">(F90-F74)/F95</f>
        <v>-1.3116465621731257</v>
      </c>
      <c r="G147" s="88">
        <f t="shared" si="58"/>
        <v>-1.3281924525003379</v>
      </c>
      <c r="H147" s="88">
        <f t="shared" si="58"/>
        <v>-1.5372091714684777</v>
      </c>
      <c r="I147" s="88">
        <f t="shared" si="58"/>
        <v>-1.659848655505737</v>
      </c>
      <c r="J147" s="88">
        <f t="shared" si="58"/>
        <v>-1.4714621793821399</v>
      </c>
      <c r="K147" s="88">
        <f t="shared" si="58"/>
        <v>-2.0481144737454797</v>
      </c>
      <c r="L147" s="88">
        <f t="shared" si="58"/>
        <v>-2.3474953939732144</v>
      </c>
      <c r="M147" s="88">
        <f t="shared" si="58"/>
        <v>-2.4293260321919634</v>
      </c>
      <c r="N147" s="88">
        <f t="shared" si="58"/>
        <v>-2.5842776420033196</v>
      </c>
      <c r="O147" s="88">
        <f t="shared" si="58"/>
        <v>-2.3652438033407002</v>
      </c>
      <c r="P147" s="88">
        <f t="shared" si="58"/>
        <v>-2.745061156147071</v>
      </c>
      <c r="Q147" s="88">
        <f t="shared" si="58"/>
        <v>-2.7503503386589512</v>
      </c>
      <c r="R147" s="88">
        <f t="shared" si="58"/>
        <v>-2.8503215022696735</v>
      </c>
      <c r="S147" s="88">
        <f t="shared" si="58"/>
        <v>-3.0328134200265082</v>
      </c>
      <c r="T147" s="88">
        <f t="shared" si="58"/>
        <v>-2.8582959914463095</v>
      </c>
      <c r="U147" s="88">
        <f t="shared" si="58"/>
        <v>-2.9281688643876751</v>
      </c>
      <c r="V147" s="88">
        <f t="shared" si="58"/>
        <v>-2.8565501694991782</v>
      </c>
      <c r="W147" s="88">
        <f t="shared" si="58"/>
        <v>-2.7457606191444812</v>
      </c>
      <c r="X147" s="88">
        <f t="shared" si="58"/>
        <v>-2.6785925393444434</v>
      </c>
      <c r="Y147" s="88">
        <f t="shared" si="58"/>
        <v>-2.7863804717103879</v>
      </c>
      <c r="Z147" s="88">
        <f t="shared" si="58"/>
        <v>-2.5077617223589965</v>
      </c>
      <c r="AA147" s="88">
        <f t="shared" si="58"/>
        <v>-2.3824411716642842</v>
      </c>
    </row>
    <row r="148" spans="2:27" ht="15.75" customHeight="1" x14ac:dyDescent="0.25">
      <c r="B148" s="50" t="s">
        <v>360</v>
      </c>
      <c r="C148" s="88">
        <f>('Statement of income'!C14+C43)/C11</f>
        <v>-0.24821536513053741</v>
      </c>
      <c r="D148" s="88">
        <f>('Statement of income'!D14+D43)/D11</f>
        <v>-0.14497810734040659</v>
      </c>
      <c r="E148" s="88">
        <v>-0.10713442088543</v>
      </c>
      <c r="F148" s="88">
        <f>('Statement of income'!F14+F43)/F11</f>
        <v>-6.3278761653553978E-2</v>
      </c>
      <c r="G148" s="88">
        <f>('Statement of income'!G14+G43)/G11</f>
        <v>-3.8365072114585008E-2</v>
      </c>
      <c r="H148" s="88">
        <f>('Statement of income'!H14+H43)/H11</f>
        <v>-7.2982920713520749E-2</v>
      </c>
      <c r="I148" s="88">
        <f>('Statement of income'!I14+I43)/I11</f>
        <v>-7.5395173785396064E-2</v>
      </c>
      <c r="J148" s="88">
        <f>('Statement of income'!J14+J43)/J11</f>
        <v>-6.2540212558028579E-2</v>
      </c>
      <c r="K148" s="88">
        <f>('Statement of income'!K14+K43)/K11</f>
        <v>-8.3396184980581683E-2</v>
      </c>
      <c r="L148" s="88">
        <f>('Statement of income'!L14+L43)/L11</f>
        <v>-7.8427304771780129E-2</v>
      </c>
      <c r="M148" s="88">
        <f>('Statement of income'!M14+M43)/M11</f>
        <v>-7.5190274083830722E-2</v>
      </c>
      <c r="N148" s="88">
        <f>('Statement of income'!N14+N43)/N11</f>
        <v>-6.1367636602387164E-2</v>
      </c>
      <c r="O148" s="88">
        <f>('Statement of income'!O14+O43)/O11</f>
        <v>-7.4502042229604451E-2</v>
      </c>
      <c r="P148" s="88">
        <f>('Statement of income'!P14+P43)/P11</f>
        <v>1.31503562924658E-2</v>
      </c>
      <c r="Q148" s="88">
        <f>('Statement of income'!Q14+Q43)/Q11</f>
        <v>0.53330119220652472</v>
      </c>
      <c r="R148" s="88">
        <f>('Statement of income'!R14+R43)/R11</f>
        <v>0.28846073610349476</v>
      </c>
      <c r="S148" s="88">
        <f>('Statement of income'!S14+S43)/S11</f>
        <v>0.39887988637654642</v>
      </c>
      <c r="T148" s="88">
        <f>('Statement of income'!T14+T43)/T11</f>
        <v>0.32038400067287526</v>
      </c>
      <c r="U148" s="88">
        <f>('Statement of income'!U14+U43)/U11</f>
        <v>-6.3290291840139054E-2</v>
      </c>
      <c r="V148" s="88">
        <f>('Statement of income'!V14+V43)/V11</f>
        <v>-4.5448472312705941E-2</v>
      </c>
      <c r="W148" s="88">
        <f>('Statement of income'!W14+W43)/W11</f>
        <v>-2.5987141194994193E-2</v>
      </c>
      <c r="X148" s="88">
        <f>('Statement of income'!X14+X43)/X11</f>
        <v>-0.10547246698414864</v>
      </c>
      <c r="Y148" s="88">
        <f>('Statement of income'!Y14+Y43)/Y11</f>
        <v>-6.0487787965806339E-2</v>
      </c>
      <c r="Z148" s="88">
        <f>('Statement of income'!Z14+Z43)/Z11</f>
        <v>-9.7401951459580777E-2</v>
      </c>
      <c r="AA148" s="88">
        <f>('Statement of income'!AA14+AA43)/AA11</f>
        <v>-0.1144242289736485</v>
      </c>
    </row>
    <row r="149" spans="2:27" ht="15.75" customHeight="1" x14ac:dyDescent="0.25">
      <c r="B149" s="50" t="s">
        <v>361</v>
      </c>
      <c r="C149" s="88">
        <f>'Statement of cash flow'!C9/C95</f>
        <v>8.0669456664455658E-2</v>
      </c>
      <c r="D149" s="88">
        <f>'Statement of cash flow'!D9/D95</f>
        <v>6.5967685023982259E-2</v>
      </c>
      <c r="E149" s="88">
        <v>8.0720006240487793E-2</v>
      </c>
      <c r="F149" s="88">
        <f>'Statement of cash flow'!Z9/F95</f>
        <v>9.4738813453512913E-2</v>
      </c>
      <c r="G149" s="88">
        <f>'Statement of cash flow'!AA9/G95</f>
        <v>7.1234677319203715E-2</v>
      </c>
      <c r="H149" s="88">
        <f>'Statement of cash flow'!AB9/H95</f>
        <v>6.0390892960925237E-2</v>
      </c>
      <c r="I149" s="88">
        <f>'Statement of cash flow'!AC9/I95</f>
        <v>6.2837850998172351E-2</v>
      </c>
      <c r="J149" s="88">
        <f>'Statement of cash flow'!I9/J95</f>
        <v>7.1634479137125326E-2</v>
      </c>
      <c r="K149" s="88">
        <f>'Statement of cash flow'!AD9/K95</f>
        <v>9.86965340435733E-2</v>
      </c>
      <c r="L149" s="88">
        <f>'Statement of cash flow'!AE9/L95</f>
        <v>9.0137866041500481E-2</v>
      </c>
      <c r="M149" s="88">
        <f>'Statement of cash flow'!AF9/M95</f>
        <v>8.6860359758912556E-2</v>
      </c>
      <c r="N149" s="88">
        <f>'Statement of cash flow'!AG9/N95</f>
        <v>9.239798158663208E-2</v>
      </c>
      <c r="O149" s="88">
        <f>'Statement of cash flow'!M9/O95</f>
        <v>9.1704177302101814E-2</v>
      </c>
      <c r="P149" s="88">
        <f>'Statement of cash flow'!AH9/P95</f>
        <v>0.10712153936608081</v>
      </c>
      <c r="Q149" s="88">
        <f>'Statement of cash flow'!AI9/Q95</f>
        <v>9.6721552478871708E-2</v>
      </c>
      <c r="R149" s="88">
        <f>'Statement of cash flow'!AJ9/R95</f>
        <v>0.10375252096886781</v>
      </c>
      <c r="S149" s="88">
        <f>'Statement of cash flow'!AK9/S95</f>
        <v>9.9747010868784319E-2</v>
      </c>
      <c r="T149" s="88">
        <f>'Statement of cash flow'!Q9/T95</f>
        <v>0.10156527403760486</v>
      </c>
      <c r="U149" s="88">
        <f>'Statement of cash flow'!AL9/U95</f>
        <v>0.12157487328504431</v>
      </c>
      <c r="V149" s="88">
        <f>'Statement of cash flow'!AM9/V95</f>
        <v>0.13333329802610361</v>
      </c>
      <c r="W149" s="88">
        <f>'Statement of cash flow'!AN9/W95</f>
        <v>0.12245702433494705</v>
      </c>
      <c r="X149" s="88">
        <f>'Statement of cash flow'!AO9/X95</f>
        <v>0.11575866430781977</v>
      </c>
      <c r="Y149" s="88">
        <f>'Statement of cash flow'!U9/Y95</f>
        <v>0.12283681426961907</v>
      </c>
      <c r="Z149" s="88">
        <f>'Statement of cash flow'!AP9/Z95</f>
        <v>0.12692811336615567</v>
      </c>
      <c r="AA149" s="88">
        <f>'Statement of cash flow'!AQ9/AA95</f>
        <v>0.1300461295569274</v>
      </c>
    </row>
    <row r="150" spans="2:27" ht="15.75" customHeight="1" x14ac:dyDescent="0.25">
      <c r="B150" s="8" t="s">
        <v>362</v>
      </c>
      <c r="C150" s="88">
        <f>(C26+C31)/C11</f>
        <v>0.25211451728505224</v>
      </c>
      <c r="D150" s="88">
        <f>(D26+D31)/D11</f>
        <v>0.34075949346810841</v>
      </c>
      <c r="E150" s="88">
        <v>0.349791718115263</v>
      </c>
      <c r="F150" s="88">
        <f t="shared" ref="F150:AA150" si="59">(F26+F31)/F11</f>
        <v>0.42867608293067588</v>
      </c>
      <c r="G150" s="88">
        <f t="shared" si="59"/>
        <v>0.52248942241201102</v>
      </c>
      <c r="H150" s="88">
        <f t="shared" si="59"/>
        <v>0.6279473134994904</v>
      </c>
      <c r="I150" s="88">
        <f t="shared" si="59"/>
        <v>0.68484046786848563</v>
      </c>
      <c r="J150" s="88">
        <f t="shared" si="59"/>
        <v>0.56887581565235323</v>
      </c>
      <c r="K150" s="88">
        <f t="shared" si="59"/>
        <v>0.85306112545811197</v>
      </c>
      <c r="L150" s="88">
        <f t="shared" si="59"/>
        <v>0.88302241618751909</v>
      </c>
      <c r="M150" s="88">
        <f t="shared" si="59"/>
        <v>0.84749864308445044</v>
      </c>
      <c r="N150" s="88">
        <f t="shared" si="59"/>
        <v>0.96892311803132802</v>
      </c>
      <c r="O150" s="88">
        <f t="shared" si="59"/>
        <v>0.88831009264653471</v>
      </c>
      <c r="P150" s="88">
        <f t="shared" si="59"/>
        <v>1.0712764364584504</v>
      </c>
      <c r="Q150" s="88">
        <f t="shared" si="59"/>
        <v>1.0699802918463945</v>
      </c>
      <c r="R150" s="88">
        <f t="shared" si="59"/>
        <v>0.9685996333762682</v>
      </c>
      <c r="S150" s="88">
        <f t="shared" si="59"/>
        <v>0.98610378390120823</v>
      </c>
      <c r="T150" s="88">
        <f t="shared" si="59"/>
        <v>1.0200694506971995</v>
      </c>
      <c r="U150" s="88">
        <f t="shared" si="59"/>
        <v>0.83092645666320664</v>
      </c>
      <c r="V150" s="88">
        <f t="shared" si="59"/>
        <v>0.74633726491177577</v>
      </c>
      <c r="W150" s="88">
        <f t="shared" si="59"/>
        <v>0.70192466324324121</v>
      </c>
      <c r="X150" s="88">
        <f t="shared" si="59"/>
        <v>0.65008879898149863</v>
      </c>
      <c r="Y150" s="88">
        <f t="shared" si="59"/>
        <v>0.72675356297310634</v>
      </c>
      <c r="Z150" s="88">
        <f t="shared" si="59"/>
        <v>0.65117878141104735</v>
      </c>
      <c r="AA150" s="88">
        <f t="shared" si="59"/>
        <v>0.68812702828732786</v>
      </c>
    </row>
    <row r="151" spans="2:27" ht="15.75" customHeight="1" x14ac:dyDescent="0.25">
      <c r="B151" s="9" t="s">
        <v>363</v>
      </c>
      <c r="C151" s="90">
        <f>C146+C150</f>
        <v>-1.1296369196053229</v>
      </c>
      <c r="D151" s="90">
        <f>D146+D150</f>
        <v>-0.94669918184658264</v>
      </c>
      <c r="E151" s="90">
        <v>-0.972639576122729</v>
      </c>
      <c r="F151" s="90">
        <f t="shared" ref="F151:AA151" si="60">F146+F150</f>
        <v>-0.85151042744249072</v>
      </c>
      <c r="G151" s="90">
        <f t="shared" si="60"/>
        <v>-0.77283342488370821</v>
      </c>
      <c r="H151" s="90">
        <f t="shared" si="60"/>
        <v>-0.921853885721583</v>
      </c>
      <c r="I151" s="90">
        <f t="shared" si="60"/>
        <v>-0.98756551042447516</v>
      </c>
      <c r="J151" s="90">
        <f t="shared" si="60"/>
        <v>-0.89349209715068989</v>
      </c>
      <c r="K151" s="90">
        <f t="shared" si="60"/>
        <v>-1.179752999224376</v>
      </c>
      <c r="L151" s="90">
        <f t="shared" si="60"/>
        <v>-1.4527624165159749</v>
      </c>
      <c r="M151" s="90">
        <f t="shared" si="60"/>
        <v>-1.5701573034324312</v>
      </c>
      <c r="N151" s="90">
        <f t="shared" si="60"/>
        <v>-1.5843241789877465</v>
      </c>
      <c r="O151" s="90">
        <f t="shared" si="60"/>
        <v>-1.4597315756216682</v>
      </c>
      <c r="P151" s="90">
        <f t="shared" si="60"/>
        <v>-1.553512824030074</v>
      </c>
      <c r="Q151" s="90">
        <f t="shared" si="60"/>
        <v>-1.0503473021271603</v>
      </c>
      <c r="R151" s="90">
        <f t="shared" si="60"/>
        <v>-1.489508611821043</v>
      </c>
      <c r="S151" s="90">
        <f t="shared" si="60"/>
        <v>-1.5480827388799692</v>
      </c>
      <c r="T151" s="90">
        <f t="shared" si="60"/>
        <v>-1.4162772660386298</v>
      </c>
      <c r="U151" s="90">
        <f t="shared" si="60"/>
        <v>-2.0389578262795633</v>
      </c>
      <c r="V151" s="90">
        <f t="shared" si="60"/>
        <v>-2.0223280788740046</v>
      </c>
      <c r="W151" s="90">
        <f t="shared" si="60"/>
        <v>-1.9473660727612869</v>
      </c>
      <c r="X151" s="90">
        <f t="shared" si="60"/>
        <v>-2.0182175430392735</v>
      </c>
      <c r="Y151" s="90">
        <f t="shared" si="60"/>
        <v>-1.9972778824334685</v>
      </c>
      <c r="Z151" s="90">
        <f t="shared" si="60"/>
        <v>-1.8270567790413748</v>
      </c>
      <c r="AA151" s="90">
        <f t="shared" si="60"/>
        <v>-1.6786922427936775</v>
      </c>
    </row>
    <row r="152" spans="2:27" ht="15.75" customHeight="1" x14ac:dyDescent="0.25">
      <c r="B152" s="9" t="s">
        <v>364</v>
      </c>
      <c r="C152" s="90">
        <f>-C129/C11</f>
        <v>-2.9286692956449152E-2</v>
      </c>
      <c r="D152" s="90">
        <f>-D129/D11</f>
        <v>-0.11495029177512028</v>
      </c>
      <c r="E152" s="90">
        <v>-1.7564077056817399E-2</v>
      </c>
      <c r="F152" s="90">
        <f t="shared" ref="F152:AA152" si="61">-F129/F11</f>
        <v>-3.492247747269945E-4</v>
      </c>
      <c r="G152" s="90">
        <f t="shared" si="61"/>
        <v>-8.6975503544677773E-4</v>
      </c>
      <c r="H152" s="90">
        <f t="shared" si="61"/>
        <v>0</v>
      </c>
      <c r="I152" s="90">
        <f t="shared" si="61"/>
        <v>0</v>
      </c>
      <c r="J152" s="90">
        <f t="shared" si="61"/>
        <v>-3.0253115391090581E-4</v>
      </c>
      <c r="K152" s="90">
        <f t="shared" si="61"/>
        <v>-1.2868148190522212E-2</v>
      </c>
      <c r="L152" s="90">
        <f t="shared" si="61"/>
        <v>-7.3659392910741753E-3</v>
      </c>
      <c r="M152" s="90">
        <f t="shared" si="61"/>
        <v>-1.1610805155667276E-2</v>
      </c>
      <c r="N152" s="90">
        <f t="shared" si="61"/>
        <v>-0.10682815796699494</v>
      </c>
      <c r="O152" s="90">
        <f t="shared" si="61"/>
        <v>-3.4628816359291492E-2</v>
      </c>
      <c r="P152" s="90">
        <f t="shared" si="61"/>
        <v>-2.8475771515434501E-2</v>
      </c>
      <c r="Q152" s="90">
        <f t="shared" si="61"/>
        <v>-1.9169861381429544E-2</v>
      </c>
      <c r="R152" s="90">
        <f t="shared" si="61"/>
        <v>1.3771088093870957E-2</v>
      </c>
      <c r="S152" s="90">
        <f t="shared" si="61"/>
        <v>-1.6467050523980637E-2</v>
      </c>
      <c r="T152" s="90">
        <f t="shared" si="61"/>
        <v>-1.1897632942081432E-2</v>
      </c>
      <c r="U152" s="90">
        <f t="shared" si="61"/>
        <v>-1.450246022616326E-2</v>
      </c>
      <c r="V152" s="90">
        <f t="shared" si="61"/>
        <v>-1.2616730998892085E-2</v>
      </c>
      <c r="W152" s="90">
        <f t="shared" si="61"/>
        <v>-1.4063757282457281E-3</v>
      </c>
      <c r="X152" s="90">
        <f t="shared" si="61"/>
        <v>-1.0759633265397693E-2</v>
      </c>
      <c r="Y152" s="90">
        <f t="shared" si="61"/>
        <v>-9.5714436267677512E-3</v>
      </c>
      <c r="Z152" s="90">
        <f t="shared" si="61"/>
        <v>-5.5252379115787419E-3</v>
      </c>
      <c r="AA152" s="90">
        <f t="shared" si="61"/>
        <v>-2.3984791696444988E-3</v>
      </c>
    </row>
    <row r="153" spans="2:27" ht="15.75" customHeight="1" x14ac:dyDescent="0.25">
      <c r="B153" s="8" t="s">
        <v>365</v>
      </c>
      <c r="C153" s="88">
        <f>C151+C152</f>
        <v>-1.1589236125617721</v>
      </c>
      <c r="D153" s="88">
        <f>D151+D152</f>
        <v>-1.0616494736217028</v>
      </c>
      <c r="E153" s="88">
        <v>-0.99020365317954695</v>
      </c>
      <c r="F153" s="88">
        <f t="shared" ref="F153:AA153" si="62">F151+F152</f>
        <v>-0.85185965221721771</v>
      </c>
      <c r="G153" s="88">
        <f t="shared" si="62"/>
        <v>-0.77370317991915494</v>
      </c>
      <c r="H153" s="88">
        <f t="shared" si="62"/>
        <v>-0.921853885721583</v>
      </c>
      <c r="I153" s="88">
        <f t="shared" si="62"/>
        <v>-0.98756551042447516</v>
      </c>
      <c r="J153" s="88">
        <f t="shared" si="62"/>
        <v>-0.89379462830460077</v>
      </c>
      <c r="K153" s="88">
        <f t="shared" si="62"/>
        <v>-1.1926211474148982</v>
      </c>
      <c r="L153" s="88">
        <f t="shared" si="62"/>
        <v>-1.460128355807049</v>
      </c>
      <c r="M153" s="88">
        <f t="shared" si="62"/>
        <v>-1.5817681085880986</v>
      </c>
      <c r="N153" s="88">
        <f t="shared" si="62"/>
        <v>-1.6911523369547414</v>
      </c>
      <c r="O153" s="88">
        <f t="shared" si="62"/>
        <v>-1.4943603919809596</v>
      </c>
      <c r="P153" s="88">
        <f t="shared" si="62"/>
        <v>-1.5819885955455084</v>
      </c>
      <c r="Q153" s="88">
        <f t="shared" si="62"/>
        <v>-1.0695171635085898</v>
      </c>
      <c r="R153" s="88">
        <f t="shared" si="62"/>
        <v>-1.4757375237271719</v>
      </c>
      <c r="S153" s="88">
        <f t="shared" si="62"/>
        <v>-1.5645497894039497</v>
      </c>
      <c r="T153" s="88">
        <f t="shared" si="62"/>
        <v>-1.4281748989807113</v>
      </c>
      <c r="U153" s="88">
        <f t="shared" si="62"/>
        <v>-2.0534602865057265</v>
      </c>
      <c r="V153" s="88">
        <f t="shared" si="62"/>
        <v>-2.0349448098728966</v>
      </c>
      <c r="W153" s="88">
        <f t="shared" si="62"/>
        <v>-1.9487724484895326</v>
      </c>
      <c r="X153" s="88">
        <f t="shared" si="62"/>
        <v>-2.0289771763046711</v>
      </c>
      <c r="Y153" s="88">
        <f t="shared" si="62"/>
        <v>-2.006849326060236</v>
      </c>
      <c r="Z153" s="88">
        <f t="shared" si="62"/>
        <v>-1.8325820169529534</v>
      </c>
      <c r="AA153" s="88">
        <f t="shared" si="62"/>
        <v>-1.681090721963322</v>
      </c>
    </row>
    <row r="154" spans="2:27" ht="15.75" customHeight="1" x14ac:dyDescent="0.25">
      <c r="B154" s="9" t="s">
        <v>366</v>
      </c>
      <c r="C154" s="90">
        <f>C145+C151+C152</f>
        <v>0.53807002020091976</v>
      </c>
      <c r="D154" s="90">
        <f>D145+D151+D152</f>
        <v>0.70857467839129462</v>
      </c>
      <c r="E154" s="90">
        <v>0.89582715392715495</v>
      </c>
      <c r="F154" s="90">
        <f t="shared" ref="F154:AA154" si="63">F145+F151+F152</f>
        <v>0.58881471528270612</v>
      </c>
      <c r="G154" s="90">
        <f t="shared" si="63"/>
        <v>0.87566856725978148</v>
      </c>
      <c r="H154" s="90">
        <f t="shared" si="63"/>
        <v>1.1240133479754444</v>
      </c>
      <c r="I154" s="90">
        <f t="shared" si="63"/>
        <v>1.4229877400938271</v>
      </c>
      <c r="J154" s="90">
        <f t="shared" si="63"/>
        <v>1.0214946261341549</v>
      </c>
      <c r="K154" s="90">
        <f t="shared" si="63"/>
        <v>1.5902992726668586</v>
      </c>
      <c r="L154" s="90">
        <f t="shared" si="63"/>
        <v>1.7716252272677642</v>
      </c>
      <c r="M154" s="90">
        <f t="shared" si="63"/>
        <v>2.1496010968412462</v>
      </c>
      <c r="N154" s="90">
        <f t="shared" si="63"/>
        <v>1.6038439147487178</v>
      </c>
      <c r="O154" s="90">
        <f t="shared" si="63"/>
        <v>1.7963825789123979</v>
      </c>
      <c r="P154" s="90">
        <f t="shared" si="63"/>
        <v>2.0738435916705802</v>
      </c>
      <c r="Q154" s="90">
        <f t="shared" si="63"/>
        <v>1.7766109506498486</v>
      </c>
      <c r="R154" s="90">
        <f t="shared" si="63"/>
        <v>1.2551439617107283</v>
      </c>
      <c r="S154" s="90">
        <f t="shared" si="63"/>
        <v>1.2783898321708693</v>
      </c>
      <c r="T154" s="90">
        <f t="shared" si="63"/>
        <v>1.5588842505170593</v>
      </c>
      <c r="U154" s="90">
        <f t="shared" si="63"/>
        <v>0.78134366350469342</v>
      </c>
      <c r="V154" s="90">
        <f t="shared" si="63"/>
        <v>0.27729573945204095</v>
      </c>
      <c r="W154" s="90">
        <f t="shared" si="63"/>
        <v>0.19658517994683358</v>
      </c>
      <c r="X154" s="90">
        <f t="shared" si="63"/>
        <v>3.8480736151593253E-2</v>
      </c>
      <c r="Y154" s="90">
        <f t="shared" si="63"/>
        <v>0.28542484629504838</v>
      </c>
      <c r="Z154" s="90">
        <f t="shared" si="63"/>
        <v>0.58668215140380353</v>
      </c>
      <c r="AA154" s="90">
        <f t="shared" si="63"/>
        <v>0.98631701545894601</v>
      </c>
    </row>
    <row r="155" spans="2:27" ht="15.75" customHeight="1" x14ac:dyDescent="0.45">
      <c r="B155" s="9"/>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4"/>
      <c r="AA155" s="4"/>
    </row>
    <row r="156" spans="2:27" ht="15.75" customHeight="1" x14ac:dyDescent="0.45">
      <c r="B156" s="69" t="s">
        <v>367</v>
      </c>
      <c r="C156" s="4"/>
      <c r="D156" s="4"/>
      <c r="E156" s="4"/>
      <c r="F156" s="4"/>
      <c r="G156" s="4"/>
      <c r="H156" s="4"/>
      <c r="I156" s="41"/>
      <c r="J156" s="41"/>
      <c r="K156" s="4"/>
      <c r="L156" s="4"/>
      <c r="M156" s="4"/>
      <c r="N156" s="4"/>
      <c r="O156" s="4"/>
      <c r="P156" s="4"/>
      <c r="Q156" s="4"/>
      <c r="R156" s="4"/>
      <c r="S156" s="4"/>
      <c r="T156" s="4"/>
      <c r="U156" s="4"/>
      <c r="V156" s="4"/>
      <c r="W156" s="4"/>
      <c r="X156" s="4"/>
      <c r="Y156" s="4"/>
      <c r="Z156" s="4"/>
      <c r="AA156" s="4"/>
    </row>
    <row r="157" spans="2:27" ht="15.75" customHeight="1" x14ac:dyDescent="0.45">
      <c r="B157" s="69" t="s">
        <v>368</v>
      </c>
      <c r="C157" s="4"/>
      <c r="D157" s="4"/>
      <c r="E157" s="4"/>
      <c r="F157" s="4"/>
      <c r="G157" s="4"/>
      <c r="H157" s="4"/>
      <c r="I157" s="41"/>
      <c r="J157" s="41"/>
      <c r="K157" s="4"/>
      <c r="L157" s="4"/>
      <c r="M157" s="4"/>
      <c r="N157" s="4"/>
      <c r="O157" s="4"/>
      <c r="P157" s="4"/>
      <c r="Q157" s="4"/>
      <c r="R157" s="4"/>
      <c r="S157" s="4"/>
      <c r="T157" s="4"/>
      <c r="U157" s="4"/>
      <c r="V157" s="4"/>
      <c r="W157" s="4"/>
      <c r="X157" s="4"/>
      <c r="Y157" s="4"/>
      <c r="Z157" s="4"/>
      <c r="AA157" s="4"/>
    </row>
    <row r="158" spans="2:27" ht="15.75" customHeight="1" x14ac:dyDescent="0.45">
      <c r="B158" s="69" t="s">
        <v>369</v>
      </c>
      <c r="C158" s="4"/>
      <c r="D158" s="4"/>
      <c r="E158" s="4"/>
      <c r="F158" s="4"/>
      <c r="G158" s="4"/>
      <c r="H158" s="4"/>
      <c r="I158" s="41"/>
      <c r="J158" s="41"/>
      <c r="K158" s="4"/>
      <c r="L158" s="4"/>
      <c r="M158" s="4"/>
      <c r="N158" s="4"/>
      <c r="O158" s="4"/>
      <c r="P158" s="4"/>
      <c r="Q158" s="4"/>
      <c r="R158" s="4"/>
      <c r="S158" s="4"/>
      <c r="T158" s="4"/>
      <c r="U158" s="4"/>
      <c r="V158" s="4"/>
      <c r="W158" s="4"/>
      <c r="X158" s="4"/>
      <c r="Y158" s="4"/>
      <c r="Z158" s="4"/>
      <c r="AA158" s="4"/>
    </row>
    <row r="159" spans="2:27" ht="15.75" customHeight="1" x14ac:dyDescent="0.25">
      <c r="B159" s="8"/>
      <c r="E159" s="7"/>
    </row>
  </sheetData>
  <mergeCells count="26">
    <mergeCell ref="C5:C6"/>
    <mergeCell ref="D5:D6"/>
    <mergeCell ref="I5:I6"/>
    <mergeCell ref="J5:J6"/>
    <mergeCell ref="K5:K6"/>
    <mergeCell ref="L5:L6"/>
    <mergeCell ref="H5:H6"/>
    <mergeCell ref="G5:G6"/>
    <mergeCell ref="F5:F6"/>
    <mergeCell ref="E5:E6"/>
    <mergeCell ref="S5:S6"/>
    <mergeCell ref="R5:R6"/>
    <mergeCell ref="Q5:Q6"/>
    <mergeCell ref="M5:M6"/>
    <mergeCell ref="N5:N6"/>
    <mergeCell ref="O5:O6"/>
    <mergeCell ref="P5:P6"/>
    <mergeCell ref="T5:T6"/>
    <mergeCell ref="AA5:AA6"/>
    <mergeCell ref="U2:AA3"/>
    <mergeCell ref="U5:U6"/>
    <mergeCell ref="V5:V6"/>
    <mergeCell ref="W5:W6"/>
    <mergeCell ref="X5:X6"/>
    <mergeCell ref="Y5:Y6"/>
    <mergeCell ref="Z5:Z6"/>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B7754"/>
  </sheetPr>
  <dimension ref="B1:AH51"/>
  <sheetViews>
    <sheetView showGridLines="0" workbookViewId="0"/>
  </sheetViews>
  <sheetFormatPr defaultColWidth="13.08984375" defaultRowHeight="12.5" x14ac:dyDescent="0.25"/>
  <cols>
    <col min="1" max="1" width="1.08984375" customWidth="1"/>
    <col min="2" max="2" width="60.453125" customWidth="1"/>
    <col min="3" max="27" width="11" customWidth="1"/>
  </cols>
  <sheetData>
    <row r="1" spans="2:34" ht="15.75" customHeight="1" x14ac:dyDescent="0.45">
      <c r="E1" s="4"/>
    </row>
    <row r="2" spans="2:34" ht="15.75" customHeight="1" x14ac:dyDescent="0.45">
      <c r="B2" s="4"/>
      <c r="C2" s="4"/>
      <c r="D2" s="4"/>
      <c r="E2" s="4"/>
      <c r="F2" s="4"/>
      <c r="G2" s="4"/>
      <c r="H2" s="4"/>
      <c r="I2" s="4"/>
      <c r="J2" s="4"/>
      <c r="K2" s="3"/>
      <c r="L2" s="3"/>
      <c r="M2" s="4"/>
      <c r="N2" s="4"/>
      <c r="O2" s="4"/>
      <c r="P2" s="4"/>
      <c r="Q2" s="4"/>
      <c r="R2" s="4"/>
      <c r="S2" s="4"/>
      <c r="U2" s="100" t="s">
        <v>1</v>
      </c>
      <c r="V2" s="101"/>
      <c r="W2" s="101"/>
      <c r="X2" s="101"/>
      <c r="Y2" s="101"/>
      <c r="Z2" s="101"/>
      <c r="AA2" s="101"/>
    </row>
    <row r="3" spans="2:34" ht="15.75" customHeight="1" x14ac:dyDescent="0.45">
      <c r="B3" s="4"/>
      <c r="C3" s="4"/>
      <c r="D3" s="4"/>
      <c r="E3" s="3"/>
      <c r="F3" s="4"/>
      <c r="G3" s="4"/>
      <c r="H3" s="4"/>
      <c r="I3" s="4"/>
      <c r="J3" s="3"/>
      <c r="K3" s="3"/>
      <c r="L3" s="3"/>
      <c r="M3" s="4"/>
      <c r="N3" s="4"/>
      <c r="O3" s="3"/>
      <c r="P3" s="4"/>
      <c r="Q3" s="4"/>
      <c r="R3" s="4"/>
      <c r="S3" s="4"/>
      <c r="U3" s="101"/>
      <c r="V3" s="101"/>
      <c r="W3" s="101"/>
      <c r="X3" s="101"/>
      <c r="Y3" s="101"/>
      <c r="Z3" s="101"/>
      <c r="AA3" s="101"/>
    </row>
    <row r="4" spans="2:34" ht="15.75" customHeight="1" x14ac:dyDescent="0.45">
      <c r="B4" s="4"/>
      <c r="C4" s="4"/>
      <c r="D4" s="4"/>
      <c r="E4" s="4"/>
      <c r="F4" s="4"/>
      <c r="G4" s="4"/>
      <c r="H4" s="4"/>
      <c r="I4" s="4"/>
      <c r="J4" s="4"/>
      <c r="K4" s="4"/>
      <c r="L4" s="4"/>
      <c r="M4" s="4"/>
      <c r="N4" s="4"/>
      <c r="O4" s="4"/>
      <c r="P4" s="4"/>
      <c r="Q4" s="4"/>
      <c r="R4" s="4"/>
      <c r="S4" s="4"/>
      <c r="T4" s="4"/>
      <c r="U4" s="4"/>
      <c r="V4" s="4"/>
      <c r="W4" s="4"/>
      <c r="X4" s="4"/>
      <c r="Y4" s="4"/>
      <c r="Z4" s="4"/>
      <c r="AA4" s="4"/>
    </row>
    <row r="5" spans="2:34" ht="15.75" customHeight="1" x14ac:dyDescent="0.25">
      <c r="B5" s="5" t="s">
        <v>200</v>
      </c>
      <c r="C5" s="99" t="s">
        <v>3</v>
      </c>
      <c r="D5" s="99" t="s">
        <v>4</v>
      </c>
      <c r="E5" s="99" t="s">
        <v>5</v>
      </c>
      <c r="F5" s="99" t="s">
        <v>6</v>
      </c>
      <c r="G5" s="99" t="s">
        <v>7</v>
      </c>
      <c r="H5" s="99" t="s">
        <v>8</v>
      </c>
      <c r="I5" s="99" t="s">
        <v>76</v>
      </c>
      <c r="J5" s="99" t="s">
        <v>9</v>
      </c>
      <c r="K5" s="99" t="s">
        <v>10</v>
      </c>
      <c r="L5" s="99" t="s">
        <v>11</v>
      </c>
      <c r="M5" s="99" t="s">
        <v>12</v>
      </c>
      <c r="N5" s="99" t="s">
        <v>77</v>
      </c>
      <c r="O5" s="99" t="s">
        <v>13</v>
      </c>
      <c r="P5" s="99" t="s">
        <v>14</v>
      </c>
      <c r="Q5" s="99" t="s">
        <v>15</v>
      </c>
      <c r="R5" s="99" t="s">
        <v>16</v>
      </c>
      <c r="S5" s="99" t="s">
        <v>78</v>
      </c>
      <c r="T5" s="99" t="s">
        <v>17</v>
      </c>
      <c r="U5" s="99" t="s">
        <v>18</v>
      </c>
      <c r="V5" s="99" t="s">
        <v>19</v>
      </c>
      <c r="W5" s="99" t="s">
        <v>20</v>
      </c>
      <c r="X5" s="99" t="s">
        <v>79</v>
      </c>
      <c r="Y5" s="99" t="s">
        <v>21</v>
      </c>
      <c r="Z5" s="99" t="s">
        <v>22</v>
      </c>
      <c r="AA5" s="99" t="s">
        <v>23</v>
      </c>
    </row>
    <row r="6" spans="2:34" ht="15.75" customHeight="1" x14ac:dyDescent="0.25">
      <c r="B6" s="42" t="s">
        <v>24</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row>
    <row r="7" spans="2:34" ht="15.75" customHeight="1" x14ac:dyDescent="0.25">
      <c r="B7" s="11" t="s">
        <v>370</v>
      </c>
      <c r="C7" s="60">
        <v>320926.52</v>
      </c>
      <c r="D7" s="60">
        <f>C15</f>
        <v>433424</v>
      </c>
      <c r="E7" s="60">
        <v>939543.69299999997</v>
      </c>
      <c r="F7" s="60">
        <f>E15</f>
        <v>2190784.693</v>
      </c>
      <c r="G7" s="60">
        <f>F15</f>
        <v>2407205.693</v>
      </c>
      <c r="H7" s="60">
        <f>G15</f>
        <v>2621495.693</v>
      </c>
      <c r="I7" s="60">
        <f>H15</f>
        <v>2764703.693</v>
      </c>
      <c r="J7" s="60">
        <f>F7</f>
        <v>2190784.693</v>
      </c>
      <c r="K7" s="60">
        <f>J15</f>
        <v>2879403.693</v>
      </c>
      <c r="L7" s="60">
        <f>K15</f>
        <v>2921701.693</v>
      </c>
      <c r="M7" s="60">
        <f>L15</f>
        <v>2995657.693</v>
      </c>
      <c r="N7" s="60">
        <f>M15</f>
        <v>3157774.693</v>
      </c>
      <c r="O7" s="60">
        <f>K7</f>
        <v>2879403.693</v>
      </c>
      <c r="P7" s="60">
        <f>N15</f>
        <v>3329097.693</v>
      </c>
      <c r="Q7" s="60">
        <v>3711837</v>
      </c>
      <c r="R7" s="60">
        <v>4147584</v>
      </c>
      <c r="S7" s="60">
        <v>4521470.9439000003</v>
      </c>
      <c r="T7" s="60">
        <v>3329098</v>
      </c>
      <c r="U7" s="60">
        <v>4994520</v>
      </c>
      <c r="V7" s="60">
        <v>5335943</v>
      </c>
      <c r="W7" s="60">
        <v>5524210</v>
      </c>
      <c r="X7" s="60">
        <v>5557916</v>
      </c>
      <c r="Y7" s="60">
        <v>4994520</v>
      </c>
      <c r="Z7" s="60">
        <v>5489832</v>
      </c>
      <c r="AA7" s="60">
        <v>5491140</v>
      </c>
    </row>
    <row r="8" spans="2:34" ht="15.75" customHeight="1" x14ac:dyDescent="0.25">
      <c r="B8" s="12" t="s">
        <v>371</v>
      </c>
      <c r="C8" s="76">
        <f>C9+C10+C11</f>
        <v>132190.48000000001</v>
      </c>
      <c r="D8" s="76">
        <v>525621</v>
      </c>
      <c r="E8" s="76">
        <v>1301232</v>
      </c>
      <c r="F8" s="76">
        <v>229755</v>
      </c>
      <c r="G8" s="76">
        <v>237442</v>
      </c>
      <c r="H8" s="76">
        <v>178193</v>
      </c>
      <c r="I8" s="76">
        <v>104761</v>
      </c>
      <c r="J8" s="76">
        <v>750151</v>
      </c>
      <c r="K8" s="76">
        <v>75074</v>
      </c>
      <c r="L8" s="76">
        <v>108758</v>
      </c>
      <c r="M8" s="76">
        <v>104883</v>
      </c>
      <c r="N8" s="76">
        <v>181330</v>
      </c>
      <c r="O8" s="76">
        <v>470045</v>
      </c>
      <c r="P8" s="76">
        <v>419754</v>
      </c>
      <c r="Q8" s="76">
        <v>603740</v>
      </c>
      <c r="R8" s="76">
        <v>396143</v>
      </c>
      <c r="S8" s="76">
        <v>526859</v>
      </c>
      <c r="T8" s="76">
        <v>1946496</v>
      </c>
      <c r="U8" s="76">
        <v>270999</v>
      </c>
      <c r="V8" s="76">
        <v>188531</v>
      </c>
      <c r="W8" s="76">
        <v>110865</v>
      </c>
      <c r="X8" s="76">
        <v>-3705</v>
      </c>
      <c r="Y8" s="76">
        <v>566690</v>
      </c>
      <c r="Z8" s="76">
        <v>70499</v>
      </c>
      <c r="AA8" s="76">
        <v>65489</v>
      </c>
      <c r="AE8" s="1"/>
      <c r="AF8" s="1"/>
      <c r="AG8" s="1"/>
    </row>
    <row r="9" spans="2:34" ht="15.75" customHeight="1" x14ac:dyDescent="0.25">
      <c r="B9" s="22" t="s">
        <v>372</v>
      </c>
      <c r="C9" s="57">
        <f>128.120684*1000</f>
        <v>128120.68400000001</v>
      </c>
      <c r="D9" s="57">
        <v>495842</v>
      </c>
      <c r="E9" s="57">
        <v>1291691</v>
      </c>
      <c r="F9" s="57">
        <v>203909</v>
      </c>
      <c r="G9" s="57">
        <v>235203</v>
      </c>
      <c r="H9" s="57">
        <v>176699</v>
      </c>
      <c r="I9" s="57">
        <v>100813</v>
      </c>
      <c r="J9" s="57">
        <v>716624</v>
      </c>
      <c r="K9" s="57">
        <v>68282</v>
      </c>
      <c r="L9" s="57">
        <v>98377</v>
      </c>
      <c r="M9" s="57">
        <v>92695</v>
      </c>
      <c r="N9" s="57">
        <v>134736</v>
      </c>
      <c r="O9" s="57">
        <v>394090</v>
      </c>
      <c r="P9" s="57">
        <v>399509</v>
      </c>
      <c r="Q9" s="57">
        <v>573872</v>
      </c>
      <c r="R9" s="57">
        <v>401390</v>
      </c>
      <c r="S9" s="57">
        <v>519188</v>
      </c>
      <c r="T9" s="57">
        <v>1893959</v>
      </c>
      <c r="U9" s="57">
        <v>264435</v>
      </c>
      <c r="V9" s="57">
        <v>181919</v>
      </c>
      <c r="W9" s="57">
        <v>110089</v>
      </c>
      <c r="X9" s="57">
        <v>-9840</v>
      </c>
      <c r="Y9" s="57">
        <v>546603</v>
      </c>
      <c r="Z9" s="57">
        <v>67333</v>
      </c>
      <c r="AA9" s="57">
        <v>64059</v>
      </c>
      <c r="AE9" s="1"/>
      <c r="AF9" s="1"/>
      <c r="AG9" s="1"/>
      <c r="AH9" s="1"/>
    </row>
    <row r="10" spans="2:34" ht="15.75" customHeight="1" x14ac:dyDescent="0.25">
      <c r="B10" s="22" t="s">
        <v>373</v>
      </c>
      <c r="C10" s="57">
        <v>4069.7959999999998</v>
      </c>
      <c r="D10" s="57">
        <v>29779</v>
      </c>
      <c r="E10" s="57">
        <v>9541</v>
      </c>
      <c r="F10" s="57">
        <v>91</v>
      </c>
      <c r="G10" s="57">
        <v>245</v>
      </c>
      <c r="H10" s="57">
        <v>0</v>
      </c>
      <c r="I10" s="57">
        <v>0</v>
      </c>
      <c r="J10" s="57">
        <v>336</v>
      </c>
      <c r="K10" s="57">
        <v>4328</v>
      </c>
      <c r="L10" s="57">
        <v>2700</v>
      </c>
      <c r="M10" s="57">
        <v>4251</v>
      </c>
      <c r="N10" s="57">
        <v>38085</v>
      </c>
      <c r="O10" s="57">
        <v>49364</v>
      </c>
      <c r="P10" s="57">
        <v>9112</v>
      </c>
      <c r="Q10" s="57">
        <v>7313</v>
      </c>
      <c r="R10" s="57">
        <v>-5248</v>
      </c>
      <c r="S10" s="57">
        <v>6137</v>
      </c>
      <c r="T10" s="57">
        <v>17314</v>
      </c>
      <c r="U10" s="57">
        <v>6564</v>
      </c>
      <c r="V10" s="57">
        <v>6612</v>
      </c>
      <c r="W10" s="57">
        <v>776</v>
      </c>
      <c r="X10" s="57">
        <v>6135</v>
      </c>
      <c r="Y10" s="57">
        <v>20087</v>
      </c>
      <c r="Z10" s="57">
        <v>3166</v>
      </c>
      <c r="AA10" s="57">
        <v>1430</v>
      </c>
      <c r="AE10" s="1"/>
      <c r="AF10" s="1"/>
      <c r="AG10" s="1"/>
      <c r="AH10" s="1"/>
    </row>
    <row r="11" spans="2:34" ht="15.75" customHeight="1" x14ac:dyDescent="0.25">
      <c r="B11" s="22" t="s">
        <v>374</v>
      </c>
      <c r="C11" s="57">
        <v>0</v>
      </c>
      <c r="D11" s="57">
        <v>0</v>
      </c>
      <c r="E11" s="57">
        <v>0</v>
      </c>
      <c r="F11" s="57">
        <v>25755</v>
      </c>
      <c r="G11" s="57">
        <v>1994</v>
      </c>
      <c r="H11" s="57">
        <v>1494</v>
      </c>
      <c r="I11" s="57">
        <v>3948</v>
      </c>
      <c r="J11" s="57">
        <v>33191</v>
      </c>
      <c r="K11" s="57">
        <v>2464</v>
      </c>
      <c r="L11" s="57">
        <v>7681</v>
      </c>
      <c r="M11" s="57">
        <v>7937</v>
      </c>
      <c r="N11" s="57">
        <v>8509</v>
      </c>
      <c r="O11" s="57">
        <v>26591</v>
      </c>
      <c r="P11" s="57">
        <v>11133</v>
      </c>
      <c r="Q11" s="57">
        <v>22555</v>
      </c>
      <c r="R11" s="57">
        <v>1</v>
      </c>
      <c r="S11" s="57">
        <v>1534</v>
      </c>
      <c r="T11" s="57">
        <v>35223</v>
      </c>
      <c r="U11" s="57">
        <v>0</v>
      </c>
      <c r="V11" s="57">
        <v>0</v>
      </c>
      <c r="W11" s="57">
        <v>0</v>
      </c>
      <c r="X11" s="57">
        <v>0</v>
      </c>
      <c r="Y11" s="57">
        <v>0</v>
      </c>
      <c r="Z11" s="57">
        <v>0</v>
      </c>
      <c r="AA11" s="57">
        <v>0</v>
      </c>
      <c r="AE11" s="1"/>
      <c r="AF11" s="1"/>
      <c r="AG11" s="1"/>
      <c r="AH11" s="1"/>
    </row>
    <row r="12" spans="2:34" ht="15.75" customHeight="1" x14ac:dyDescent="0.25">
      <c r="B12" s="8" t="s">
        <v>375</v>
      </c>
      <c r="C12" s="57">
        <v>0</v>
      </c>
      <c r="D12" s="57">
        <v>192</v>
      </c>
      <c r="E12" s="57">
        <v>1848</v>
      </c>
      <c r="F12" s="57">
        <v>10803</v>
      </c>
      <c r="G12" s="57">
        <v>0</v>
      </c>
      <c r="H12" s="57">
        <v>-81043</v>
      </c>
      <c r="I12" s="57">
        <v>102711</v>
      </c>
      <c r="J12" s="57">
        <v>32471</v>
      </c>
      <c r="K12" s="57">
        <v>-32678</v>
      </c>
      <c r="L12" s="57">
        <v>32113</v>
      </c>
      <c r="M12" s="57">
        <v>92267</v>
      </c>
      <c r="N12" s="57">
        <v>25368</v>
      </c>
      <c r="O12" s="57">
        <v>117070</v>
      </c>
      <c r="P12" s="57">
        <v>716</v>
      </c>
      <c r="Q12" s="57">
        <v>34882</v>
      </c>
      <c r="R12" s="57">
        <v>14597</v>
      </c>
      <c r="S12" s="57">
        <v>41779</v>
      </c>
      <c r="T12" s="57">
        <v>91974</v>
      </c>
      <c r="U12" s="57">
        <v>131079</v>
      </c>
      <c r="V12" s="57">
        <v>68532</v>
      </c>
      <c r="W12" s="57">
        <v>10826</v>
      </c>
      <c r="X12" s="57">
        <v>2960</v>
      </c>
      <c r="Y12" s="57">
        <v>213397</v>
      </c>
      <c r="Z12" s="57">
        <v>-3461</v>
      </c>
      <c r="AA12" s="57">
        <v>241868</v>
      </c>
      <c r="AE12" s="1"/>
      <c r="AF12" s="1"/>
      <c r="AG12" s="1"/>
      <c r="AH12" s="1"/>
    </row>
    <row r="13" spans="2:34" ht="15.75" customHeight="1" x14ac:dyDescent="0.25">
      <c r="B13" s="8" t="s">
        <v>376</v>
      </c>
      <c r="C13" s="57">
        <v>-19693</v>
      </c>
      <c r="D13" s="57">
        <v>-19693</v>
      </c>
      <c r="E13" s="57">
        <v>-45142</v>
      </c>
      <c r="F13" s="57">
        <v>-23791</v>
      </c>
      <c r="G13" s="57">
        <v>-22922</v>
      </c>
      <c r="H13" s="57">
        <v>46058</v>
      </c>
      <c r="I13" s="57">
        <v>-92692</v>
      </c>
      <c r="J13" s="57">
        <v>-93347</v>
      </c>
      <c r="K13" s="57">
        <v>-49</v>
      </c>
      <c r="L13" s="57">
        <v>-66399</v>
      </c>
      <c r="M13" s="57">
        <v>-35033</v>
      </c>
      <c r="N13" s="57">
        <v>-35375</v>
      </c>
      <c r="O13" s="57">
        <v>-136856</v>
      </c>
      <c r="P13" s="57">
        <v>-35756</v>
      </c>
      <c r="Q13" s="57">
        <v>-29418</v>
      </c>
      <c r="R13" s="57">
        <v>-36807</v>
      </c>
      <c r="S13" s="57">
        <v>-38056</v>
      </c>
      <c r="T13" s="57">
        <v>-140037</v>
      </c>
      <c r="U13" s="57">
        <v>-60655</v>
      </c>
      <c r="V13" s="57">
        <v>-64103</v>
      </c>
      <c r="W13" s="57">
        <v>-58780</v>
      </c>
      <c r="X13" s="57">
        <v>-67339</v>
      </c>
      <c r="Y13" s="57">
        <v>-250877</v>
      </c>
      <c r="Z13" s="57">
        <v>-65730</v>
      </c>
      <c r="AA13" s="57">
        <v>-77878</v>
      </c>
      <c r="AE13" s="1"/>
      <c r="AF13" s="1"/>
      <c r="AG13" s="1"/>
    </row>
    <row r="14" spans="2:34" ht="15.75" customHeight="1" x14ac:dyDescent="0.25">
      <c r="B14" s="53" t="s">
        <v>377</v>
      </c>
      <c r="C14" s="98">
        <v>0</v>
      </c>
      <c r="D14" s="98">
        <v>0</v>
      </c>
      <c r="E14" s="98">
        <v>-6697</v>
      </c>
      <c r="F14" s="98">
        <v>-346</v>
      </c>
      <c r="G14" s="98">
        <v>-230</v>
      </c>
      <c r="H14" s="98">
        <v>0</v>
      </c>
      <c r="I14" s="98">
        <v>0</v>
      </c>
      <c r="J14" s="98">
        <v>-656</v>
      </c>
      <c r="K14" s="98">
        <v>-49</v>
      </c>
      <c r="L14" s="98">
        <v>-516</v>
      </c>
      <c r="M14" s="98">
        <v>0</v>
      </c>
      <c r="N14" s="98">
        <v>0</v>
      </c>
      <c r="O14" s="98">
        <v>-565</v>
      </c>
      <c r="P14" s="98">
        <v>-1259</v>
      </c>
      <c r="Q14" s="98">
        <v>-174173</v>
      </c>
      <c r="R14" s="98">
        <v>-46</v>
      </c>
      <c r="S14" s="98">
        <v>-57533</v>
      </c>
      <c r="T14" s="98">
        <v>-233011</v>
      </c>
      <c r="U14" s="98">
        <v>0</v>
      </c>
      <c r="V14" s="98">
        <v>-4693</v>
      </c>
      <c r="W14" s="98">
        <v>-29205</v>
      </c>
      <c r="X14" s="98">
        <v>0</v>
      </c>
      <c r="Y14" s="98">
        <v>-33898</v>
      </c>
      <c r="Z14" s="98">
        <v>0</v>
      </c>
      <c r="AA14" s="98">
        <v>-22130</v>
      </c>
      <c r="AE14" s="1"/>
      <c r="AF14" s="1"/>
      <c r="AG14" s="1"/>
    </row>
    <row r="15" spans="2:34" ht="15.75" customHeight="1" x14ac:dyDescent="0.25">
      <c r="B15" s="11" t="s">
        <v>378</v>
      </c>
      <c r="C15" s="60">
        <f>C8+C13+C7+C14</f>
        <v>433424</v>
      </c>
      <c r="D15" s="60">
        <f t="shared" ref="D15:AA15" si="0">D8+D13+D7+D14+D12</f>
        <v>939544</v>
      </c>
      <c r="E15" s="60">
        <f t="shared" si="0"/>
        <v>2190784.693</v>
      </c>
      <c r="F15" s="60">
        <f t="shared" si="0"/>
        <v>2407205.693</v>
      </c>
      <c r="G15" s="60">
        <f t="shared" si="0"/>
        <v>2621495.693</v>
      </c>
      <c r="H15" s="60">
        <f t="shared" si="0"/>
        <v>2764703.693</v>
      </c>
      <c r="I15" s="60">
        <f t="shared" si="0"/>
        <v>2879483.693</v>
      </c>
      <c r="J15" s="60">
        <f t="shared" si="0"/>
        <v>2879403.693</v>
      </c>
      <c r="K15" s="60">
        <f t="shared" si="0"/>
        <v>2921701.693</v>
      </c>
      <c r="L15" s="60">
        <f t="shared" si="0"/>
        <v>2995657.693</v>
      </c>
      <c r="M15" s="60">
        <f t="shared" si="0"/>
        <v>3157774.693</v>
      </c>
      <c r="N15" s="60">
        <f t="shared" si="0"/>
        <v>3329097.693</v>
      </c>
      <c r="O15" s="60">
        <f t="shared" si="0"/>
        <v>3329097.693</v>
      </c>
      <c r="P15" s="60">
        <f t="shared" si="0"/>
        <v>3712552.693</v>
      </c>
      <c r="Q15" s="60">
        <f t="shared" si="0"/>
        <v>4146868</v>
      </c>
      <c r="R15" s="60">
        <f t="shared" si="0"/>
        <v>4521471</v>
      </c>
      <c r="S15" s="60">
        <f t="shared" si="0"/>
        <v>4994519.9439000003</v>
      </c>
      <c r="T15" s="60">
        <f t="shared" si="0"/>
        <v>4994520</v>
      </c>
      <c r="U15" s="60">
        <f t="shared" si="0"/>
        <v>5335943</v>
      </c>
      <c r="V15" s="60">
        <f t="shared" si="0"/>
        <v>5524210</v>
      </c>
      <c r="W15" s="60">
        <f t="shared" si="0"/>
        <v>5557916</v>
      </c>
      <c r="X15" s="60">
        <f t="shared" si="0"/>
        <v>5489832</v>
      </c>
      <c r="Y15" s="60">
        <f t="shared" si="0"/>
        <v>5489832</v>
      </c>
      <c r="Z15" s="60">
        <f t="shared" si="0"/>
        <v>5491140</v>
      </c>
      <c r="AA15" s="60">
        <f t="shared" si="0"/>
        <v>5698489</v>
      </c>
    </row>
    <row r="16" spans="2:34" ht="8.25" customHeight="1" x14ac:dyDescent="0.45">
      <c r="B16" s="54"/>
      <c r="C16" s="54"/>
      <c r="D16" s="54"/>
      <c r="E16" s="54"/>
      <c r="F16" s="54"/>
      <c r="G16" s="54"/>
      <c r="H16" s="54"/>
      <c r="I16" s="54"/>
      <c r="J16" s="54"/>
      <c r="K16" s="54"/>
      <c r="L16" s="54"/>
      <c r="M16" s="54"/>
      <c r="N16" s="54"/>
      <c r="O16" s="16"/>
      <c r="P16" s="16"/>
      <c r="Q16" s="54"/>
      <c r="R16" s="54"/>
      <c r="S16" s="54"/>
      <c r="T16" s="54"/>
      <c r="U16" s="54"/>
      <c r="V16" s="54"/>
      <c r="W16" s="16"/>
      <c r="X16" s="16"/>
      <c r="Y16" s="16"/>
      <c r="Z16" s="16"/>
      <c r="AA16" s="16"/>
    </row>
    <row r="17" spans="2:29" ht="8.25" customHeight="1" x14ac:dyDescent="0.45">
      <c r="B17" s="7" t="s">
        <v>379</v>
      </c>
      <c r="C17" s="7"/>
      <c r="D17" s="24"/>
      <c r="E17" s="24"/>
      <c r="F17" s="24"/>
      <c r="G17" s="24"/>
      <c r="H17" s="24"/>
      <c r="I17" s="24"/>
      <c r="J17" s="24"/>
      <c r="K17" s="24"/>
      <c r="L17" s="4"/>
      <c r="M17" s="4"/>
      <c r="N17" s="4"/>
      <c r="O17" s="4"/>
      <c r="P17" s="4"/>
      <c r="Q17" s="4"/>
      <c r="R17" s="4"/>
      <c r="S17" s="4"/>
      <c r="T17" s="4"/>
      <c r="U17" s="4"/>
      <c r="V17" s="4"/>
      <c r="W17" s="4"/>
      <c r="X17" s="4"/>
      <c r="Y17" s="4"/>
      <c r="Z17" s="4"/>
      <c r="AA17" s="4"/>
    </row>
    <row r="18" spans="2:29" ht="8.25" customHeight="1" x14ac:dyDescent="0.45">
      <c r="B18" s="7" t="s">
        <v>380</v>
      </c>
      <c r="C18" s="7"/>
      <c r="D18" s="24"/>
      <c r="E18" s="24"/>
      <c r="F18" s="24"/>
      <c r="G18" s="24"/>
      <c r="H18" s="24"/>
      <c r="I18" s="24"/>
      <c r="J18" s="24"/>
      <c r="K18" s="4"/>
      <c r="L18" s="4"/>
      <c r="M18" s="4"/>
      <c r="N18" s="4"/>
      <c r="O18" s="4"/>
      <c r="P18" s="4"/>
      <c r="Q18" s="4"/>
      <c r="R18" s="4"/>
      <c r="S18" s="4"/>
      <c r="T18" s="4"/>
      <c r="U18" s="4"/>
      <c r="V18" s="4"/>
      <c r="W18" s="4"/>
      <c r="X18" s="4"/>
      <c r="Y18" s="4"/>
      <c r="Z18" s="4"/>
      <c r="AA18" s="4"/>
    </row>
    <row r="19" spans="2:29" ht="8.25" customHeight="1" x14ac:dyDescent="0.45">
      <c r="B19" s="7" t="s">
        <v>381</v>
      </c>
      <c r="C19" s="7"/>
      <c r="D19" s="24"/>
      <c r="E19" s="24"/>
      <c r="F19" s="24"/>
      <c r="G19" s="24"/>
      <c r="H19" s="24"/>
      <c r="I19" s="24"/>
      <c r="J19" s="24"/>
      <c r="K19" s="4"/>
      <c r="L19" s="4"/>
      <c r="M19" s="4"/>
      <c r="N19" s="4"/>
      <c r="O19" s="4"/>
      <c r="P19" s="4"/>
      <c r="Q19" s="4"/>
      <c r="R19" s="4"/>
      <c r="S19" s="4"/>
      <c r="T19" s="4"/>
      <c r="U19" s="4"/>
      <c r="V19" s="4"/>
      <c r="W19" s="4"/>
      <c r="X19" s="4"/>
      <c r="Y19" s="4"/>
      <c r="Z19" s="4"/>
      <c r="AA19" s="4"/>
    </row>
    <row r="20" spans="2:29" ht="8.25" customHeight="1" x14ac:dyDescent="0.35">
      <c r="E20" s="24"/>
      <c r="AB20" s="1"/>
      <c r="AC20" s="1"/>
    </row>
    <row r="21" spans="2:29" ht="15" customHeight="1" x14ac:dyDescent="0.25">
      <c r="D21" s="1"/>
      <c r="E21" s="1"/>
      <c r="F21" s="1"/>
      <c r="G21" s="1"/>
      <c r="H21" s="1"/>
      <c r="I21" s="1"/>
      <c r="J21" s="1"/>
      <c r="K21" s="1"/>
      <c r="L21" s="1"/>
      <c r="M21" s="1"/>
      <c r="N21" s="1"/>
      <c r="O21" s="1"/>
      <c r="P21" s="1"/>
      <c r="Q21" s="1"/>
      <c r="R21" s="1"/>
      <c r="S21" s="1"/>
      <c r="T21" s="1"/>
      <c r="U21" s="1"/>
      <c r="V21" s="1"/>
      <c r="W21" s="1"/>
      <c r="X21" s="1"/>
      <c r="Y21" s="1"/>
      <c r="Z21" s="1"/>
    </row>
    <row r="22" spans="2:29" ht="15" customHeight="1" x14ac:dyDescent="0.25">
      <c r="D22" s="1"/>
      <c r="E22" s="1"/>
      <c r="F22" s="1"/>
      <c r="G22" s="1"/>
      <c r="H22" s="1"/>
      <c r="I22" s="1"/>
      <c r="J22" s="1"/>
      <c r="K22" s="1"/>
      <c r="L22" s="1"/>
      <c r="M22" s="1"/>
      <c r="N22" s="1"/>
      <c r="O22" s="1"/>
      <c r="P22" s="1"/>
      <c r="Q22" s="1"/>
      <c r="R22" s="1"/>
      <c r="S22" s="1"/>
      <c r="T22" s="1"/>
      <c r="U22" s="1"/>
      <c r="V22" s="1"/>
      <c r="W22" s="1"/>
      <c r="X22" s="1"/>
      <c r="Y22" s="1"/>
      <c r="Z22" s="1"/>
    </row>
    <row r="23" spans="2:29" ht="15" customHeight="1" x14ac:dyDescent="0.25">
      <c r="D23" s="1"/>
      <c r="E23" s="1"/>
      <c r="F23" s="1"/>
      <c r="G23" s="1"/>
      <c r="H23" s="1"/>
      <c r="I23" s="1"/>
      <c r="J23" s="1"/>
      <c r="K23" s="1"/>
      <c r="L23" s="1"/>
      <c r="M23" s="1"/>
      <c r="N23" s="1"/>
      <c r="O23" s="1"/>
      <c r="P23" s="1"/>
      <c r="Q23" s="1"/>
      <c r="R23" s="1"/>
      <c r="S23" s="1"/>
      <c r="T23" s="1"/>
      <c r="U23" s="1"/>
      <c r="V23" s="1"/>
      <c r="W23" s="1"/>
      <c r="X23" s="1"/>
      <c r="Y23" s="1"/>
      <c r="Z23" s="1"/>
    </row>
    <row r="24" spans="2:29" ht="15" customHeight="1" x14ac:dyDescent="0.25">
      <c r="D24" s="1"/>
      <c r="E24" s="1"/>
      <c r="F24" s="1"/>
      <c r="G24" s="1"/>
      <c r="H24" s="1"/>
      <c r="I24" s="1"/>
      <c r="J24" s="1"/>
      <c r="K24" s="1"/>
      <c r="L24" s="1"/>
      <c r="M24" s="1"/>
      <c r="N24" s="1"/>
      <c r="O24" s="1"/>
      <c r="P24" s="1"/>
      <c r="Q24" s="1"/>
      <c r="R24" s="1"/>
      <c r="S24" s="1"/>
      <c r="T24" s="1"/>
      <c r="U24" s="1"/>
      <c r="V24" s="1"/>
      <c r="W24" s="1"/>
      <c r="X24" s="1"/>
      <c r="Y24" s="1"/>
      <c r="Z24" s="1"/>
    </row>
    <row r="25" spans="2:29" ht="15" customHeight="1" x14ac:dyDescent="0.25">
      <c r="D25" s="1"/>
      <c r="E25" s="1"/>
      <c r="F25" s="1"/>
      <c r="G25" s="1"/>
      <c r="H25" s="1"/>
      <c r="I25" s="1"/>
      <c r="J25" s="1"/>
      <c r="K25" s="1"/>
      <c r="L25" s="1"/>
      <c r="M25" s="1"/>
      <c r="N25" s="1"/>
      <c r="O25" s="1"/>
      <c r="P25" s="1"/>
      <c r="Q25" s="1"/>
      <c r="R25" s="1"/>
      <c r="S25" s="1"/>
      <c r="T25" s="1"/>
      <c r="U25" s="1"/>
      <c r="V25" s="1"/>
      <c r="W25" s="1"/>
      <c r="X25" s="1"/>
      <c r="Y25" s="1"/>
      <c r="Z25" s="1"/>
    </row>
    <row r="26" spans="2:29" ht="15" customHeight="1" x14ac:dyDescent="0.25">
      <c r="D26" s="1"/>
      <c r="E26" s="1"/>
      <c r="F26" s="1"/>
      <c r="G26" s="1"/>
      <c r="H26" s="1"/>
      <c r="I26" s="1"/>
      <c r="J26" s="1"/>
      <c r="K26" s="1"/>
      <c r="L26" s="1"/>
      <c r="M26" s="1"/>
      <c r="N26" s="1"/>
      <c r="O26" s="1"/>
      <c r="P26" s="1"/>
      <c r="Q26" s="1"/>
      <c r="R26" s="1"/>
      <c r="S26" s="1"/>
      <c r="T26" s="1"/>
      <c r="U26" s="1"/>
      <c r="V26" s="1"/>
      <c r="W26" s="1"/>
      <c r="X26" s="1"/>
      <c r="Y26" s="1"/>
      <c r="Z26" s="1"/>
    </row>
    <row r="27" spans="2:29" ht="15" customHeight="1" x14ac:dyDescent="0.25">
      <c r="D27" s="1"/>
      <c r="E27" s="1"/>
      <c r="F27" s="1"/>
      <c r="G27" s="1"/>
      <c r="H27" s="1"/>
      <c r="I27" s="1"/>
      <c r="J27" s="1"/>
      <c r="K27" s="1"/>
      <c r="L27" s="1"/>
      <c r="M27" s="1"/>
      <c r="N27" s="1"/>
      <c r="O27" s="1"/>
      <c r="P27" s="1"/>
      <c r="Q27" s="1"/>
      <c r="R27" s="1"/>
      <c r="S27" s="1"/>
      <c r="T27" s="1"/>
      <c r="U27" s="1"/>
      <c r="V27" s="1"/>
      <c r="W27" s="1"/>
      <c r="X27" s="1"/>
      <c r="Y27" s="1"/>
      <c r="Z27" s="1"/>
    </row>
    <row r="28" spans="2:29" ht="15" customHeight="1" x14ac:dyDescent="0.25">
      <c r="D28" s="1"/>
      <c r="E28" s="1"/>
    </row>
    <row r="29" spans="2:29" ht="15" customHeight="1" x14ac:dyDescent="0.25">
      <c r="E29" s="1"/>
    </row>
    <row r="30" spans="2:29" ht="15" customHeight="1" x14ac:dyDescent="0.25">
      <c r="E30" s="1"/>
    </row>
    <row r="31" spans="2:29" ht="15" customHeight="1" x14ac:dyDescent="0.25">
      <c r="E31" s="1"/>
    </row>
    <row r="32" spans="2:29" ht="15" customHeight="1" x14ac:dyDescent="0.25">
      <c r="E32" s="1"/>
    </row>
    <row r="33" spans="5:5" ht="15" customHeight="1" x14ac:dyDescent="0.25">
      <c r="E33" s="1"/>
    </row>
    <row r="34" spans="5:5" ht="15" customHeight="1" x14ac:dyDescent="0.25">
      <c r="E34" s="1"/>
    </row>
    <row r="35" spans="5:5" ht="15" customHeight="1" x14ac:dyDescent="0.25">
      <c r="E35" s="1"/>
    </row>
    <row r="36" spans="5:5" ht="15" customHeight="1" x14ac:dyDescent="0.25">
      <c r="E36" s="1"/>
    </row>
    <row r="37" spans="5:5" ht="15" customHeight="1" x14ac:dyDescent="0.25">
      <c r="E37" s="1"/>
    </row>
    <row r="38" spans="5:5" ht="15" customHeight="1" x14ac:dyDescent="0.25">
      <c r="E38" s="1"/>
    </row>
    <row r="39" spans="5:5" ht="15" customHeight="1" x14ac:dyDescent="0.25">
      <c r="E39" s="1"/>
    </row>
    <row r="40" spans="5:5" ht="15" customHeight="1" x14ac:dyDescent="0.25">
      <c r="E40" s="1"/>
    </row>
    <row r="41" spans="5:5" ht="15" customHeight="1" x14ac:dyDescent="0.25">
      <c r="E41" s="1"/>
    </row>
    <row r="42" spans="5:5" ht="15" customHeight="1" x14ac:dyDescent="0.25">
      <c r="E42" s="1"/>
    </row>
    <row r="43" spans="5:5" ht="15" customHeight="1" x14ac:dyDescent="0.25">
      <c r="E43" s="1"/>
    </row>
    <row r="44" spans="5:5" ht="15" customHeight="1" x14ac:dyDescent="0.25">
      <c r="E44" s="1"/>
    </row>
    <row r="45" spans="5:5" ht="15" customHeight="1" x14ac:dyDescent="0.25">
      <c r="E45" s="1"/>
    </row>
    <row r="46" spans="5:5" ht="15" customHeight="1" x14ac:dyDescent="0.25">
      <c r="E46" s="1"/>
    </row>
    <row r="47" spans="5:5" ht="15" customHeight="1" x14ac:dyDescent="0.25">
      <c r="E47" s="1"/>
    </row>
    <row r="48" spans="5:5" ht="15" customHeight="1" x14ac:dyDescent="0.25">
      <c r="E48" s="1"/>
    </row>
    <row r="49" spans="5:5" ht="15" customHeight="1" x14ac:dyDescent="0.25">
      <c r="E49" s="1"/>
    </row>
    <row r="50" spans="5:5" ht="15" customHeight="1" x14ac:dyDescent="0.25">
      <c r="E50" s="1"/>
    </row>
    <row r="51" spans="5:5" ht="15" customHeight="1" x14ac:dyDescent="0.25">
      <c r="E51" s="1"/>
    </row>
  </sheetData>
  <mergeCells count="26">
    <mergeCell ref="C5:C6"/>
    <mergeCell ref="D5:D6"/>
    <mergeCell ref="I5:I6"/>
    <mergeCell ref="J5:J6"/>
    <mergeCell ref="K5:K6"/>
    <mergeCell ref="L5:L6"/>
    <mergeCell ref="H5:H6"/>
    <mergeCell ref="G5:G6"/>
    <mergeCell ref="F5:F6"/>
    <mergeCell ref="E5:E6"/>
    <mergeCell ref="S5:S6"/>
    <mergeCell ref="R5:R6"/>
    <mergeCell ref="Q5:Q6"/>
    <mergeCell ref="M5:M6"/>
    <mergeCell ref="N5:N6"/>
    <mergeCell ref="O5:O6"/>
    <mergeCell ref="P5:P6"/>
    <mergeCell ref="T5:T6"/>
    <mergeCell ref="AA5:AA6"/>
    <mergeCell ref="U2:AA3"/>
    <mergeCell ref="U5:U6"/>
    <mergeCell ref="V5:V6"/>
    <mergeCell ref="W5:W6"/>
    <mergeCell ref="X5:X6"/>
    <mergeCell ref="Y5:Y6"/>
    <mergeCell ref="Z5:Z6"/>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Results</vt:lpstr>
      <vt:lpstr>Statements financial position</vt:lpstr>
      <vt:lpstr>Statement of income</vt:lpstr>
      <vt:lpstr>Statement of cash flow</vt:lpstr>
      <vt:lpstr>Net debt cash flow</vt:lpstr>
      <vt:lpstr>Debt</vt:lpstr>
      <vt:lpstr>Operational data</vt:lpstr>
      <vt:lpstr>Capex</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Maria Victoria Motta Gimenez</cp:lastModifiedBy>
  <cp:revision>2</cp:revision>
  <dcterms:modified xsi:type="dcterms:W3CDTF">2025-01-06T17:53:29Z</dcterms:modified>
</cp:coreProperties>
</file>